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1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409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chr</t>
        </is>
      </c>
      <c r="B1" s="1" t="inlineStr">
        <is>
          <t>pos</t>
        </is>
      </c>
      <c r="C1" s="1" t="inlineStr">
        <is>
          <t>allele1</t>
        </is>
      </c>
      <c r="D1" s="1" t="inlineStr">
        <is>
          <t>allele2</t>
        </is>
      </c>
      <c r="E1" s="1" t="inlineStr">
        <is>
          <t>variant_id</t>
        </is>
      </c>
      <c r="F1" s="1" t="inlineStr">
        <is>
          <t>logfc.mean</t>
        </is>
      </c>
      <c r="G1" s="1" t="inlineStr">
        <is>
          <t>logfc.mean.pval</t>
        </is>
      </c>
      <c r="H1" s="1" t="inlineStr">
        <is>
          <t>jsd.mean</t>
        </is>
      </c>
      <c r="I1" s="1" t="inlineStr">
        <is>
          <t>jsd.mean.pval</t>
        </is>
      </c>
      <c r="J1" s="1" t="inlineStr">
        <is>
          <t>active_allele_quantile.mean</t>
        </is>
      </c>
      <c r="K1" s="1" t="inlineStr">
        <is>
          <t>active_allele_quantile.mean.pval</t>
        </is>
      </c>
      <c r="L1" s="1" t="inlineStr">
        <is>
          <t>sig.chrombpnet.relaxed</t>
        </is>
      </c>
      <c r="M1" s="1" t="inlineStr">
        <is>
          <t>sig.chrombpnet</t>
        </is>
      </c>
      <c r="N1" s="1" t="inlineStr">
        <is>
          <t>allele</t>
        </is>
      </c>
      <c r="O1" s="1" t="inlineStr">
        <is>
          <t>profile_shift</t>
        </is>
      </c>
      <c r="P1" s="1" t="inlineStr">
        <is>
          <t>profile_diff</t>
        </is>
      </c>
      <c r="Q1" s="1" t="inlineStr">
        <is>
          <t>count_shift</t>
        </is>
      </c>
      <c r="R1" s="1" t="inlineStr">
        <is>
          <t>count_diff</t>
        </is>
      </c>
      <c r="S1" s="1" t="inlineStr">
        <is>
          <t>count_shap_figure</t>
        </is>
      </c>
      <c r="T1" s="1" t="inlineStr">
        <is>
          <t>profile_shap_fiure</t>
        </is>
      </c>
    </row>
    <row r="2">
      <c r="A2" t="inlineStr">
        <is>
          <t>chr1</t>
        </is>
      </c>
      <c r="B2" t="n">
        <v>8319388</v>
      </c>
      <c r="C2" t="inlineStr">
        <is>
          <t>G</t>
        </is>
      </c>
      <c r="D2" t="inlineStr">
        <is>
          <t>A</t>
        </is>
      </c>
      <c r="E2" t="inlineStr">
        <is>
          <t>rs11121162</t>
        </is>
      </c>
      <c r="F2" t="n">
        <v>-0.0825376704</v>
      </c>
      <c r="G2" t="n">
        <v>0.0154069485554932</v>
      </c>
      <c r="H2" t="n">
        <v>0.0127988445908439</v>
      </c>
      <c r="I2" t="n">
        <v>0.2760855629750302</v>
      </c>
      <c r="J2" t="n">
        <v>0.2729808317437183</v>
      </c>
      <c r="K2" t="n">
        <v>0.3050554938309298</v>
      </c>
      <c r="L2" t="b">
        <v>1</v>
      </c>
      <c r="M2" t="b">
        <v>0</v>
      </c>
      <c r="N2" t="inlineStr">
        <is>
          <t>ref</t>
        </is>
      </c>
      <c r="O2" t="n">
        <v>95</v>
      </c>
      <c r="P2" t="n">
        <v>0.01282</v>
      </c>
      <c r="Q2" t="n">
        <v>0</v>
      </c>
      <c r="R2" t="n">
        <v>0</v>
      </c>
      <c r="S2">
        <f>IMAGE("https://mitra.stanford.edu/kundaje/oak/projects/neuro-variants/variant_position/credible/roussos_2024/variant_figures/roussos_2024.adolescence.GLU/rs11121162_count_position.png",4,220,900)</f>
        <v/>
      </c>
      <c r="T2">
        <f>IMAGE("https://mitra.stanford.edu/kundaje/oak/projects/neuro-variants/variant_position/credible/roussos_2024/variant_figures/roussos_2024.adolescence.GLU/rs11121162_profile_position.png",4,220,900)</f>
        <v/>
      </c>
    </row>
    <row r="3">
      <c r="A3" t="inlineStr">
        <is>
          <t>chr1</t>
        </is>
      </c>
      <c r="B3" t="n">
        <v>8320734</v>
      </c>
      <c r="C3" t="inlineStr">
        <is>
          <t>C</t>
        </is>
      </c>
      <c r="D3" t="inlineStr">
        <is>
          <t>T</t>
        </is>
      </c>
      <c r="E3" t="inlineStr">
        <is>
          <t>rs12408399</t>
        </is>
      </c>
      <c r="F3" t="n">
        <v>0.0225092285999999</v>
      </c>
      <c r="G3" t="n">
        <v>0.2662378936743328</v>
      </c>
      <c r="H3" t="n">
        <v>0.0135883079477656</v>
      </c>
      <c r="I3" t="n">
        <v>0.2349696682117168</v>
      </c>
      <c r="J3" t="n">
        <v>0.251004851004851</v>
      </c>
      <c r="K3" t="n">
        <v>0.3335914854207912</v>
      </c>
      <c r="L3" t="b">
        <v>0</v>
      </c>
      <c r="M3" t="b">
        <v>0</v>
      </c>
      <c r="N3" t="inlineStr">
        <is>
          <t>alt</t>
        </is>
      </c>
      <c r="O3" t="n">
        <v>10</v>
      </c>
      <c r="P3" t="n">
        <v>0.0003967</v>
      </c>
      <c r="Q3" t="n">
        <v>100</v>
      </c>
      <c r="R3" t="n">
        <v>0.06805</v>
      </c>
      <c r="S3">
        <f>IMAGE("https://mitra.stanford.edu/kundaje/oak/projects/neuro-variants/variant_position/credible/roussos_2024/variant_figures/roussos_2024.adolescence.GLU/rs12408399_count_position.png",4,220,900)</f>
        <v/>
      </c>
      <c r="T3">
        <f>IMAGE("https://mitra.stanford.edu/kundaje/oak/projects/neuro-variants/variant_position/credible/roussos_2024/variant_figures/roussos_2024.adolescence.GLU/rs12408399_profile_position.png",4,220,900)</f>
        <v/>
      </c>
    </row>
    <row r="4">
      <c r="A4" t="inlineStr">
        <is>
          <t>chr1</t>
        </is>
      </c>
      <c r="B4" t="n">
        <v>8332335</v>
      </c>
      <c r="C4" t="inlineStr">
        <is>
          <t>G</t>
        </is>
      </c>
      <c r="D4" t="inlineStr">
        <is>
          <t>A</t>
        </is>
      </c>
      <c r="E4" t="inlineStr">
        <is>
          <t>rs11586622</t>
        </is>
      </c>
      <c r="F4" t="n">
        <v>-0.077681504</v>
      </c>
      <c r="G4" t="n">
        <v>0.0182645846531106</v>
      </c>
      <c r="H4" t="n">
        <v>0.0157375321018727</v>
      </c>
      <c r="I4" t="n">
        <v>0.1405770679536123</v>
      </c>
      <c r="J4" t="n">
        <v>0.5030413442784576</v>
      </c>
      <c r="K4" t="n">
        <v>0.0866983247752712</v>
      </c>
      <c r="L4" t="b">
        <v>1</v>
      </c>
      <c r="M4" t="b">
        <v>0</v>
      </c>
      <c r="N4" t="inlineStr">
        <is>
          <t>ref</t>
        </is>
      </c>
      <c r="O4" t="n">
        <v>100</v>
      </c>
      <c r="P4" t="n">
        <v>0.02153</v>
      </c>
      <c r="Q4" t="n">
        <v>-75</v>
      </c>
      <c r="R4" t="n">
        <v>0.0343</v>
      </c>
      <c r="S4">
        <f>IMAGE("https://mitra.stanford.edu/kundaje/oak/projects/neuro-variants/variant_position/credible/roussos_2024/variant_figures/roussos_2024.adolescence.GLU/rs11586622_count_position.png",4,220,900)</f>
        <v/>
      </c>
      <c r="T4">
        <f>IMAGE("https://mitra.stanford.edu/kundaje/oak/projects/neuro-variants/variant_position/credible/roussos_2024/variant_figures/roussos_2024.adolescence.GLU/rs11586622_profile_position.png",4,220,900)</f>
        <v/>
      </c>
    </row>
    <row r="5">
      <c r="A5" t="inlineStr">
        <is>
          <t>chr1</t>
        </is>
      </c>
      <c r="B5" t="n">
        <v>8332532</v>
      </c>
      <c r="C5" t="inlineStr">
        <is>
          <t>G</t>
        </is>
      </c>
      <c r="D5" t="inlineStr">
        <is>
          <t>A</t>
        </is>
      </c>
      <c r="E5" t="inlineStr">
        <is>
          <t>rs4908751</t>
        </is>
      </c>
      <c r="F5" t="n">
        <v>0.007128707896</v>
      </c>
      <c r="G5" t="n">
        <v>0.6155449055972516</v>
      </c>
      <c r="H5" t="n">
        <v>0.0227899019924611</v>
      </c>
      <c r="I5" t="n">
        <v>0.0355982625034688</v>
      </c>
      <c r="J5" t="n">
        <v>0.5038600853033843</v>
      </c>
      <c r="K5" t="n">
        <v>0.08664569654059159</v>
      </c>
      <c r="L5" t="b">
        <v>0</v>
      </c>
      <c r="M5" t="b">
        <v>0</v>
      </c>
      <c r="N5" t="inlineStr">
        <is>
          <t>alt</t>
        </is>
      </c>
      <c r="O5" t="n">
        <v>100</v>
      </c>
      <c r="P5" t="n">
        <v>0.009549999999999999</v>
      </c>
      <c r="Q5" t="n">
        <v>-90</v>
      </c>
      <c r="R5" t="n">
        <v>0.2472</v>
      </c>
      <c r="S5">
        <f>IMAGE("https://mitra.stanford.edu/kundaje/oak/projects/neuro-variants/variant_position/credible/roussos_2024/variant_figures/roussos_2024.adolescence.GLU/rs4908751_count_position.png",4,220,900)</f>
        <v/>
      </c>
      <c r="T5">
        <f>IMAGE("https://mitra.stanford.edu/kundaje/oak/projects/neuro-variants/variant_position/credible/roussos_2024/variant_figures/roussos_2024.adolescence.GLU/rs4908751_profile_position.png",4,220,900)</f>
        <v/>
      </c>
    </row>
    <row r="6">
      <c r="A6" t="inlineStr">
        <is>
          <t>chr1</t>
        </is>
      </c>
      <c r="B6" t="n">
        <v>8406670</v>
      </c>
      <c r="C6" t="inlineStr">
        <is>
          <t>T</t>
        </is>
      </c>
      <c r="D6" t="inlineStr">
        <is>
          <t>C</t>
        </is>
      </c>
      <c r="E6" t="inlineStr">
        <is>
          <t>rs301796</t>
        </is>
      </c>
      <c r="F6" t="n">
        <v>0.0004945954159999</v>
      </c>
      <c r="G6" t="n">
        <v>0.8771856613784542</v>
      </c>
      <c r="H6" t="n">
        <v>0.0187553401168286</v>
      </c>
      <c r="I6" t="n">
        <v>0.0730857800295294</v>
      </c>
      <c r="J6" t="n">
        <v>0.1418279500753727</v>
      </c>
      <c r="K6" t="n">
        <v>0.4942699748919233</v>
      </c>
      <c r="L6" t="b">
        <v>0</v>
      </c>
      <c r="M6" t="b">
        <v>0</v>
      </c>
      <c r="N6" t="inlineStr">
        <is>
          <t>alt</t>
        </is>
      </c>
      <c r="O6" t="n">
        <v>60</v>
      </c>
      <c r="P6" t="n">
        <v>0.001923</v>
      </c>
      <c r="Q6" t="n">
        <v>100</v>
      </c>
      <c r="R6" t="n">
        <v>0.09216000000000001</v>
      </c>
      <c r="S6">
        <f>IMAGE("https://mitra.stanford.edu/kundaje/oak/projects/neuro-variants/variant_position/credible/roussos_2024/variant_figures/roussos_2024.adolescence.GLU/rs301796_count_position.png",4,220,900)</f>
        <v/>
      </c>
      <c r="T6">
        <f>IMAGE("https://mitra.stanford.edu/kundaje/oak/projects/neuro-variants/variant_position/credible/roussos_2024/variant_figures/roussos_2024.adolescence.GLU/rs301796_profile_position.png",4,220,900)</f>
        <v/>
      </c>
    </row>
    <row r="7">
      <c r="A7" t="inlineStr">
        <is>
          <t>chr1</t>
        </is>
      </c>
      <c r="B7" t="n">
        <v>8409277</v>
      </c>
      <c r="C7" t="inlineStr">
        <is>
          <t>A</t>
        </is>
      </c>
      <c r="D7" t="inlineStr">
        <is>
          <t>G</t>
        </is>
      </c>
      <c r="E7" t="inlineStr">
        <is>
          <t>rs301789</t>
        </is>
      </c>
      <c r="F7" t="n">
        <v>0.0623773762</v>
      </c>
      <c r="G7" t="n">
        <v>0.0329352300012626</v>
      </c>
      <c r="H7" t="n">
        <v>0.0098162933556885</v>
      </c>
      <c r="I7" t="n">
        <v>0.5555760038248482</v>
      </c>
      <c r="J7" t="n">
        <v>0.5363339548906559</v>
      </c>
      <c r="K7" t="n">
        <v>0.0678723962611722</v>
      </c>
      <c r="L7" t="b">
        <v>0</v>
      </c>
      <c r="M7" t="b">
        <v>0</v>
      </c>
      <c r="N7" t="inlineStr">
        <is>
          <t>alt</t>
        </is>
      </c>
      <c r="O7" t="n">
        <v>-100</v>
      </c>
      <c r="P7" t="n">
        <v>0.01883</v>
      </c>
      <c r="Q7" t="n">
        <v>-100</v>
      </c>
      <c r="R7" t="n">
        <v>0.09180000000000001</v>
      </c>
      <c r="S7">
        <f>IMAGE("https://mitra.stanford.edu/kundaje/oak/projects/neuro-variants/variant_position/credible/roussos_2024/variant_figures/roussos_2024.adolescence.GLU/rs301789_count_position.png",4,220,900)</f>
        <v/>
      </c>
      <c r="T7">
        <f>IMAGE("https://mitra.stanford.edu/kundaje/oak/projects/neuro-variants/variant_position/credible/roussos_2024/variant_figures/roussos_2024.adolescence.GLU/rs301789_profile_position.png",4,220,900)</f>
        <v/>
      </c>
    </row>
    <row r="8">
      <c r="A8" t="inlineStr">
        <is>
          <t>chr1</t>
        </is>
      </c>
      <c r="B8" t="n">
        <v>8413271</v>
      </c>
      <c r="C8" t="inlineStr">
        <is>
          <t>G</t>
        </is>
      </c>
      <c r="D8" t="inlineStr">
        <is>
          <t>A</t>
        </is>
      </c>
      <c r="E8" t="inlineStr">
        <is>
          <t>rs1763838</t>
        </is>
      </c>
      <c r="F8" t="n">
        <v>-0.0094490505</v>
      </c>
      <c r="G8" t="n">
        <v>0.5614264953292422</v>
      </c>
      <c r="H8" t="n">
        <v>0.0113502348319371</v>
      </c>
      <c r="I8" t="n">
        <v>0.3821099308652104</v>
      </c>
      <c r="J8" t="n">
        <v>0.1158468539911838</v>
      </c>
      <c r="K8" t="n">
        <v>0.5393714532043317</v>
      </c>
      <c r="L8" t="b">
        <v>0</v>
      </c>
      <c r="M8" t="b">
        <v>0</v>
      </c>
      <c r="N8" t="inlineStr">
        <is>
          <t>ref</t>
        </is>
      </c>
      <c r="O8" t="n">
        <v>20</v>
      </c>
      <c r="P8" t="n">
        <v>0.001251</v>
      </c>
      <c r="Q8" t="n">
        <v>-100</v>
      </c>
      <c r="R8" t="n">
        <v>0.0238</v>
      </c>
      <c r="S8">
        <f>IMAGE("https://mitra.stanford.edu/kundaje/oak/projects/neuro-variants/variant_position/credible/roussos_2024/variant_figures/roussos_2024.adolescence.GLU/rs1763838_count_position.png",4,220,900)</f>
        <v/>
      </c>
      <c r="T8">
        <f>IMAGE("https://mitra.stanford.edu/kundaje/oak/projects/neuro-variants/variant_position/credible/roussos_2024/variant_figures/roussos_2024.adolescence.GLU/rs1763838_profile_position.png",4,220,900)</f>
        <v/>
      </c>
    </row>
    <row r="9">
      <c r="A9" t="inlineStr">
        <is>
          <t>chr1</t>
        </is>
      </c>
      <c r="B9" t="n">
        <v>8430260</v>
      </c>
      <c r="C9" t="inlineStr">
        <is>
          <t>T</t>
        </is>
      </c>
      <c r="D9" t="inlineStr">
        <is>
          <t>G</t>
        </is>
      </c>
      <c r="E9" t="inlineStr">
        <is>
          <t>rs302719</t>
        </is>
      </c>
      <c r="F9" t="n">
        <v>-0.00979654734</v>
      </c>
      <c r="G9" t="n">
        <v>0.5355637510048677</v>
      </c>
      <c r="H9" t="n">
        <v>0.0226954027348648</v>
      </c>
      <c r="I9" t="n">
        <v>0.0338498440248871</v>
      </c>
      <c r="J9" t="n">
        <v>0.1969708010945123</v>
      </c>
      <c r="K9" t="n">
        <v>0.4035954011209242</v>
      </c>
      <c r="L9" t="b">
        <v>0</v>
      </c>
      <c r="M9" t="b">
        <v>0</v>
      </c>
      <c r="N9" t="inlineStr">
        <is>
          <t>ref</t>
        </is>
      </c>
      <c r="O9" t="n">
        <v>95</v>
      </c>
      <c r="P9" t="n">
        <v>0.006638</v>
      </c>
      <c r="Q9" t="n">
        <v>-15</v>
      </c>
      <c r="R9" t="n">
        <v>0.015396</v>
      </c>
      <c r="S9">
        <f>IMAGE("https://mitra.stanford.edu/kundaje/oak/projects/neuro-variants/variant_position/credible/roussos_2024/variant_figures/roussos_2024.adolescence.GLU/rs302719_count_position.png",4,220,900)</f>
        <v/>
      </c>
      <c r="T9">
        <f>IMAGE("https://mitra.stanford.edu/kundaje/oak/projects/neuro-variants/variant_position/credible/roussos_2024/variant_figures/roussos_2024.adolescence.GLU/rs302719_profile_position.png",4,220,900)</f>
        <v/>
      </c>
    </row>
    <row r="10">
      <c r="A10" t="inlineStr">
        <is>
          <t>chr1</t>
        </is>
      </c>
      <c r="B10" t="n">
        <v>8435530</v>
      </c>
      <c r="C10" t="inlineStr">
        <is>
          <t>A</t>
        </is>
      </c>
      <c r="D10" t="inlineStr">
        <is>
          <t>G</t>
        </is>
      </c>
      <c r="E10" t="inlineStr">
        <is>
          <t>rs172531</t>
        </is>
      </c>
      <c r="F10" t="n">
        <v>-0.00521247298</v>
      </c>
      <c r="G10" t="n">
        <v>0.6763528224373623</v>
      </c>
      <c r="H10" t="n">
        <v>0.0123226056738059</v>
      </c>
      <c r="I10" t="n">
        <v>0.3154060370459852</v>
      </c>
      <c r="J10" t="n">
        <v>0.1377413892877809</v>
      </c>
      <c r="K10" t="n">
        <v>0.509758892234725</v>
      </c>
      <c r="L10" t="b">
        <v>0</v>
      </c>
      <c r="M10" t="b">
        <v>0</v>
      </c>
      <c r="N10" t="inlineStr">
        <is>
          <t>ref</t>
        </is>
      </c>
      <c r="O10" t="n">
        <v>30</v>
      </c>
      <c r="P10" t="n">
        <v>0.009476</v>
      </c>
      <c r="Q10" t="n">
        <v>55</v>
      </c>
      <c r="R10" t="n">
        <v>0.009469999999999999</v>
      </c>
      <c r="S10">
        <f>IMAGE("https://mitra.stanford.edu/kundaje/oak/projects/neuro-variants/variant_position/credible/roussos_2024/variant_figures/roussos_2024.adolescence.GLU/rs172531_count_position.png",4,220,900)</f>
        <v/>
      </c>
      <c r="T10">
        <f>IMAGE("https://mitra.stanford.edu/kundaje/oak/projects/neuro-variants/variant_position/credible/roussos_2024/variant_figures/roussos_2024.adolescence.GLU/rs172531_profile_position.png",4,220,900)</f>
        <v/>
      </c>
    </row>
    <row r="11">
      <c r="A11" t="inlineStr">
        <is>
          <t>chr1</t>
        </is>
      </c>
      <c r="B11" t="n">
        <v>8443182</v>
      </c>
      <c r="C11" t="inlineStr">
        <is>
          <t>G</t>
        </is>
      </c>
      <c r="D11" t="inlineStr">
        <is>
          <t>A</t>
        </is>
      </c>
      <c r="E11" t="inlineStr">
        <is>
          <t>rs301818</t>
        </is>
      </c>
      <c r="F11" t="n">
        <v>0.06716034999999999</v>
      </c>
      <c r="G11" t="n">
        <v>0.0280090164675265</v>
      </c>
      <c r="H11" t="n">
        <v>0.0174073856411297</v>
      </c>
      <c r="I11" t="n">
        <v>0.0854774827459895</v>
      </c>
      <c r="J11" t="n">
        <v>0.1968964999892835</v>
      </c>
      <c r="K11" t="n">
        <v>0.4125648198578863</v>
      </c>
      <c r="L11" t="b">
        <v>0</v>
      </c>
      <c r="M11" t="b">
        <v>0</v>
      </c>
      <c r="N11" t="inlineStr">
        <is>
          <t>alt</t>
        </is>
      </c>
      <c r="O11" t="n">
        <v>-100</v>
      </c>
      <c r="P11" t="n">
        <v>0.01704</v>
      </c>
      <c r="Q11" t="n">
        <v>-75</v>
      </c>
      <c r="R11" t="n">
        <v>0.0403</v>
      </c>
      <c r="S11">
        <f>IMAGE("https://mitra.stanford.edu/kundaje/oak/projects/neuro-variants/variant_position/credible/roussos_2024/variant_figures/roussos_2024.adolescence.GLU/rs301818_count_position.png",4,220,900)</f>
        <v/>
      </c>
      <c r="T11">
        <f>IMAGE("https://mitra.stanford.edu/kundaje/oak/projects/neuro-variants/variant_position/credible/roussos_2024/variant_figures/roussos_2024.adolescence.GLU/rs301818_profile_position.png",4,220,900)</f>
        <v/>
      </c>
    </row>
    <row r="12">
      <c r="A12" t="inlineStr">
        <is>
          <t>chr1</t>
        </is>
      </c>
      <c r="B12" t="n">
        <v>28647287</v>
      </c>
      <c r="C12" t="inlineStr">
        <is>
          <t>G</t>
        </is>
      </c>
      <c r="D12" t="inlineStr">
        <is>
          <t>T</t>
        </is>
      </c>
      <c r="E12" t="inlineStr">
        <is>
          <t>rs7368197</t>
        </is>
      </c>
      <c r="F12" t="n">
        <v>-0.0002038306</v>
      </c>
      <c r="G12" t="n">
        <v>0.7807595972992737</v>
      </c>
      <c r="H12" t="n">
        <v>0.0346638547089919</v>
      </c>
      <c r="I12" t="n">
        <v>0.0048479424962088</v>
      </c>
      <c r="J12" t="n">
        <v>0.1143436854777061</v>
      </c>
      <c r="K12" t="n">
        <v>0.5474459894723345</v>
      </c>
      <c r="L12" t="b">
        <v>1</v>
      </c>
      <c r="M12" t="b">
        <v>1</v>
      </c>
      <c r="N12" t="inlineStr">
        <is>
          <t>ref</t>
        </is>
      </c>
      <c r="O12" t="n">
        <v>75</v>
      </c>
      <c r="P12" t="n">
        <v>0.00424</v>
      </c>
      <c r="Q12" t="n">
        <v>60</v>
      </c>
      <c r="R12" t="n">
        <v>0.007202</v>
      </c>
      <c r="S12">
        <f>IMAGE("https://mitra.stanford.edu/kundaje/oak/projects/neuro-variants/variant_position/credible/roussos_2024/variant_figures/roussos_2024.adolescence.GLU/rs7368197_count_position.png",4,220,900)</f>
        <v/>
      </c>
      <c r="T12">
        <f>IMAGE("https://mitra.stanford.edu/kundaje/oak/projects/neuro-variants/variant_position/credible/roussos_2024/variant_figures/roussos_2024.adolescence.GLU/rs7368197_profile_position.png",4,220,900)</f>
        <v/>
      </c>
    </row>
    <row r="13">
      <c r="A13" t="inlineStr">
        <is>
          <t>chr1</t>
        </is>
      </c>
      <c r="B13" t="n">
        <v>28688564</v>
      </c>
      <c r="C13" t="inlineStr">
        <is>
          <t>C</t>
        </is>
      </c>
      <c r="D13" t="inlineStr">
        <is>
          <t>A</t>
        </is>
      </c>
      <c r="E13" t="inlineStr">
        <is>
          <t>rs61786043</t>
        </is>
      </c>
      <c r="F13" t="n">
        <v>-0.00495907428</v>
      </c>
      <c r="G13" t="n">
        <v>0.526115168056618</v>
      </c>
      <c r="H13" t="n">
        <v>0.0182554427631423</v>
      </c>
      <c r="I13" t="n">
        <v>0.07947960172844</v>
      </c>
      <c r="J13" t="n">
        <v>0.2445249373084424</v>
      </c>
      <c r="K13" t="n">
        <v>0.3386636628732849</v>
      </c>
      <c r="L13" t="b">
        <v>0</v>
      </c>
      <c r="M13" t="b">
        <v>0</v>
      </c>
      <c r="N13" t="inlineStr">
        <is>
          <t>ref</t>
        </is>
      </c>
      <c r="O13" t="n">
        <v>40</v>
      </c>
      <c r="P13" t="n">
        <v>0.002909</v>
      </c>
      <c r="Q13" t="n">
        <v>100</v>
      </c>
      <c r="R13" t="n">
        <v>0.1615</v>
      </c>
      <c r="S13">
        <f>IMAGE("https://mitra.stanford.edu/kundaje/oak/projects/neuro-variants/variant_position/credible/roussos_2024/variant_figures/roussos_2024.adolescence.GLU/rs61786043_count_position.png",4,220,900)</f>
        <v/>
      </c>
      <c r="T13">
        <f>IMAGE("https://mitra.stanford.edu/kundaje/oak/projects/neuro-variants/variant_position/credible/roussos_2024/variant_figures/roussos_2024.adolescence.GLU/rs61786043_profile_position.png",4,220,900)</f>
        <v/>
      </c>
    </row>
    <row r="14">
      <c r="A14" t="inlineStr">
        <is>
          <t>chr1</t>
        </is>
      </c>
      <c r="B14" t="n">
        <v>28725056</v>
      </c>
      <c r="C14" t="inlineStr">
        <is>
          <t>G</t>
        </is>
      </c>
      <c r="D14" t="inlineStr">
        <is>
          <t>A</t>
        </is>
      </c>
      <c r="E14" t="inlineStr">
        <is>
          <t>rs61787564</t>
        </is>
      </c>
      <c r="F14" t="n">
        <v>-0.0753909012</v>
      </c>
      <c r="G14" t="n">
        <v>0.017873416232209</v>
      </c>
      <c r="H14" t="n">
        <v>0.0128067098288475</v>
      </c>
      <c r="I14" t="n">
        <v>0.2727449958839953</v>
      </c>
      <c r="J14" t="n">
        <v>0.0740710575762121</v>
      </c>
      <c r="K14" t="n">
        <v>0.636980969715723</v>
      </c>
      <c r="L14" t="b">
        <v>1</v>
      </c>
      <c r="M14" t="b">
        <v>0</v>
      </c>
      <c r="N14" t="inlineStr">
        <is>
          <t>ref</t>
        </is>
      </c>
      <c r="O14" t="n">
        <v>100</v>
      </c>
      <c r="P14" t="n">
        <v>0.02539</v>
      </c>
      <c r="Q14" t="n">
        <v>100</v>
      </c>
      <c r="R14" t="n">
        <v>0.02606</v>
      </c>
      <c r="S14">
        <f>IMAGE("https://mitra.stanford.edu/kundaje/oak/projects/neuro-variants/variant_position/credible/roussos_2024/variant_figures/roussos_2024.adolescence.GLU/rs61787564_count_position.png",4,220,900)</f>
        <v/>
      </c>
      <c r="T14">
        <f>IMAGE("https://mitra.stanford.edu/kundaje/oak/projects/neuro-variants/variant_position/credible/roussos_2024/variant_figures/roussos_2024.adolescence.GLU/rs61787564_profile_position.png",4,220,900)</f>
        <v/>
      </c>
    </row>
    <row r="15">
      <c r="A15" t="inlineStr">
        <is>
          <t>chr1</t>
        </is>
      </c>
      <c r="B15" t="n">
        <v>28727199</v>
      </c>
      <c r="C15" t="inlineStr">
        <is>
          <t>T</t>
        </is>
      </c>
      <c r="D15" t="inlineStr">
        <is>
          <t>G</t>
        </is>
      </c>
      <c r="E15" t="inlineStr">
        <is>
          <t>rs61787565</t>
        </is>
      </c>
      <c r="F15" t="n">
        <v>-0.0009617021139998999</v>
      </c>
      <c r="G15" t="n">
        <v>0.7611625265191388</v>
      </c>
      <c r="H15" t="n">
        <v>0.0345889794886791</v>
      </c>
      <c r="I15" t="n">
        <v>0.0048448291253132</v>
      </c>
      <c r="J15" t="n">
        <v>0.0445349393803001</v>
      </c>
      <c r="K15" t="n">
        <v>0.7234018088261511</v>
      </c>
      <c r="L15" t="b">
        <v>1</v>
      </c>
      <c r="M15" t="b">
        <v>0</v>
      </c>
      <c r="N15" t="inlineStr">
        <is>
          <t>ref</t>
        </is>
      </c>
      <c r="O15" t="n">
        <v>-45</v>
      </c>
      <c r="P15" t="n">
        <v>0.001404</v>
      </c>
      <c r="Q15" t="n">
        <v>-90</v>
      </c>
      <c r="R15" t="n">
        <v>0.02356</v>
      </c>
      <c r="S15">
        <f>IMAGE("https://mitra.stanford.edu/kundaje/oak/projects/neuro-variants/variant_position/credible/roussos_2024/variant_figures/roussos_2024.adolescence.GLU/rs61787565_count_position.png",4,220,900)</f>
        <v/>
      </c>
      <c r="T15">
        <f>IMAGE("https://mitra.stanford.edu/kundaje/oak/projects/neuro-variants/variant_position/credible/roussos_2024/variant_figures/roussos_2024.adolescence.GLU/rs61787565_profile_position.png",4,220,900)</f>
        <v/>
      </c>
    </row>
    <row r="16">
      <c r="A16" t="inlineStr">
        <is>
          <t>chr1</t>
        </is>
      </c>
      <c r="B16" t="n">
        <v>28786062</v>
      </c>
      <c r="C16" t="inlineStr">
        <is>
          <t>T</t>
        </is>
      </c>
      <c r="D16" t="inlineStr">
        <is>
          <t>G</t>
        </is>
      </c>
      <c r="E16" t="inlineStr">
        <is>
          <t>rs113507743</t>
        </is>
      </c>
      <c r="F16" t="n">
        <v>0.0011291898799999</v>
      </c>
      <c r="G16" t="n">
        <v>0.819264758377269</v>
      </c>
      <c r="H16" t="n">
        <v>0.0309671832107985</v>
      </c>
      <c r="I16" t="n">
        <v>0.007215195629545</v>
      </c>
      <c r="J16" t="n">
        <v>0.2358231347922069</v>
      </c>
      <c r="K16" t="n">
        <v>0.3539565161288409</v>
      </c>
      <c r="L16" t="b">
        <v>1</v>
      </c>
      <c r="M16" t="b">
        <v>1</v>
      </c>
      <c r="N16" t="inlineStr">
        <is>
          <t>alt</t>
        </is>
      </c>
      <c r="O16" t="n">
        <v>95</v>
      </c>
      <c r="P16" t="n">
        <v>0.011566</v>
      </c>
      <c r="Q16" t="n">
        <v>-55</v>
      </c>
      <c r="R16" t="n">
        <v>0.011475</v>
      </c>
      <c r="S16">
        <f>IMAGE("https://mitra.stanford.edu/kundaje/oak/projects/neuro-variants/variant_position/credible/roussos_2024/variant_figures/roussos_2024.adolescence.GLU/rs113507743_count_position.png",4,220,900)</f>
        <v/>
      </c>
      <c r="T16">
        <f>IMAGE("https://mitra.stanford.edu/kundaje/oak/projects/neuro-variants/variant_position/credible/roussos_2024/variant_figures/roussos_2024.adolescence.GLU/rs113507743_profile_position.png",4,220,900)</f>
        <v/>
      </c>
    </row>
    <row r="17">
      <c r="A17" t="inlineStr">
        <is>
          <t>chr1</t>
        </is>
      </c>
      <c r="B17" t="n">
        <v>28790639</v>
      </c>
      <c r="C17" t="inlineStr">
        <is>
          <t>A</t>
        </is>
      </c>
      <c r="D17" t="inlineStr">
        <is>
          <t>T</t>
        </is>
      </c>
      <c r="E17" t="inlineStr">
        <is>
          <t>rs61787581</t>
        </is>
      </c>
      <c r="F17" t="n">
        <v>-0.02238801544</v>
      </c>
      <c r="G17" t="n">
        <v>0.2815939497366769</v>
      </c>
      <c r="H17" t="n">
        <v>0.0173074140894598</v>
      </c>
      <c r="I17" t="n">
        <v>0.0962034104196073</v>
      </c>
      <c r="J17" t="n">
        <v>0.3705253231026427</v>
      </c>
      <c r="K17" t="n">
        <v>0.1949831728677342</v>
      </c>
      <c r="L17" t="b">
        <v>0</v>
      </c>
      <c r="M17" t="b">
        <v>0</v>
      </c>
      <c r="N17" t="inlineStr">
        <is>
          <t>ref</t>
        </is>
      </c>
      <c r="O17" t="n">
        <v>-15</v>
      </c>
      <c r="P17" t="n">
        <v>0.001322</v>
      </c>
      <c r="Q17" t="n">
        <v>100</v>
      </c>
      <c r="R17" t="n">
        <v>0.0867</v>
      </c>
      <c r="S17">
        <f>IMAGE("https://mitra.stanford.edu/kundaje/oak/projects/neuro-variants/variant_position/credible/roussos_2024/variant_figures/roussos_2024.adolescence.GLU/rs61787581_count_position.png",4,220,900)</f>
        <v/>
      </c>
      <c r="T17">
        <f>IMAGE("https://mitra.stanford.edu/kundaje/oak/projects/neuro-variants/variant_position/credible/roussos_2024/variant_figures/roussos_2024.adolescence.GLU/rs61787581_profile_position.png",4,220,900)</f>
        <v/>
      </c>
    </row>
    <row r="18">
      <c r="A18" t="inlineStr">
        <is>
          <t>chr1</t>
        </is>
      </c>
      <c r="B18" t="n">
        <v>28810174</v>
      </c>
      <c r="C18" t="inlineStr">
        <is>
          <t>A</t>
        </is>
      </c>
      <c r="D18" t="inlineStr">
        <is>
          <t>G</t>
        </is>
      </c>
      <c r="E18" t="inlineStr">
        <is>
          <t>rs569356</t>
        </is>
      </c>
      <c r="F18" t="n">
        <v>0.00598855594</v>
      </c>
      <c r="G18" t="n">
        <v>0.5853424336262026</v>
      </c>
      <c r="H18" t="n">
        <v>0.0143919365894235</v>
      </c>
      <c r="I18" t="n">
        <v>0.1905193009280001</v>
      </c>
      <c r="J18" t="n">
        <v>0.1615806131270048</v>
      </c>
      <c r="K18" t="n">
        <v>0.4608954068741233</v>
      </c>
      <c r="L18" t="b">
        <v>0</v>
      </c>
      <c r="M18" t="b">
        <v>0</v>
      </c>
      <c r="N18" t="inlineStr">
        <is>
          <t>alt</t>
        </is>
      </c>
      <c r="O18" t="n">
        <v>95</v>
      </c>
      <c r="P18" t="n">
        <v>0.006096</v>
      </c>
      <c r="Q18" t="n">
        <v>100</v>
      </c>
      <c r="R18" t="n">
        <v>0.1458</v>
      </c>
      <c r="S18">
        <f>IMAGE("https://mitra.stanford.edu/kundaje/oak/projects/neuro-variants/variant_position/credible/roussos_2024/variant_figures/roussos_2024.adolescence.GLU/rs569356_count_position.png",4,220,900)</f>
        <v/>
      </c>
      <c r="T18">
        <f>IMAGE("https://mitra.stanford.edu/kundaje/oak/projects/neuro-variants/variant_position/credible/roussos_2024/variant_figures/roussos_2024.adolescence.GLU/rs569356_profile_position.png",4,220,900)</f>
        <v/>
      </c>
    </row>
    <row r="19">
      <c r="A19" t="inlineStr">
        <is>
          <t>chr1</t>
        </is>
      </c>
      <c r="B19" t="n">
        <v>28814643</v>
      </c>
      <c r="C19" t="inlineStr">
        <is>
          <t>G</t>
        </is>
      </c>
      <c r="D19" t="inlineStr">
        <is>
          <t>A</t>
        </is>
      </c>
      <c r="E19" t="inlineStr">
        <is>
          <t>rs533123</t>
        </is>
      </c>
      <c r="F19" t="n">
        <v>-0.0140223145999999</v>
      </c>
      <c r="G19" t="n">
        <v>0.4169650894431931</v>
      </c>
      <c r="H19" t="n">
        <v>0.0111735075314273</v>
      </c>
      <c r="I19" t="n">
        <v>0.4037238746450695</v>
      </c>
      <c r="J19" t="n">
        <v>0.5942588107536562</v>
      </c>
      <c r="K19" t="n">
        <v>0.041153674276298</v>
      </c>
      <c r="L19" t="b">
        <v>0</v>
      </c>
      <c r="M19" t="b">
        <v>0</v>
      </c>
      <c r="N19" t="inlineStr">
        <is>
          <t>ref</t>
        </is>
      </c>
      <c r="O19" t="n">
        <v>95</v>
      </c>
      <c r="P19" t="n">
        <v>0.006256</v>
      </c>
      <c r="Q19" t="n">
        <v>45</v>
      </c>
      <c r="R19" t="n">
        <v>0.02393</v>
      </c>
      <c r="S19">
        <f>IMAGE("https://mitra.stanford.edu/kundaje/oak/projects/neuro-variants/variant_position/credible/roussos_2024/variant_figures/roussos_2024.adolescence.GLU/rs533123_count_position.png",4,220,900)</f>
        <v/>
      </c>
      <c r="T19">
        <f>IMAGE("https://mitra.stanford.edu/kundaje/oak/projects/neuro-variants/variant_position/credible/roussos_2024/variant_figures/roussos_2024.adolescence.GLU/rs533123_profile_position.png",4,220,900)</f>
        <v/>
      </c>
    </row>
    <row r="20">
      <c r="A20" t="inlineStr">
        <is>
          <t>chr1</t>
        </is>
      </c>
      <c r="B20" t="n">
        <v>28824876</v>
      </c>
      <c r="C20" t="inlineStr">
        <is>
          <t>T</t>
        </is>
      </c>
      <c r="D20" t="inlineStr">
        <is>
          <t>C</t>
        </is>
      </c>
      <c r="E20" t="inlineStr">
        <is>
          <t>rs369247</t>
        </is>
      </c>
      <c r="F20" t="n">
        <v>0.0452203422</v>
      </c>
      <c r="G20" t="n">
        <v>0.079213392021765</v>
      </c>
      <c r="H20" t="n">
        <v>0.011989733379895</v>
      </c>
      <c r="I20" t="n">
        <v>0.328192641400866</v>
      </c>
      <c r="J20" t="n">
        <v>0.2575090554471997</v>
      </c>
      <c r="K20" t="n">
        <v>0.3222215817006385</v>
      </c>
      <c r="L20" t="b">
        <v>0</v>
      </c>
      <c r="M20" t="b">
        <v>0</v>
      </c>
      <c r="N20" t="inlineStr">
        <is>
          <t>alt</t>
        </is>
      </c>
      <c r="O20" t="n">
        <v>70</v>
      </c>
      <c r="P20" t="n">
        <v>0.014465</v>
      </c>
      <c r="Q20" t="n">
        <v>-5</v>
      </c>
      <c r="R20" t="n">
        <v>0.002808</v>
      </c>
      <c r="S20">
        <f>IMAGE("https://mitra.stanford.edu/kundaje/oak/projects/neuro-variants/variant_position/credible/roussos_2024/variant_figures/roussos_2024.adolescence.GLU/rs369247_count_position.png",4,220,900)</f>
        <v/>
      </c>
      <c r="T20">
        <f>IMAGE("https://mitra.stanford.edu/kundaje/oak/projects/neuro-variants/variant_position/credible/roussos_2024/variant_figures/roussos_2024.adolescence.GLU/rs369247_profile_position.png",4,220,900)</f>
        <v/>
      </c>
    </row>
    <row r="21">
      <c r="A21" t="inlineStr">
        <is>
          <t>chr1</t>
        </is>
      </c>
      <c r="B21" t="n">
        <v>28828321</v>
      </c>
      <c r="C21" t="inlineStr">
        <is>
          <t>T</t>
        </is>
      </c>
      <c r="D21" t="inlineStr">
        <is>
          <t>G</t>
        </is>
      </c>
      <c r="E21" t="inlineStr">
        <is>
          <t>rs4654375</t>
        </is>
      </c>
      <c r="F21" t="n">
        <v>0.00824959716</v>
      </c>
      <c r="G21" t="n">
        <v>0.5615911307875338</v>
      </c>
      <c r="H21" t="n">
        <v>0.0204473413228029</v>
      </c>
      <c r="I21" t="n">
        <v>0.052264856453131</v>
      </c>
      <c r="J21" t="n">
        <v>0.1391131019996999</v>
      </c>
      <c r="K21" t="n">
        <v>0.4985982996614332</v>
      </c>
      <c r="L21" t="b">
        <v>0</v>
      </c>
      <c r="M21" t="b">
        <v>0</v>
      </c>
      <c r="N21" t="inlineStr">
        <is>
          <t>alt</t>
        </is>
      </c>
      <c r="O21" t="n">
        <v>-85</v>
      </c>
      <c r="P21" t="n">
        <v>0.01243</v>
      </c>
      <c r="Q21" t="n">
        <v>100</v>
      </c>
      <c r="R21" t="n">
        <v>0.05234</v>
      </c>
      <c r="S21">
        <f>IMAGE("https://mitra.stanford.edu/kundaje/oak/projects/neuro-variants/variant_position/credible/roussos_2024/variant_figures/roussos_2024.adolescence.GLU/rs4654375_count_position.png",4,220,900)</f>
        <v/>
      </c>
      <c r="T21">
        <f>IMAGE("https://mitra.stanford.edu/kundaje/oak/projects/neuro-variants/variant_position/credible/roussos_2024/variant_figures/roussos_2024.adolescence.GLU/rs4654375_profile_position.png",4,220,900)</f>
        <v/>
      </c>
    </row>
    <row r="22">
      <c r="A22" t="inlineStr">
        <is>
          <t>chr1</t>
        </is>
      </c>
      <c r="B22" t="n">
        <v>28833590</v>
      </c>
      <c r="C22" t="inlineStr">
        <is>
          <t>A</t>
        </is>
      </c>
      <c r="D22" t="inlineStr">
        <is>
          <t>G</t>
        </is>
      </c>
      <c r="E22" t="inlineStr">
        <is>
          <t>rs2236859</t>
        </is>
      </c>
      <c r="F22" t="n">
        <v>0.0166584039</v>
      </c>
      <c r="G22" t="n">
        <v>0.3825432718145705</v>
      </c>
      <c r="H22" t="n">
        <v>0.0122260761876344</v>
      </c>
      <c r="I22" t="n">
        <v>0.3488778172773076</v>
      </c>
      <c r="J22" t="n">
        <v>0.2572118510262839</v>
      </c>
      <c r="K22" t="n">
        <v>0.3258555643559891</v>
      </c>
      <c r="L22" t="b">
        <v>0</v>
      </c>
      <c r="M22" t="b">
        <v>0</v>
      </c>
      <c r="N22" t="inlineStr">
        <is>
          <t>alt</t>
        </is>
      </c>
      <c r="O22" t="n">
        <v>-100</v>
      </c>
      <c r="P22" t="n">
        <v>0.00271</v>
      </c>
      <c r="Q22" t="n">
        <v>-70</v>
      </c>
      <c r="R22" t="n">
        <v>0.05313</v>
      </c>
      <c r="S22">
        <f>IMAGE("https://mitra.stanford.edu/kundaje/oak/projects/neuro-variants/variant_position/credible/roussos_2024/variant_figures/roussos_2024.adolescence.GLU/rs2236859_count_position.png",4,220,900)</f>
        <v/>
      </c>
      <c r="T22">
        <f>IMAGE("https://mitra.stanford.edu/kundaje/oak/projects/neuro-variants/variant_position/credible/roussos_2024/variant_figures/roussos_2024.adolescence.GLU/rs2236859_profile_position.png",4,220,900)</f>
        <v/>
      </c>
    </row>
    <row r="23">
      <c r="A23" t="inlineStr">
        <is>
          <t>chr1</t>
        </is>
      </c>
      <c r="B23" t="n">
        <v>28835487</v>
      </c>
      <c r="C23" t="inlineStr">
        <is>
          <t>C</t>
        </is>
      </c>
      <c r="D23" t="inlineStr">
        <is>
          <t>A</t>
        </is>
      </c>
      <c r="E23" t="inlineStr">
        <is>
          <t>rs2236855</t>
        </is>
      </c>
      <c r="F23" t="n">
        <v>-0.02448238408</v>
      </c>
      <c r="G23" t="n">
        <v>0.2490668759085407</v>
      </c>
      <c r="H23" t="n">
        <v>0.0154497102632429</v>
      </c>
      <c r="I23" t="n">
        <v>0.1466628493084384</v>
      </c>
      <c r="J23" t="n">
        <v>0.3464703402847733</v>
      </c>
      <c r="K23" t="n">
        <v>0.2203975124011411</v>
      </c>
      <c r="L23" t="b">
        <v>0</v>
      </c>
      <c r="M23" t="b">
        <v>0</v>
      </c>
      <c r="N23" t="inlineStr">
        <is>
          <t>ref</t>
        </is>
      </c>
      <c r="O23" t="n">
        <v>70</v>
      </c>
      <c r="P23" t="n">
        <v>0.006607</v>
      </c>
      <c r="Q23" t="n">
        <v>70</v>
      </c>
      <c r="R23" t="n">
        <v>0.06232</v>
      </c>
      <c r="S23">
        <f>IMAGE("https://mitra.stanford.edu/kundaje/oak/projects/neuro-variants/variant_position/credible/roussos_2024/variant_figures/roussos_2024.adolescence.GLU/rs2236855_count_position.png",4,220,900)</f>
        <v/>
      </c>
      <c r="T23">
        <f>IMAGE("https://mitra.stanford.edu/kundaje/oak/projects/neuro-variants/variant_position/credible/roussos_2024/variant_figures/roussos_2024.adolescence.GLU/rs2236855_profile_position.png",4,220,900)</f>
        <v/>
      </c>
    </row>
    <row r="24">
      <c r="A24" t="inlineStr">
        <is>
          <t>chr1</t>
        </is>
      </c>
      <c r="B24" t="n">
        <v>28836056</v>
      </c>
      <c r="C24" t="inlineStr">
        <is>
          <t>A</t>
        </is>
      </c>
      <c r="D24" t="inlineStr">
        <is>
          <t>G</t>
        </is>
      </c>
      <c r="E24" t="inlineStr">
        <is>
          <t>rs760588</t>
        </is>
      </c>
      <c r="F24" t="n">
        <v>0.0207441356</v>
      </c>
      <c r="G24" t="n">
        <v>0.280330009287581</v>
      </c>
      <c r="H24" t="n">
        <v>0.0076613524518174</v>
      </c>
      <c r="I24" t="n">
        <v>0.8048384405089115</v>
      </c>
      <c r="J24" t="n">
        <v>0.3697365882932893</v>
      </c>
      <c r="K24" t="n">
        <v>0.1964758492435645</v>
      </c>
      <c r="L24" t="b">
        <v>0</v>
      </c>
      <c r="M24" t="b">
        <v>0</v>
      </c>
      <c r="N24" t="inlineStr">
        <is>
          <t>alt</t>
        </is>
      </c>
      <c r="O24" t="n">
        <v>-100</v>
      </c>
      <c r="P24" t="n">
        <v>0.002258</v>
      </c>
      <c r="Q24" t="n">
        <v>-55</v>
      </c>
      <c r="R24" t="n">
        <v>0.012634</v>
      </c>
      <c r="S24">
        <f>IMAGE("https://mitra.stanford.edu/kundaje/oak/projects/neuro-variants/variant_position/credible/roussos_2024/variant_figures/roussos_2024.adolescence.GLU/rs760588_count_position.png",4,220,900)</f>
        <v/>
      </c>
      <c r="T24">
        <f>IMAGE("https://mitra.stanford.edu/kundaje/oak/projects/neuro-variants/variant_position/credible/roussos_2024/variant_figures/roussos_2024.adolescence.GLU/rs760588_profile_position.png",4,220,900)</f>
        <v/>
      </c>
    </row>
    <row r="25">
      <c r="A25" t="inlineStr">
        <is>
          <t>chr1</t>
        </is>
      </c>
      <c r="B25" t="n">
        <v>28841542</v>
      </c>
      <c r="C25" t="inlineStr">
        <is>
          <t>C</t>
        </is>
      </c>
      <c r="D25" t="inlineStr">
        <is>
          <t>T</t>
        </is>
      </c>
      <c r="E25" t="inlineStr">
        <is>
          <t>rs4233254</t>
        </is>
      </c>
      <c r="F25" t="n">
        <v>-0.0297007136</v>
      </c>
      <c r="G25" t="n">
        <v>0.1819748342411815</v>
      </c>
      <c r="H25" t="n">
        <v>0.0127921986224461</v>
      </c>
      <c r="I25" t="n">
        <v>0.2869769588041286</v>
      </c>
      <c r="J25" t="n">
        <v>0.2621671631980909</v>
      </c>
      <c r="K25" t="n">
        <v>0.3136955081552229</v>
      </c>
      <c r="L25" t="b">
        <v>0</v>
      </c>
      <c r="M25" t="b">
        <v>0</v>
      </c>
      <c r="N25" t="inlineStr">
        <is>
          <t>ref</t>
        </is>
      </c>
      <c r="O25" t="n">
        <v>85</v>
      </c>
      <c r="P25" t="n">
        <v>0.02785</v>
      </c>
      <c r="Q25" t="n">
        <v>-100</v>
      </c>
      <c r="R25" t="n">
        <v>0.0977</v>
      </c>
      <c r="S25">
        <f>IMAGE("https://mitra.stanford.edu/kundaje/oak/projects/neuro-variants/variant_position/credible/roussos_2024/variant_figures/roussos_2024.adolescence.GLU/rs4233254_count_position.png",4,220,900)</f>
        <v/>
      </c>
      <c r="T25">
        <f>IMAGE("https://mitra.stanford.edu/kundaje/oak/projects/neuro-variants/variant_position/credible/roussos_2024/variant_figures/roussos_2024.adolescence.GLU/rs4233254_profile_position.png",4,220,900)</f>
        <v/>
      </c>
    </row>
    <row r="26">
      <c r="A26" t="inlineStr">
        <is>
          <t>chr1</t>
        </is>
      </c>
      <c r="B26" t="n">
        <v>28917939</v>
      </c>
      <c r="C26" t="inlineStr">
        <is>
          <t>G</t>
        </is>
      </c>
      <c r="D26" t="inlineStr">
        <is>
          <t>T</t>
        </is>
      </c>
      <c r="E26" t="inlineStr">
        <is>
          <t>rs150082</t>
        </is>
      </c>
      <c r="F26" t="n">
        <v>0.00683252137</v>
      </c>
      <c r="G26" t="n">
        <v>0.6272233527779477</v>
      </c>
      <c r="H26" t="n">
        <v>0.0255613305980451</v>
      </c>
      <c r="I26" t="n">
        <v>0.0211861865223098</v>
      </c>
      <c r="J26" t="n">
        <v>0.0252037922141014</v>
      </c>
      <c r="K26" t="n">
        <v>0.7929595460985037</v>
      </c>
      <c r="L26" t="b">
        <v>0</v>
      </c>
      <c r="M26" t="b">
        <v>0</v>
      </c>
      <c r="N26" t="inlineStr">
        <is>
          <t>alt</t>
        </is>
      </c>
      <c r="O26" t="n">
        <v>-85</v>
      </c>
      <c r="P26" t="n">
        <v>0.006218</v>
      </c>
      <c r="Q26" t="n">
        <v>-100</v>
      </c>
      <c r="R26" t="n">
        <v>0.0557</v>
      </c>
      <c r="S26">
        <f>IMAGE("https://mitra.stanford.edu/kundaje/oak/projects/neuro-variants/variant_position/credible/roussos_2024/variant_figures/roussos_2024.adolescence.GLU/rs150082_count_position.png",4,220,900)</f>
        <v/>
      </c>
      <c r="T26">
        <f>IMAGE("https://mitra.stanford.edu/kundaje/oak/projects/neuro-variants/variant_position/credible/roussos_2024/variant_figures/roussos_2024.adolescence.GLU/rs150082_profile_position.png",4,220,900)</f>
        <v/>
      </c>
    </row>
    <row r="27">
      <c r="A27" t="inlineStr">
        <is>
          <t>chr1</t>
        </is>
      </c>
      <c r="B27" t="n">
        <v>28959599</v>
      </c>
      <c r="C27" t="inlineStr">
        <is>
          <t>A</t>
        </is>
      </c>
      <c r="D27" t="inlineStr">
        <is>
          <t>T</t>
        </is>
      </c>
      <c r="E27" t="inlineStr">
        <is>
          <t>rs3102739</t>
        </is>
      </c>
      <c r="F27" t="n">
        <v>0.00654798605</v>
      </c>
      <c r="G27" t="n">
        <v>0.6167672658112278</v>
      </c>
      <c r="H27" t="n">
        <v>0.0078747712969779</v>
      </c>
      <c r="I27" t="n">
        <v>0.7370329462527053</v>
      </c>
      <c r="J27" t="n">
        <v>0.179077094541012</v>
      </c>
      <c r="K27" t="n">
        <v>0.4289998303221969</v>
      </c>
      <c r="L27" t="b">
        <v>0</v>
      </c>
      <c r="M27" t="b">
        <v>0</v>
      </c>
      <c r="N27" t="inlineStr">
        <is>
          <t>alt</t>
        </is>
      </c>
      <c r="O27" t="n">
        <v>55</v>
      </c>
      <c r="P27" t="n">
        <v>0.004906</v>
      </c>
      <c r="Q27" t="n">
        <v>-100</v>
      </c>
      <c r="R27" t="n">
        <v>0.02557</v>
      </c>
      <c r="S27">
        <f>IMAGE("https://mitra.stanford.edu/kundaje/oak/projects/neuro-variants/variant_position/credible/roussos_2024/variant_figures/roussos_2024.adolescence.GLU/rs3102739_count_position.png",4,220,900)</f>
        <v/>
      </c>
      <c r="T27">
        <f>IMAGE("https://mitra.stanford.edu/kundaje/oak/projects/neuro-variants/variant_position/credible/roussos_2024/variant_figures/roussos_2024.adolescence.GLU/rs3102739_profile_position.png",4,220,900)</f>
        <v/>
      </c>
    </row>
    <row r="28">
      <c r="A28" t="inlineStr">
        <is>
          <t>chr1</t>
        </is>
      </c>
      <c r="B28" t="n">
        <v>28983862</v>
      </c>
      <c r="C28" t="inlineStr">
        <is>
          <t>T</t>
        </is>
      </c>
      <c r="D28" t="inlineStr">
        <is>
          <t>G</t>
        </is>
      </c>
      <c r="E28" t="inlineStr">
        <is>
          <t>rs2985339</t>
        </is>
      </c>
      <c r="F28" t="n">
        <v>0.0231801908</v>
      </c>
      <c r="G28" t="n">
        <v>0.2348386080344176</v>
      </c>
      <c r="H28" t="n">
        <v>0.0151994553058011</v>
      </c>
      <c r="I28" t="n">
        <v>0.1613734734461623</v>
      </c>
      <c r="J28" t="n">
        <v>0.4067028170120953</v>
      </c>
      <c r="K28" t="n">
        <v>0.1616468561020531</v>
      </c>
      <c r="L28" t="b">
        <v>0</v>
      </c>
      <c r="M28" t="b">
        <v>0</v>
      </c>
      <c r="N28" t="inlineStr">
        <is>
          <t>alt</t>
        </is>
      </c>
      <c r="O28" t="n">
        <v>95</v>
      </c>
      <c r="P28" t="n">
        <v>0.004868</v>
      </c>
      <c r="Q28" t="n">
        <v>-100</v>
      </c>
      <c r="R28" t="n">
        <v>0.1394</v>
      </c>
      <c r="S28">
        <f>IMAGE("https://mitra.stanford.edu/kundaje/oak/projects/neuro-variants/variant_position/credible/roussos_2024/variant_figures/roussos_2024.adolescence.GLU/rs2985339_count_position.png",4,220,900)</f>
        <v/>
      </c>
      <c r="T28">
        <f>IMAGE("https://mitra.stanford.edu/kundaje/oak/projects/neuro-variants/variant_position/credible/roussos_2024/variant_figures/roussos_2024.adolescence.GLU/rs2985339_profile_position.png",4,220,900)</f>
        <v/>
      </c>
    </row>
    <row r="29">
      <c r="A29" t="inlineStr">
        <is>
          <t>chr1</t>
        </is>
      </c>
      <c r="B29" t="n">
        <v>28989957</v>
      </c>
      <c r="C29" t="inlineStr">
        <is>
          <t>G</t>
        </is>
      </c>
      <c r="D29" t="inlineStr">
        <is>
          <t>A</t>
        </is>
      </c>
      <c r="E29" t="inlineStr">
        <is>
          <t>rs7513398</t>
        </is>
      </c>
      <c r="F29" t="n">
        <v>-0.0057835805759999</v>
      </c>
      <c r="G29" t="n">
        <v>0.6772613600995644</v>
      </c>
      <c r="H29" t="n">
        <v>0.0240398732260124</v>
      </c>
      <c r="I29" t="n">
        <v>0.024364108922</v>
      </c>
      <c r="J29" t="n">
        <v>0.0637560637560637</v>
      </c>
      <c r="K29" t="n">
        <v>0.6710792618631265</v>
      </c>
      <c r="L29" t="b">
        <v>0</v>
      </c>
      <c r="M29" t="b">
        <v>0</v>
      </c>
      <c r="N29" t="inlineStr">
        <is>
          <t>ref</t>
        </is>
      </c>
      <c r="O29" t="n">
        <v>100</v>
      </c>
      <c r="P29" t="n">
        <v>0.02884</v>
      </c>
      <c r="Q29" t="n">
        <v>100</v>
      </c>
      <c r="R29" t="n">
        <v>0.1144</v>
      </c>
      <c r="S29">
        <f>IMAGE("https://mitra.stanford.edu/kundaje/oak/projects/neuro-variants/variant_position/credible/roussos_2024/variant_figures/roussos_2024.adolescence.GLU/rs7513398_count_position.png",4,220,900)</f>
        <v/>
      </c>
      <c r="T29">
        <f>IMAGE("https://mitra.stanford.edu/kundaje/oak/projects/neuro-variants/variant_position/credible/roussos_2024/variant_figures/roussos_2024.adolescence.GLU/rs7513398_profile_position.png",4,220,900)</f>
        <v/>
      </c>
    </row>
    <row r="30">
      <c r="A30" t="inlineStr">
        <is>
          <t>chr1</t>
        </is>
      </c>
      <c r="B30" t="n">
        <v>29040724</v>
      </c>
      <c r="C30" t="inlineStr">
        <is>
          <t>C</t>
        </is>
      </c>
      <c r="D30" t="inlineStr">
        <is>
          <t>T</t>
        </is>
      </c>
      <c r="E30" t="inlineStr">
        <is>
          <t>rs2486201</t>
        </is>
      </c>
      <c r="F30" t="n">
        <v>0.0301300416</v>
      </c>
      <c r="G30" t="n">
        <v>0.1687314797550462</v>
      </c>
      <c r="H30" t="n">
        <v>0.0238587875165329</v>
      </c>
      <c r="I30" t="n">
        <v>0.0249993771105571</v>
      </c>
      <c r="J30" t="n">
        <v>0.0573032985404118</v>
      </c>
      <c r="K30" t="n">
        <v>0.6829683319216103</v>
      </c>
      <c r="L30" t="b">
        <v>0</v>
      </c>
      <c r="M30" t="b">
        <v>0</v>
      </c>
      <c r="N30" t="inlineStr">
        <is>
          <t>alt</t>
        </is>
      </c>
      <c r="O30" t="n">
        <v>-5</v>
      </c>
      <c r="P30" t="n">
        <v>0.000103</v>
      </c>
      <c r="Q30" t="n">
        <v>15</v>
      </c>
      <c r="R30" t="n">
        <v>0.02692</v>
      </c>
      <c r="S30">
        <f>IMAGE("https://mitra.stanford.edu/kundaje/oak/projects/neuro-variants/variant_position/credible/roussos_2024/variant_figures/roussos_2024.adolescence.GLU/rs2486201_count_position.png",4,220,900)</f>
        <v/>
      </c>
      <c r="T30">
        <f>IMAGE("https://mitra.stanford.edu/kundaje/oak/projects/neuro-variants/variant_position/credible/roussos_2024/variant_figures/roussos_2024.adolescence.GLU/rs2486201_profile_position.png",4,220,900)</f>
        <v/>
      </c>
    </row>
    <row r="31">
      <c r="A31" t="inlineStr">
        <is>
          <t>chr1</t>
        </is>
      </c>
      <c r="B31" t="n">
        <v>29944296</v>
      </c>
      <c r="C31" t="inlineStr">
        <is>
          <t>C</t>
        </is>
      </c>
      <c r="D31" t="inlineStr">
        <is>
          <t>A</t>
        </is>
      </c>
      <c r="E31" t="inlineStr">
        <is>
          <t>rs10914662</t>
        </is>
      </c>
      <c r="F31" t="n">
        <v>-0.0214864904</v>
      </c>
      <c r="G31" t="n">
        <v>0.281076751993836</v>
      </c>
      <c r="H31" t="n">
        <v>0.0097569639049358</v>
      </c>
      <c r="I31" t="n">
        <v>0.5805860670788671</v>
      </c>
      <c r="J31" t="n">
        <v>0.5442313050560473</v>
      </c>
      <c r="K31" t="n">
        <v>0.06355275260534329</v>
      </c>
      <c r="L31" t="b">
        <v>0</v>
      </c>
      <c r="M31" t="b">
        <v>0</v>
      </c>
      <c r="N31" t="inlineStr">
        <is>
          <t>ref</t>
        </is>
      </c>
      <c r="O31" t="n">
        <v>-20</v>
      </c>
      <c r="P31" t="n">
        <v>0.002975</v>
      </c>
      <c r="Q31" t="n">
        <v>-20</v>
      </c>
      <c r="R31" t="n">
        <v>0.01807</v>
      </c>
      <c r="S31">
        <f>IMAGE("https://mitra.stanford.edu/kundaje/oak/projects/neuro-variants/variant_position/credible/roussos_2024/variant_figures/roussos_2024.adolescence.GLU/rs10914662_count_position.png",4,220,900)</f>
        <v/>
      </c>
      <c r="T31">
        <f>IMAGE("https://mitra.stanford.edu/kundaje/oak/projects/neuro-variants/variant_position/credible/roussos_2024/variant_figures/roussos_2024.adolescence.GLU/rs10914662_profile_position.png",4,220,900)</f>
        <v/>
      </c>
    </row>
    <row r="32">
      <c r="A32" t="inlineStr">
        <is>
          <t>chr1</t>
        </is>
      </c>
      <c r="B32" t="n">
        <v>29954792</v>
      </c>
      <c r="C32" t="inlineStr">
        <is>
          <t>A</t>
        </is>
      </c>
      <c r="D32" t="inlineStr">
        <is>
          <t>G</t>
        </is>
      </c>
      <c r="E32" t="inlineStr">
        <is>
          <t>rs56335113</t>
        </is>
      </c>
      <c r="F32" t="n">
        <v>0.0064587324</v>
      </c>
      <c r="G32" t="n">
        <v>0.5276123152510469</v>
      </c>
      <c r="H32" t="n">
        <v>0.019483502720286</v>
      </c>
      <c r="I32" t="n">
        <v>0.0693230748070377</v>
      </c>
      <c r="J32" t="n">
        <v>0.4188896271370498</v>
      </c>
      <c r="K32" t="n">
        <v>0.1510481176356692</v>
      </c>
      <c r="L32" t="b">
        <v>0</v>
      </c>
      <c r="M32" t="b">
        <v>0</v>
      </c>
      <c r="N32" t="inlineStr">
        <is>
          <t>alt</t>
        </is>
      </c>
      <c r="O32" t="n">
        <v>-25</v>
      </c>
      <c r="P32" t="n">
        <v>0.0007324</v>
      </c>
      <c r="Q32" t="n">
        <v>-80</v>
      </c>
      <c r="R32" t="n">
        <v>0.01013</v>
      </c>
      <c r="S32">
        <f>IMAGE("https://mitra.stanford.edu/kundaje/oak/projects/neuro-variants/variant_position/credible/roussos_2024/variant_figures/roussos_2024.adolescence.GLU/rs56335113_count_position.png",4,220,900)</f>
        <v/>
      </c>
      <c r="T32">
        <f>IMAGE("https://mitra.stanford.edu/kundaje/oak/projects/neuro-variants/variant_position/credible/roussos_2024/variant_figures/roussos_2024.adolescence.GLU/rs56335113_profile_position.png",4,220,900)</f>
        <v/>
      </c>
    </row>
    <row r="33">
      <c r="A33" t="inlineStr">
        <is>
          <t>chr1</t>
        </is>
      </c>
      <c r="B33" t="n">
        <v>29958713</v>
      </c>
      <c r="C33" t="inlineStr">
        <is>
          <t>G</t>
        </is>
      </c>
      <c r="D33" t="inlineStr">
        <is>
          <t>A</t>
        </is>
      </c>
      <c r="E33" t="inlineStr">
        <is>
          <t>rs1009080</t>
        </is>
      </c>
      <c r="F33" t="n">
        <v>-0.013395496</v>
      </c>
      <c r="G33" t="n">
        <v>0.4241104156204225</v>
      </c>
      <c r="H33" t="n">
        <v>0.0081611696172307</v>
      </c>
      <c r="I33" t="n">
        <v>0.7683083402723677</v>
      </c>
      <c r="J33" t="n">
        <v>0.2484143143936958</v>
      </c>
      <c r="K33" t="n">
        <v>0.3344325472735741</v>
      </c>
      <c r="L33" t="b">
        <v>0</v>
      </c>
      <c r="M33" t="b">
        <v>0</v>
      </c>
      <c r="N33" t="inlineStr">
        <is>
          <t>ref</t>
        </is>
      </c>
      <c r="O33" t="n">
        <v>-90</v>
      </c>
      <c r="P33" t="n">
        <v>0.00387</v>
      </c>
      <c r="Q33" t="n">
        <v>100</v>
      </c>
      <c r="R33" t="n">
        <v>0.0698</v>
      </c>
      <c r="S33">
        <f>IMAGE("https://mitra.stanford.edu/kundaje/oak/projects/neuro-variants/variant_position/credible/roussos_2024/variant_figures/roussos_2024.adolescence.GLU/rs1009080_count_position.png",4,220,900)</f>
        <v/>
      </c>
      <c r="T33">
        <f>IMAGE("https://mitra.stanford.edu/kundaje/oak/projects/neuro-variants/variant_position/credible/roussos_2024/variant_figures/roussos_2024.adolescence.GLU/rs1009080_profile_position.png",4,220,900)</f>
        <v/>
      </c>
    </row>
    <row r="34">
      <c r="A34" t="inlineStr">
        <is>
          <t>chr1</t>
        </is>
      </c>
      <c r="B34" t="n">
        <v>29961039</v>
      </c>
      <c r="C34" t="inlineStr">
        <is>
          <t>C</t>
        </is>
      </c>
      <c r="D34" t="inlineStr">
        <is>
          <t>G</t>
        </is>
      </c>
      <c r="E34" t="inlineStr">
        <is>
          <t>rs6679167</t>
        </is>
      </c>
      <c r="F34" t="n">
        <v>-0.0212894225999999</v>
      </c>
      <c r="G34" t="n">
        <v>0.2852778464650314</v>
      </c>
      <c r="H34" t="n">
        <v>0.009067610260111899</v>
      </c>
      <c r="I34" t="n">
        <v>0.6536160769835849</v>
      </c>
      <c r="J34" t="n">
        <v>0.6839273849583128</v>
      </c>
      <c r="K34" t="n">
        <v>0.0173918935898869</v>
      </c>
      <c r="L34" t="b">
        <v>0</v>
      </c>
      <c r="M34" t="b">
        <v>0</v>
      </c>
      <c r="N34" t="inlineStr">
        <is>
          <t>ref</t>
        </is>
      </c>
      <c r="O34" t="n">
        <v>15</v>
      </c>
      <c r="P34" t="n">
        <v>0.001282</v>
      </c>
      <c r="Q34" t="n">
        <v>-30</v>
      </c>
      <c r="R34" t="n">
        <v>0.03906</v>
      </c>
      <c r="S34">
        <f>IMAGE("https://mitra.stanford.edu/kundaje/oak/projects/neuro-variants/variant_position/credible/roussos_2024/variant_figures/roussos_2024.adolescence.GLU/rs6679167_count_position.png",4,220,900)</f>
        <v/>
      </c>
      <c r="T34">
        <f>IMAGE("https://mitra.stanford.edu/kundaje/oak/projects/neuro-variants/variant_position/credible/roussos_2024/variant_figures/roussos_2024.adolescence.GLU/rs6679167_profile_position.png",4,220,900)</f>
        <v/>
      </c>
    </row>
    <row r="35">
      <c r="A35" t="inlineStr">
        <is>
          <t>chr1</t>
        </is>
      </c>
      <c r="B35" t="n">
        <v>29961104</v>
      </c>
      <c r="C35" t="inlineStr">
        <is>
          <t>T</t>
        </is>
      </c>
      <c r="D35" t="inlineStr">
        <is>
          <t>C</t>
        </is>
      </c>
      <c r="E35" t="inlineStr">
        <is>
          <t>rs1498232</t>
        </is>
      </c>
      <c r="F35" t="n">
        <v>-0.2058865359999999</v>
      </c>
      <c r="G35" t="n">
        <v>0.0008837351386743999</v>
      </c>
      <c r="H35" t="n">
        <v>0.0327919686207615</v>
      </c>
      <c r="I35" t="n">
        <v>0.0076129703050272</v>
      </c>
      <c r="J35" t="n">
        <v>0.6852919533331903</v>
      </c>
      <c r="K35" t="n">
        <v>0.0171843153644993</v>
      </c>
      <c r="L35" t="b">
        <v>1</v>
      </c>
      <c r="M35" t="b">
        <v>1</v>
      </c>
      <c r="N35" t="inlineStr">
        <is>
          <t>ref</t>
        </is>
      </c>
      <c r="O35" t="n">
        <v>100</v>
      </c>
      <c r="P35" t="n">
        <v>0.001099</v>
      </c>
      <c r="Q35" t="n">
        <v>100</v>
      </c>
      <c r="R35" t="n">
        <v>0.01318</v>
      </c>
      <c r="S35">
        <f>IMAGE("https://mitra.stanford.edu/kundaje/oak/projects/neuro-variants/variant_position/credible/roussos_2024/variant_figures/roussos_2024.adolescence.GLU/rs1498232_count_position.png",4,220,900)</f>
        <v/>
      </c>
      <c r="T35">
        <f>IMAGE("https://mitra.stanford.edu/kundaje/oak/projects/neuro-variants/variant_position/credible/roussos_2024/variant_figures/roussos_2024.adolescence.GLU/rs1498232_profile_position.png",4,220,900)</f>
        <v/>
      </c>
    </row>
    <row r="36">
      <c r="A36" t="inlineStr">
        <is>
          <t>chr1</t>
        </is>
      </c>
      <c r="B36" t="n">
        <v>29990225</v>
      </c>
      <c r="C36" t="inlineStr">
        <is>
          <t>C</t>
        </is>
      </c>
      <c r="D36" t="inlineStr">
        <is>
          <t>T</t>
        </is>
      </c>
      <c r="E36" t="inlineStr">
        <is>
          <t>rs10127492</t>
        </is>
      </c>
      <c r="F36" t="n">
        <v>0.0185139179</v>
      </c>
      <c r="G36" t="n">
        <v>0.2935769511439088</v>
      </c>
      <c r="H36" t="n">
        <v>0.0142715390054444</v>
      </c>
      <c r="I36" t="n">
        <v>0.1956857049073651</v>
      </c>
      <c r="J36" t="n">
        <v>0.5606418472397854</v>
      </c>
      <c r="K36" t="n">
        <v>0.0543704407952233</v>
      </c>
      <c r="L36" t="b">
        <v>0</v>
      </c>
      <c r="M36" t="b">
        <v>0</v>
      </c>
      <c r="N36" t="inlineStr">
        <is>
          <t>alt</t>
        </is>
      </c>
      <c r="O36" t="n">
        <v>-50</v>
      </c>
      <c r="P36" t="n">
        <v>0.00647</v>
      </c>
      <c r="Q36" t="n">
        <v>-45</v>
      </c>
      <c r="R36" t="n">
        <v>0.03516</v>
      </c>
      <c r="S36">
        <f>IMAGE("https://mitra.stanford.edu/kundaje/oak/projects/neuro-variants/variant_position/credible/roussos_2024/variant_figures/roussos_2024.adolescence.GLU/rs10127492_count_position.png",4,220,900)</f>
        <v/>
      </c>
      <c r="T36">
        <f>IMAGE("https://mitra.stanford.edu/kundaje/oak/projects/neuro-variants/variant_position/credible/roussos_2024/variant_figures/roussos_2024.adolescence.GLU/rs10127492_profile_position.png",4,220,900)</f>
        <v/>
      </c>
    </row>
    <row r="37">
      <c r="A37" t="inlineStr">
        <is>
          <t>chr1</t>
        </is>
      </c>
      <c r="B37" t="n">
        <v>29998186</v>
      </c>
      <c r="C37" t="inlineStr">
        <is>
          <t>G</t>
        </is>
      </c>
      <c r="D37" t="inlineStr">
        <is>
          <t>T</t>
        </is>
      </c>
      <c r="E37" t="inlineStr">
        <is>
          <t>rs10798981</t>
        </is>
      </c>
      <c r="F37" t="n">
        <v>0.011664140982</v>
      </c>
      <c r="G37" t="n">
        <v>0.5213385470612797</v>
      </c>
      <c r="H37" t="n">
        <v>0.0123879815961613</v>
      </c>
      <c r="I37" t="n">
        <v>0.2926096273450799</v>
      </c>
      <c r="J37" t="n">
        <v>0.0659993855870144</v>
      </c>
      <c r="K37" t="n">
        <v>0.6586849814455052</v>
      </c>
      <c r="L37" t="b">
        <v>0</v>
      </c>
      <c r="M37" t="b">
        <v>0</v>
      </c>
      <c r="N37" t="inlineStr">
        <is>
          <t>alt</t>
        </is>
      </c>
      <c r="O37" t="n">
        <v>-80</v>
      </c>
      <c r="P37" t="n">
        <v>0.006203</v>
      </c>
      <c r="Q37" t="n">
        <v>10</v>
      </c>
      <c r="R37" t="n">
        <v>0.02362</v>
      </c>
      <c r="S37">
        <f>IMAGE("https://mitra.stanford.edu/kundaje/oak/projects/neuro-variants/variant_position/credible/roussos_2024/variant_figures/roussos_2024.adolescence.GLU/rs10798981_count_position.png",4,220,900)</f>
        <v/>
      </c>
      <c r="T37">
        <f>IMAGE("https://mitra.stanford.edu/kundaje/oak/projects/neuro-variants/variant_position/credible/roussos_2024/variant_figures/roussos_2024.adolescence.GLU/rs10798981_profile_position.png",4,220,900)</f>
        <v/>
      </c>
    </row>
    <row r="38">
      <c r="A38" t="inlineStr">
        <is>
          <t>chr1</t>
        </is>
      </c>
      <c r="B38" t="n">
        <v>30001463</v>
      </c>
      <c r="C38" t="inlineStr">
        <is>
          <t>C</t>
        </is>
      </c>
      <c r="D38" t="inlineStr">
        <is>
          <t>T</t>
        </is>
      </c>
      <c r="E38" t="inlineStr">
        <is>
          <t>rs143052415</t>
        </is>
      </c>
      <c r="F38" t="n">
        <v>-0.080765742</v>
      </c>
      <c r="G38" t="n">
        <v>0.0183888549555418</v>
      </c>
      <c r="H38" t="n">
        <v>0.0114001739769956</v>
      </c>
      <c r="I38" t="n">
        <v>0.3714655968395334</v>
      </c>
      <c r="J38" t="n">
        <v>0.5004408055954448</v>
      </c>
      <c r="K38" t="n">
        <v>0.0884140484322915</v>
      </c>
      <c r="L38" t="b">
        <v>1</v>
      </c>
      <c r="M38" t="b">
        <v>0</v>
      </c>
      <c r="N38" t="inlineStr">
        <is>
          <t>ref</t>
        </is>
      </c>
      <c r="O38" t="n">
        <v>-55</v>
      </c>
      <c r="P38" t="n">
        <v>0.0006256</v>
      </c>
      <c r="Q38" t="n">
        <v>50</v>
      </c>
      <c r="R38" t="n">
        <v>0.0177</v>
      </c>
      <c r="S38">
        <f>IMAGE("https://mitra.stanford.edu/kundaje/oak/projects/neuro-variants/variant_position/credible/roussos_2024/variant_figures/roussos_2024.adolescence.GLU/rs143052415_count_position.png",4,220,900)</f>
        <v/>
      </c>
      <c r="T38">
        <f>IMAGE("https://mitra.stanford.edu/kundaje/oak/projects/neuro-variants/variant_position/credible/roussos_2024/variant_figures/roussos_2024.adolescence.GLU/rs143052415_profile_position.png",4,220,900)</f>
        <v/>
      </c>
    </row>
    <row r="39">
      <c r="A39" t="inlineStr">
        <is>
          <t>chr1</t>
        </is>
      </c>
      <c r="B39" t="n">
        <v>30059087</v>
      </c>
      <c r="C39" t="inlineStr">
        <is>
          <t>G</t>
        </is>
      </c>
      <c r="D39" t="inlineStr">
        <is>
          <t>A</t>
        </is>
      </c>
      <c r="E39" t="inlineStr">
        <is>
          <t>rs1966008</t>
        </is>
      </c>
      <c r="F39" t="n">
        <v>-0.070045312</v>
      </c>
      <c r="G39" t="n">
        <v>0.0240131693162213</v>
      </c>
      <c r="H39" t="n">
        <v>0.013100522719295</v>
      </c>
      <c r="I39" t="n">
        <v>0.255469963082984</v>
      </c>
      <c r="J39" t="n">
        <v>0.3890991705424695</v>
      </c>
      <c r="K39" t="n">
        <v>0.1752371816241431</v>
      </c>
      <c r="L39" t="b">
        <v>0</v>
      </c>
      <c r="M39" t="b">
        <v>0</v>
      </c>
      <c r="N39" t="inlineStr">
        <is>
          <t>ref</t>
        </is>
      </c>
      <c r="O39" t="n">
        <v>70</v>
      </c>
      <c r="P39" t="n">
        <v>0.006027</v>
      </c>
      <c r="Q39" t="n">
        <v>80</v>
      </c>
      <c r="R39" t="n">
        <v>0.07149999999999999</v>
      </c>
      <c r="S39">
        <f>IMAGE("https://mitra.stanford.edu/kundaje/oak/projects/neuro-variants/variant_position/credible/roussos_2024/variant_figures/roussos_2024.adolescence.GLU/rs1966008_count_position.png",4,220,900)</f>
        <v/>
      </c>
      <c r="T39">
        <f>IMAGE("https://mitra.stanford.edu/kundaje/oak/projects/neuro-variants/variant_position/credible/roussos_2024/variant_figures/roussos_2024.adolescence.GLU/rs1966008_profile_position.png",4,220,900)</f>
        <v/>
      </c>
    </row>
    <row r="40">
      <c r="A40" t="inlineStr">
        <is>
          <t>chr1</t>
        </is>
      </c>
      <c r="B40" t="n">
        <v>30059135</v>
      </c>
      <c r="C40" t="inlineStr">
        <is>
          <t>C</t>
        </is>
      </c>
      <c r="D40" t="inlineStr">
        <is>
          <t>T</t>
        </is>
      </c>
      <c r="E40" t="inlineStr">
        <is>
          <t>rs1966007</t>
        </is>
      </c>
      <c r="F40" t="n">
        <v>0.0481254852</v>
      </c>
      <c r="G40" t="n">
        <v>0.07839442127388679</v>
      </c>
      <c r="H40" t="n">
        <v>0.0161874865430452</v>
      </c>
      <c r="I40" t="n">
        <v>0.1528843051100659</v>
      </c>
      <c r="J40" t="n">
        <v>0.4056468839973994</v>
      </c>
      <c r="K40" t="n">
        <v>0.1597261077056755</v>
      </c>
      <c r="L40" t="b">
        <v>0</v>
      </c>
      <c r="M40" t="b">
        <v>0</v>
      </c>
      <c r="N40" t="inlineStr">
        <is>
          <t>alt</t>
        </is>
      </c>
      <c r="O40" t="n">
        <v>25</v>
      </c>
      <c r="P40" t="n">
        <v>0.002563</v>
      </c>
      <c r="Q40" t="n">
        <v>30</v>
      </c>
      <c r="R40" t="n">
        <v>0.03296</v>
      </c>
      <c r="S40">
        <f>IMAGE("https://mitra.stanford.edu/kundaje/oak/projects/neuro-variants/variant_position/credible/roussos_2024/variant_figures/roussos_2024.adolescence.GLU/rs1966007_count_position.png",4,220,900)</f>
        <v/>
      </c>
      <c r="T40">
        <f>IMAGE("https://mitra.stanford.edu/kundaje/oak/projects/neuro-variants/variant_position/credible/roussos_2024/variant_figures/roussos_2024.adolescence.GLU/rs1966007_profile_position.png",4,220,900)</f>
        <v/>
      </c>
    </row>
    <row r="41">
      <c r="A41" t="inlineStr">
        <is>
          <t>chr1</t>
        </is>
      </c>
      <c r="B41" t="n">
        <v>30059448</v>
      </c>
      <c r="C41" t="inlineStr">
        <is>
          <t>C</t>
        </is>
      </c>
      <c r="D41" t="inlineStr">
        <is>
          <t>T</t>
        </is>
      </c>
      <c r="E41" t="inlineStr">
        <is>
          <t>rs616924</t>
        </is>
      </c>
      <c r="F41" t="n">
        <v>0.0772444694</v>
      </c>
      <c r="G41" t="n">
        <v>0.0221210068248486</v>
      </c>
      <c r="H41" t="n">
        <v>0.0234183780420694</v>
      </c>
      <c r="I41" t="n">
        <v>0.0261388427409339</v>
      </c>
      <c r="J41" t="n">
        <v>0.4202641975837852</v>
      </c>
      <c r="K41" t="n">
        <v>0.1448138123889261</v>
      </c>
      <c r="L41" t="b">
        <v>0</v>
      </c>
      <c r="M41" t="b">
        <v>0</v>
      </c>
      <c r="N41" t="inlineStr">
        <is>
          <t>alt</t>
        </is>
      </c>
      <c r="O41" t="n">
        <v>-95</v>
      </c>
      <c r="P41" t="n">
        <v>0.006104</v>
      </c>
      <c r="Q41" t="n">
        <v>-85</v>
      </c>
      <c r="R41" t="n">
        <v>0.0334</v>
      </c>
      <c r="S41">
        <f>IMAGE("https://mitra.stanford.edu/kundaje/oak/projects/neuro-variants/variant_position/credible/roussos_2024/variant_figures/roussos_2024.adolescence.GLU/rs616924_count_position.png",4,220,900)</f>
        <v/>
      </c>
      <c r="T41">
        <f>IMAGE("https://mitra.stanford.edu/kundaje/oak/projects/neuro-variants/variant_position/credible/roussos_2024/variant_figures/roussos_2024.adolescence.GLU/rs616924_profile_position.png",4,220,900)</f>
        <v/>
      </c>
    </row>
    <row r="42">
      <c r="A42" t="inlineStr">
        <is>
          <t>chr1</t>
        </is>
      </c>
      <c r="B42" t="n">
        <v>35702473</v>
      </c>
      <c r="C42" t="inlineStr">
        <is>
          <t>C</t>
        </is>
      </c>
      <c r="D42" t="inlineStr">
        <is>
          <t>A</t>
        </is>
      </c>
      <c r="E42" t="inlineStr">
        <is>
          <t>rs28734113</t>
        </is>
      </c>
      <c r="F42" t="n">
        <v>-0.0372158406</v>
      </c>
      <c r="G42" t="n">
        <v>0.1265199340284821</v>
      </c>
      <c r="H42" t="n">
        <v>0.0222103273713831</v>
      </c>
      <c r="I42" t="n">
        <v>0.0361786122136292</v>
      </c>
      <c r="J42" t="n">
        <v>0.5544662823013338</v>
      </c>
      <c r="K42" t="n">
        <v>0.0571215480609422</v>
      </c>
      <c r="L42" t="b">
        <v>0</v>
      </c>
      <c r="M42" t="b">
        <v>0</v>
      </c>
      <c r="N42" t="inlineStr">
        <is>
          <t>ref</t>
        </is>
      </c>
      <c r="O42" t="n">
        <v>70</v>
      </c>
      <c r="P42" t="n">
        <v>0.00708</v>
      </c>
      <c r="Q42" t="n">
        <v>-65</v>
      </c>
      <c r="R42" t="n">
        <v>0.01929</v>
      </c>
      <c r="S42">
        <f>IMAGE("https://mitra.stanford.edu/kundaje/oak/projects/neuro-variants/variant_position/credible/roussos_2024/variant_figures/roussos_2024.adolescence.GLU/rs28734113_count_position.png",4,220,900)</f>
        <v/>
      </c>
      <c r="T42">
        <f>IMAGE("https://mitra.stanford.edu/kundaje/oak/projects/neuro-variants/variant_position/credible/roussos_2024/variant_figures/roussos_2024.adolescence.GLU/rs28734113_profile_position.png",4,220,900)</f>
        <v/>
      </c>
    </row>
    <row r="43">
      <c r="A43" t="inlineStr">
        <is>
          <t>chr1</t>
        </is>
      </c>
      <c r="B43" t="n">
        <v>35713267</v>
      </c>
      <c r="C43" t="inlineStr">
        <is>
          <t>G</t>
        </is>
      </c>
      <c r="D43" t="inlineStr">
        <is>
          <t>T</t>
        </is>
      </c>
      <c r="E43" t="inlineStr">
        <is>
          <t>rs12562583</t>
        </is>
      </c>
      <c r="F43" t="n">
        <v>-0.00161003494</v>
      </c>
      <c r="G43" t="n">
        <v>0.8417554111579642</v>
      </c>
      <c r="H43" t="n">
        <v>0.0260230905955412</v>
      </c>
      <c r="I43" t="n">
        <v>0.019094674598176</v>
      </c>
      <c r="J43" t="n">
        <v>0.1210350715505354</v>
      </c>
      <c r="K43" t="n">
        <v>0.5383071196482399</v>
      </c>
      <c r="L43" t="b">
        <v>1</v>
      </c>
      <c r="M43" t="b">
        <v>0</v>
      </c>
      <c r="N43" t="inlineStr">
        <is>
          <t>ref</t>
        </is>
      </c>
      <c r="O43" t="n">
        <v>-100</v>
      </c>
      <c r="P43" t="n">
        <v>0.04114</v>
      </c>
      <c r="Q43" t="n">
        <v>50</v>
      </c>
      <c r="R43" t="n">
        <v>0.04385</v>
      </c>
      <c r="S43">
        <f>IMAGE("https://mitra.stanford.edu/kundaje/oak/projects/neuro-variants/variant_position/credible/roussos_2024/variant_figures/roussos_2024.adolescence.GLU/rs12562583_count_position.png",4,220,900)</f>
        <v/>
      </c>
      <c r="T43">
        <f>IMAGE("https://mitra.stanford.edu/kundaje/oak/projects/neuro-variants/variant_position/credible/roussos_2024/variant_figures/roussos_2024.adolescence.GLU/rs12562583_profile_position.png",4,220,900)</f>
        <v/>
      </c>
    </row>
    <row r="44">
      <c r="A44" t="inlineStr">
        <is>
          <t>chr1</t>
        </is>
      </c>
      <c r="B44" t="n">
        <v>35720505</v>
      </c>
      <c r="C44" t="inlineStr">
        <is>
          <t>A</t>
        </is>
      </c>
      <c r="D44" t="inlineStr">
        <is>
          <t>G</t>
        </is>
      </c>
      <c r="E44" t="inlineStr">
        <is>
          <t>rs6658453</t>
        </is>
      </c>
      <c r="F44" t="n">
        <v>0.09354834319999999</v>
      </c>
      <c r="G44" t="n">
        <v>0.0107414331328182</v>
      </c>
      <c r="H44" t="n">
        <v>0.0196460617341972</v>
      </c>
      <c r="I44" t="n">
        <v>0.07175396428156131</v>
      </c>
      <c r="J44" t="n">
        <v>0.2127626436904787</v>
      </c>
      <c r="K44" t="n">
        <v>0.3853169643459844</v>
      </c>
      <c r="L44" t="b">
        <v>1</v>
      </c>
      <c r="M44" t="b">
        <v>0</v>
      </c>
      <c r="N44" t="inlineStr">
        <is>
          <t>alt</t>
        </is>
      </c>
      <c r="O44" t="n">
        <v>65</v>
      </c>
      <c r="P44" t="n">
        <v>0.0006104</v>
      </c>
      <c r="Q44" t="n">
        <v>-95</v>
      </c>
      <c r="R44" t="n">
        <v>0.0876</v>
      </c>
      <c r="S44">
        <f>IMAGE("https://mitra.stanford.edu/kundaje/oak/projects/neuro-variants/variant_position/credible/roussos_2024/variant_figures/roussos_2024.adolescence.GLU/rs6658453_count_position.png",4,220,900)</f>
        <v/>
      </c>
      <c r="T44">
        <f>IMAGE("https://mitra.stanford.edu/kundaje/oak/projects/neuro-variants/variant_position/credible/roussos_2024/variant_figures/roussos_2024.adolescence.GLU/rs6658453_profile_position.png",4,220,900)</f>
        <v/>
      </c>
    </row>
    <row r="45">
      <c r="A45" t="inlineStr">
        <is>
          <t>chr1</t>
        </is>
      </c>
      <c r="B45" t="n">
        <v>35729771</v>
      </c>
      <c r="C45" t="inlineStr">
        <is>
          <t>C</t>
        </is>
      </c>
      <c r="D45" t="inlineStr">
        <is>
          <t>T</t>
        </is>
      </c>
      <c r="E45" t="inlineStr">
        <is>
          <t>rs11264194</t>
        </is>
      </c>
      <c r="F45" t="n">
        <v>-0.0181902636</v>
      </c>
      <c r="G45" t="n">
        <v>0.352671394627793</v>
      </c>
      <c r="H45" t="n">
        <v>0.0076837965933393</v>
      </c>
      <c r="I45" t="n">
        <v>0.8274528775195931</v>
      </c>
      <c r="J45" t="n">
        <v>0.2071000421515885</v>
      </c>
      <c r="K45" t="n">
        <v>0.3943897183561595</v>
      </c>
      <c r="L45" t="b">
        <v>0</v>
      </c>
      <c r="M45" t="b">
        <v>0</v>
      </c>
      <c r="N45" t="inlineStr">
        <is>
          <t>ref</t>
        </is>
      </c>
      <c r="O45" t="n">
        <v>100</v>
      </c>
      <c r="P45" t="n">
        <v>0.002525</v>
      </c>
      <c r="Q45" t="n">
        <v>-90</v>
      </c>
      <c r="R45" t="n">
        <v>0.05072</v>
      </c>
      <c r="S45">
        <f>IMAGE("https://mitra.stanford.edu/kundaje/oak/projects/neuro-variants/variant_position/credible/roussos_2024/variant_figures/roussos_2024.adolescence.GLU/rs11264194_count_position.png",4,220,900)</f>
        <v/>
      </c>
      <c r="T45">
        <f>IMAGE("https://mitra.stanford.edu/kundaje/oak/projects/neuro-variants/variant_position/credible/roussos_2024/variant_figures/roussos_2024.adolescence.GLU/rs11264194_profile_position.png",4,220,900)</f>
        <v/>
      </c>
    </row>
    <row r="46">
      <c r="A46" t="inlineStr">
        <is>
          <t>chr1</t>
        </is>
      </c>
      <c r="B46" t="n">
        <v>35754957</v>
      </c>
      <c r="C46" t="inlineStr">
        <is>
          <t>C</t>
        </is>
      </c>
      <c r="D46" t="inlineStr">
        <is>
          <t>A</t>
        </is>
      </c>
      <c r="E46" t="inlineStr">
        <is>
          <t>rs16822339</t>
        </is>
      </c>
      <c r="F46" t="n">
        <v>0.018525061162</v>
      </c>
      <c r="G46" t="n">
        <v>0.3204798075461266</v>
      </c>
      <c r="H46" t="n">
        <v>0.015327799370348</v>
      </c>
      <c r="I46" t="n">
        <v>0.1578343221953036</v>
      </c>
      <c r="J46" t="n">
        <v>0.0792278400525822</v>
      </c>
      <c r="K46" t="n">
        <v>0.6255551955514936</v>
      </c>
      <c r="L46" t="b">
        <v>0</v>
      </c>
      <c r="M46" t="b">
        <v>0</v>
      </c>
      <c r="N46" t="inlineStr">
        <is>
          <t>alt</t>
        </is>
      </c>
      <c r="O46" t="n">
        <v>30</v>
      </c>
      <c r="P46" t="n">
        <v>0.006153</v>
      </c>
      <c r="Q46" t="n">
        <v>85</v>
      </c>
      <c r="R46" t="n">
        <v>0.00653</v>
      </c>
      <c r="S46">
        <f>IMAGE("https://mitra.stanford.edu/kundaje/oak/projects/neuro-variants/variant_position/credible/roussos_2024/variant_figures/roussos_2024.adolescence.GLU/rs16822339_count_position.png",4,220,900)</f>
        <v/>
      </c>
      <c r="T46">
        <f>IMAGE("https://mitra.stanford.edu/kundaje/oak/projects/neuro-variants/variant_position/credible/roussos_2024/variant_figures/roussos_2024.adolescence.GLU/rs16822339_profile_position.png",4,220,900)</f>
        <v/>
      </c>
    </row>
    <row r="47">
      <c r="A47" t="inlineStr">
        <is>
          <t>chr1</t>
        </is>
      </c>
      <c r="B47" t="n">
        <v>35796132</v>
      </c>
      <c r="C47" t="inlineStr">
        <is>
          <t>T</t>
        </is>
      </c>
      <c r="D47" t="inlineStr">
        <is>
          <t>G</t>
        </is>
      </c>
      <c r="E47" t="inlineStr">
        <is>
          <t>rs12037102</t>
        </is>
      </c>
      <c r="F47" t="n">
        <v>-0.000962913072</v>
      </c>
      <c r="G47" t="n">
        <v>0.5470720064228276</v>
      </c>
      <c r="H47" t="n">
        <v>0.0128732267295157</v>
      </c>
      <c r="I47" t="n">
        <v>0.2876220552810677</v>
      </c>
      <c r="J47" t="n">
        <v>0.192139800387223</v>
      </c>
      <c r="K47" t="n">
        <v>0.4162558362230629</v>
      </c>
      <c r="L47" t="b">
        <v>0</v>
      </c>
      <c r="M47" t="b">
        <v>0</v>
      </c>
      <c r="N47" t="inlineStr">
        <is>
          <t>ref</t>
        </is>
      </c>
      <c r="O47" t="n">
        <v>100</v>
      </c>
      <c r="P47" t="n">
        <v>0.00826</v>
      </c>
      <c r="Q47" t="n">
        <v>40</v>
      </c>
      <c r="R47" t="n">
        <v>0.02734</v>
      </c>
      <c r="S47">
        <f>IMAGE("https://mitra.stanford.edu/kundaje/oak/projects/neuro-variants/variant_position/credible/roussos_2024/variant_figures/roussos_2024.adolescence.GLU/rs12037102_count_position.png",4,220,900)</f>
        <v/>
      </c>
      <c r="T47">
        <f>IMAGE("https://mitra.stanford.edu/kundaje/oak/projects/neuro-variants/variant_position/credible/roussos_2024/variant_figures/roussos_2024.adolescence.GLU/rs12037102_profile_position.png",4,220,900)</f>
        <v/>
      </c>
    </row>
    <row r="48">
      <c r="A48" t="inlineStr">
        <is>
          <t>chr1</t>
        </is>
      </c>
      <c r="B48" t="n">
        <v>35810036</v>
      </c>
      <c r="C48" t="inlineStr">
        <is>
          <t>T</t>
        </is>
      </c>
      <c r="D48" t="inlineStr">
        <is>
          <t>G</t>
        </is>
      </c>
      <c r="E48" t="inlineStr">
        <is>
          <t>rs515346</t>
        </is>
      </c>
      <c r="F48" t="n">
        <v>-0.00161940982</v>
      </c>
      <c r="G48" t="n">
        <v>0.7877859844275383</v>
      </c>
      <c r="H48" t="n">
        <v>0.0374414640540649</v>
      </c>
      <c r="I48" t="n">
        <v>0.0033599913118016</v>
      </c>
      <c r="J48" t="n">
        <v>0.1383143651184888</v>
      </c>
      <c r="K48" t="n">
        <v>0.4958425896219098</v>
      </c>
      <c r="L48" t="b">
        <v>1</v>
      </c>
      <c r="M48" t="b">
        <v>1</v>
      </c>
      <c r="N48" t="inlineStr">
        <is>
          <t>ref</t>
        </is>
      </c>
      <c r="O48" t="n">
        <v>100</v>
      </c>
      <c r="P48" t="n">
        <v>0.01874</v>
      </c>
      <c r="Q48" t="n">
        <v>100</v>
      </c>
      <c r="R48" t="n">
        <v>0.0843</v>
      </c>
      <c r="S48">
        <f>IMAGE("https://mitra.stanford.edu/kundaje/oak/projects/neuro-variants/variant_position/credible/roussos_2024/variant_figures/roussos_2024.adolescence.GLU/rs515346_count_position.png",4,220,900)</f>
        <v/>
      </c>
      <c r="T48">
        <f>IMAGE("https://mitra.stanford.edu/kundaje/oak/projects/neuro-variants/variant_position/credible/roussos_2024/variant_figures/roussos_2024.adolescence.GLU/rs515346_profile_position.png",4,220,900)</f>
        <v/>
      </c>
    </row>
    <row r="49">
      <c r="A49" t="inlineStr">
        <is>
          <t>chr1</t>
        </is>
      </c>
      <c r="B49" t="n">
        <v>35890856</v>
      </c>
      <c r="C49" t="inlineStr">
        <is>
          <t>A</t>
        </is>
      </c>
      <c r="D49" t="inlineStr">
        <is>
          <t>G</t>
        </is>
      </c>
      <c r="E49" t="inlineStr">
        <is>
          <t>rs2765012</t>
        </is>
      </c>
      <c r="F49" t="n">
        <v>0.00640699016</v>
      </c>
      <c r="G49" t="n">
        <v>0.6422532942229078</v>
      </c>
      <c r="H49" t="n">
        <v>0.0136054467263083</v>
      </c>
      <c r="I49" t="n">
        <v>0.2316741635387821</v>
      </c>
      <c r="J49" t="n">
        <v>0.0395982024848003</v>
      </c>
      <c r="K49" t="n">
        <v>0.7321331545181325</v>
      </c>
      <c r="L49" t="b">
        <v>0</v>
      </c>
      <c r="M49" t="b">
        <v>0</v>
      </c>
      <c r="N49" t="inlineStr">
        <is>
          <t>alt</t>
        </is>
      </c>
      <c r="O49" t="n">
        <v>40</v>
      </c>
      <c r="P49" t="n">
        <v>0.001877</v>
      </c>
      <c r="Q49" t="n">
        <v>100</v>
      </c>
      <c r="R49" t="n">
        <v>0.1353</v>
      </c>
      <c r="S49">
        <f>IMAGE("https://mitra.stanford.edu/kundaje/oak/projects/neuro-variants/variant_position/credible/roussos_2024/variant_figures/roussos_2024.adolescence.GLU/rs2765012_count_position.png",4,220,900)</f>
        <v/>
      </c>
      <c r="T49">
        <f>IMAGE("https://mitra.stanford.edu/kundaje/oak/projects/neuro-variants/variant_position/credible/roussos_2024/variant_figures/roussos_2024.adolescence.GLU/rs2765012_profile_position.png",4,220,900)</f>
        <v/>
      </c>
    </row>
    <row r="50">
      <c r="A50" t="inlineStr">
        <is>
          <t>chr1</t>
        </is>
      </c>
      <c r="B50" t="n">
        <v>35898381</v>
      </c>
      <c r="C50" t="inlineStr">
        <is>
          <t>G</t>
        </is>
      </c>
      <c r="D50" t="inlineStr">
        <is>
          <t>C</t>
        </is>
      </c>
      <c r="E50" t="inlineStr">
        <is>
          <t>rs647690</t>
        </is>
      </c>
      <c r="F50" t="n">
        <v>-0.05274592</v>
      </c>
      <c r="G50" t="n">
        <v>0.0597398914086296</v>
      </c>
      <c r="H50" t="n">
        <v>0.0142417206253745</v>
      </c>
      <c r="I50" t="n">
        <v>0.190324564107301</v>
      </c>
      <c r="J50" t="n">
        <v>0.0682455651527816</v>
      </c>
      <c r="K50" t="n">
        <v>0.6500104244538205</v>
      </c>
      <c r="L50" t="b">
        <v>0</v>
      </c>
      <c r="M50" t="b">
        <v>0</v>
      </c>
      <c r="N50" t="inlineStr">
        <is>
          <t>ref</t>
        </is>
      </c>
      <c r="O50" t="n">
        <v>10</v>
      </c>
      <c r="P50" t="n">
        <v>0.000885</v>
      </c>
      <c r="Q50" t="n">
        <v>25</v>
      </c>
      <c r="R50" t="n">
        <v>0.02515</v>
      </c>
      <c r="S50">
        <f>IMAGE("https://mitra.stanford.edu/kundaje/oak/projects/neuro-variants/variant_position/credible/roussos_2024/variant_figures/roussos_2024.adolescence.GLU/rs647690_count_position.png",4,220,900)</f>
        <v/>
      </c>
      <c r="T50">
        <f>IMAGE("https://mitra.stanford.edu/kundaje/oak/projects/neuro-variants/variant_position/credible/roussos_2024/variant_figures/roussos_2024.adolescence.GLU/rs647690_profile_position.png",4,220,900)</f>
        <v/>
      </c>
    </row>
    <row r="51">
      <c r="A51" t="inlineStr">
        <is>
          <t>chr1</t>
        </is>
      </c>
      <c r="B51" t="n">
        <v>35905567</v>
      </c>
      <c r="C51" t="inlineStr">
        <is>
          <t>T</t>
        </is>
      </c>
      <c r="D51" t="inlineStr">
        <is>
          <t>C</t>
        </is>
      </c>
      <c r="E51" t="inlineStr">
        <is>
          <t>rs2791962</t>
        </is>
      </c>
      <c r="F51" t="n">
        <v>0.0912927392</v>
      </c>
      <c r="G51" t="n">
        <v>0.0135872481618645</v>
      </c>
      <c r="H51" t="n">
        <v>0.0263425686574481</v>
      </c>
      <c r="I51" t="n">
        <v>0.018934196642491</v>
      </c>
      <c r="J51" t="n">
        <v>0.0596980803166369</v>
      </c>
      <c r="K51" t="n">
        <v>0.6683380144360771</v>
      </c>
      <c r="L51" t="b">
        <v>1</v>
      </c>
      <c r="M51" t="b">
        <v>0</v>
      </c>
      <c r="N51" t="inlineStr">
        <is>
          <t>alt</t>
        </is>
      </c>
      <c r="O51" t="n">
        <v>-100</v>
      </c>
      <c r="P51" t="n">
        <v>0.0377</v>
      </c>
      <c r="Q51" t="n">
        <v>25</v>
      </c>
      <c r="R51" t="n">
        <v>0.04517</v>
      </c>
      <c r="S51">
        <f>IMAGE("https://mitra.stanford.edu/kundaje/oak/projects/neuro-variants/variant_position/credible/roussos_2024/variant_figures/roussos_2024.adolescence.GLU/rs2791962_count_position.png",4,220,900)</f>
        <v/>
      </c>
      <c r="T51">
        <f>IMAGE("https://mitra.stanford.edu/kundaje/oak/projects/neuro-variants/variant_position/credible/roussos_2024/variant_figures/roussos_2024.adolescence.GLU/rs2791962_profile_position.png",4,220,900)</f>
        <v/>
      </c>
    </row>
    <row r="52">
      <c r="A52" t="inlineStr">
        <is>
          <t>chr1</t>
        </is>
      </c>
      <c r="B52" t="n">
        <v>35959384</v>
      </c>
      <c r="C52" t="inlineStr">
        <is>
          <t>A</t>
        </is>
      </c>
      <c r="D52" t="inlineStr">
        <is>
          <t>G</t>
        </is>
      </c>
      <c r="E52" t="inlineStr">
        <is>
          <t>rs10796876</t>
        </is>
      </c>
      <c r="F52" t="n">
        <v>0.02103477332</v>
      </c>
      <c r="G52" t="n">
        <v>0.2867870834876059</v>
      </c>
      <c r="H52" t="n">
        <v>0.0253790465580654</v>
      </c>
      <c r="I52" t="n">
        <v>0.0189915617847482</v>
      </c>
      <c r="J52" t="n">
        <v>0.0075129848325724</v>
      </c>
      <c r="K52" t="n">
        <v>0.8998297208559576</v>
      </c>
      <c r="L52" t="b">
        <v>0</v>
      </c>
      <c r="M52" t="b">
        <v>0</v>
      </c>
      <c r="N52" t="inlineStr">
        <is>
          <t>alt</t>
        </is>
      </c>
      <c r="O52" t="n">
        <v>-65</v>
      </c>
      <c r="P52" t="n">
        <v>0.002117</v>
      </c>
      <c r="Q52" t="n">
        <v>85</v>
      </c>
      <c r="R52" t="n">
        <v>0.02625</v>
      </c>
      <c r="S52">
        <f>IMAGE("https://mitra.stanford.edu/kundaje/oak/projects/neuro-variants/variant_position/credible/roussos_2024/variant_figures/roussos_2024.adolescence.GLU/rs10796876_count_position.png",4,220,900)</f>
        <v/>
      </c>
      <c r="T52">
        <f>IMAGE("https://mitra.stanford.edu/kundaje/oak/projects/neuro-variants/variant_position/credible/roussos_2024/variant_figures/roussos_2024.adolescence.GLU/rs10796876_profile_position.png",4,220,900)</f>
        <v/>
      </c>
    </row>
    <row r="53">
      <c r="A53" t="inlineStr">
        <is>
          <t>chr1</t>
        </is>
      </c>
      <c r="B53" t="n">
        <v>35975547</v>
      </c>
      <c r="C53" t="inlineStr">
        <is>
          <t>G</t>
        </is>
      </c>
      <c r="D53" t="inlineStr">
        <is>
          <t>T</t>
        </is>
      </c>
      <c r="E53" t="inlineStr">
        <is>
          <t>rs709309</t>
        </is>
      </c>
      <c r="F53" t="n">
        <v>0.00105179098</v>
      </c>
      <c r="G53" t="n">
        <v>0.7603332497068223</v>
      </c>
      <c r="H53" t="n">
        <v>0.0253538047472336</v>
      </c>
      <c r="I53" t="n">
        <v>0.0197092558440126</v>
      </c>
      <c r="J53" t="n">
        <v>0.0032035207292938</v>
      </c>
      <c r="K53" t="n">
        <v>0.9387636860017984</v>
      </c>
      <c r="L53" t="b">
        <v>0</v>
      </c>
      <c r="M53" t="b">
        <v>0</v>
      </c>
      <c r="N53" t="inlineStr">
        <is>
          <t>alt</t>
        </is>
      </c>
      <c r="O53" t="n">
        <v>-60</v>
      </c>
      <c r="P53" t="n">
        <v>0.006134</v>
      </c>
      <c r="Q53" t="n">
        <v>75</v>
      </c>
      <c r="R53" t="n">
        <v>0.01294</v>
      </c>
      <c r="S53">
        <f>IMAGE("https://mitra.stanford.edu/kundaje/oak/projects/neuro-variants/variant_position/credible/roussos_2024/variant_figures/roussos_2024.adolescence.GLU/rs709309_count_position.png",4,220,900)</f>
        <v/>
      </c>
      <c r="T53">
        <f>IMAGE("https://mitra.stanford.edu/kundaje/oak/projects/neuro-variants/variant_position/credible/roussos_2024/variant_figures/roussos_2024.adolescence.GLU/rs709309_profile_position.png",4,220,900)</f>
        <v/>
      </c>
    </row>
    <row r="54">
      <c r="A54" t="inlineStr">
        <is>
          <t>chr1</t>
        </is>
      </c>
      <c r="B54" t="n">
        <v>36027819</v>
      </c>
      <c r="C54" t="inlineStr">
        <is>
          <t>T</t>
        </is>
      </c>
      <c r="D54" t="inlineStr">
        <is>
          <t>C</t>
        </is>
      </c>
      <c r="E54" t="inlineStr">
        <is>
          <t>rs274728</t>
        </is>
      </c>
      <c r="F54" t="n">
        <v>-0.0688218598</v>
      </c>
      <c r="G54" t="n">
        <v>0.0748549401808537</v>
      </c>
      <c r="H54" t="n">
        <v>0.0210956994434672</v>
      </c>
      <c r="I54" t="n">
        <v>0.1791163331923282</v>
      </c>
      <c r="J54" t="n">
        <v>0.1222638975216294</v>
      </c>
      <c r="K54" t="n">
        <v>0.5288444992405393</v>
      </c>
      <c r="L54" t="b">
        <v>0</v>
      </c>
      <c r="M54" t="b">
        <v>0</v>
      </c>
      <c r="N54" t="inlineStr">
        <is>
          <t>ref</t>
        </is>
      </c>
      <c r="O54" t="n">
        <v>-95</v>
      </c>
      <c r="P54" t="n">
        <v>0.0222</v>
      </c>
      <c r="Q54" t="n">
        <v>-70</v>
      </c>
      <c r="R54" t="n">
        <v>0.013916</v>
      </c>
      <c r="S54">
        <f>IMAGE("https://mitra.stanford.edu/kundaje/oak/projects/neuro-variants/variant_position/credible/roussos_2024/variant_figures/roussos_2024.adolescence.GLU/rs274728_count_position.png",4,220,900)</f>
        <v/>
      </c>
      <c r="T54">
        <f>IMAGE("https://mitra.stanford.edu/kundaje/oak/projects/neuro-variants/variant_position/credible/roussos_2024/variant_figures/roussos_2024.adolescence.GLU/rs274728_profile_position.png",4,220,900)</f>
        <v/>
      </c>
    </row>
    <row r="55">
      <c r="A55" t="inlineStr">
        <is>
          <t>chr1</t>
        </is>
      </c>
      <c r="B55" t="n">
        <v>36044355</v>
      </c>
      <c r="C55" t="inlineStr">
        <is>
          <t>A</t>
        </is>
      </c>
      <c r="D55" t="inlineStr">
        <is>
          <t>T</t>
        </is>
      </c>
      <c r="E55" t="inlineStr">
        <is>
          <t>rs812106</t>
        </is>
      </c>
      <c r="F55" t="n">
        <v>-0.0061185389</v>
      </c>
      <c r="G55" t="n">
        <v>0.6887671110377809</v>
      </c>
      <c r="H55" t="n">
        <v>0.0181440614077349</v>
      </c>
      <c r="I55" t="n">
        <v>0.086013943165493</v>
      </c>
      <c r="J55" t="n">
        <v>0.0603539304570231</v>
      </c>
      <c r="K55" t="n">
        <v>0.6706469501904955</v>
      </c>
      <c r="L55" t="b">
        <v>0</v>
      </c>
      <c r="M55" t="b">
        <v>0</v>
      </c>
      <c r="N55" t="inlineStr">
        <is>
          <t>ref</t>
        </is>
      </c>
      <c r="O55" t="n">
        <v>-40</v>
      </c>
      <c r="P55" t="n">
        <v>0.00903</v>
      </c>
      <c r="Q55" t="n">
        <v>25</v>
      </c>
      <c r="R55" t="n">
        <v>0.05844</v>
      </c>
      <c r="S55">
        <f>IMAGE("https://mitra.stanford.edu/kundaje/oak/projects/neuro-variants/variant_position/credible/roussos_2024/variant_figures/roussos_2024.adolescence.GLU/rs812106_count_position.png",4,220,900)</f>
        <v/>
      </c>
      <c r="T55">
        <f>IMAGE("https://mitra.stanford.edu/kundaje/oak/projects/neuro-variants/variant_position/credible/roussos_2024/variant_figures/roussos_2024.adolescence.GLU/rs812106_profile_position.png",4,220,900)</f>
        <v/>
      </c>
    </row>
    <row r="56">
      <c r="A56" t="inlineStr">
        <is>
          <t>chr1</t>
        </is>
      </c>
      <c r="B56" t="n">
        <v>36128255</v>
      </c>
      <c r="C56" t="inlineStr">
        <is>
          <t>T</t>
        </is>
      </c>
      <c r="D56" t="inlineStr">
        <is>
          <t>C</t>
        </is>
      </c>
      <c r="E56" t="inlineStr">
        <is>
          <t>rs7542594</t>
        </is>
      </c>
      <c r="F56" t="n">
        <v>-0.0805911894</v>
      </c>
      <c r="G56" t="n">
        <v>0.0179683972731699</v>
      </c>
      <c r="H56" t="n">
        <v>0.0222603183500393</v>
      </c>
      <c r="I56" t="n">
        <v>0.0381156028160444</v>
      </c>
      <c r="J56" t="n">
        <v>0.4518178765601446</v>
      </c>
      <c r="K56" t="n">
        <v>0.1231441697839691</v>
      </c>
      <c r="L56" t="b">
        <v>1</v>
      </c>
      <c r="M56" t="b">
        <v>0</v>
      </c>
      <c r="N56" t="inlineStr">
        <is>
          <t>ref</t>
        </is>
      </c>
      <c r="O56" t="n">
        <v>-10</v>
      </c>
      <c r="P56" t="n">
        <v>0.001238</v>
      </c>
      <c r="Q56" t="n">
        <v>-15</v>
      </c>
      <c r="R56" t="n">
        <v>0.0191</v>
      </c>
      <c r="S56">
        <f>IMAGE("https://mitra.stanford.edu/kundaje/oak/projects/neuro-variants/variant_position/credible/roussos_2024/variant_figures/roussos_2024.adolescence.GLU/rs7542594_count_position.png",4,220,900)</f>
        <v/>
      </c>
      <c r="T56">
        <f>IMAGE("https://mitra.stanford.edu/kundaje/oak/projects/neuro-variants/variant_position/credible/roussos_2024/variant_figures/roussos_2024.adolescence.GLU/rs7542594_profile_position.png",4,220,900)</f>
        <v/>
      </c>
    </row>
    <row r="57">
      <c r="A57" t="inlineStr">
        <is>
          <t>chr1</t>
        </is>
      </c>
      <c r="B57" t="n">
        <v>43337449</v>
      </c>
      <c r="C57" t="inlineStr">
        <is>
          <t>C</t>
        </is>
      </c>
      <c r="D57" t="inlineStr">
        <is>
          <t>A</t>
        </is>
      </c>
      <c r="E57" t="inlineStr">
        <is>
          <t>rs839993</t>
        </is>
      </c>
      <c r="F57" t="n">
        <v>-0.053127281</v>
      </c>
      <c r="G57" t="n">
        <v>0.0565284917072682</v>
      </c>
      <c r="H57" t="n">
        <v>0.0098028346321878</v>
      </c>
      <c r="I57" t="n">
        <v>0.5591642961579502</v>
      </c>
      <c r="J57" t="n">
        <v>0.3532417429324646</v>
      </c>
      <c r="K57" t="n">
        <v>0.2133321735665343</v>
      </c>
      <c r="L57" t="b">
        <v>0</v>
      </c>
      <c r="M57" t="b">
        <v>0</v>
      </c>
      <c r="N57" t="inlineStr">
        <is>
          <t>ref</t>
        </is>
      </c>
      <c r="O57" t="n">
        <v>-100</v>
      </c>
      <c r="P57" t="n">
        <v>0.0008736</v>
      </c>
      <c r="Q57" t="n">
        <v>90</v>
      </c>
      <c r="R57" t="n">
        <v>0.083</v>
      </c>
      <c r="S57">
        <f>IMAGE("https://mitra.stanford.edu/kundaje/oak/projects/neuro-variants/variant_position/credible/roussos_2024/variant_figures/roussos_2024.adolescence.GLU/rs839993_count_position.png",4,220,900)</f>
        <v/>
      </c>
      <c r="T57">
        <f>IMAGE("https://mitra.stanford.edu/kundaje/oak/projects/neuro-variants/variant_position/credible/roussos_2024/variant_figures/roussos_2024.adolescence.GLU/rs839993_profile_position.png",4,220,900)</f>
        <v/>
      </c>
    </row>
    <row r="58">
      <c r="A58" t="inlineStr">
        <is>
          <t>chr1</t>
        </is>
      </c>
      <c r="B58" t="n">
        <v>43350861</v>
      </c>
      <c r="C58" t="inlineStr">
        <is>
          <t>T</t>
        </is>
      </c>
      <c r="D58" t="inlineStr">
        <is>
          <t>C</t>
        </is>
      </c>
      <c r="E58" t="inlineStr">
        <is>
          <t>rs839996</t>
        </is>
      </c>
      <c r="F58" t="n">
        <v>0.0046611541</v>
      </c>
      <c r="G58" t="n">
        <v>0.7177312575827746</v>
      </c>
      <c r="H58" t="n">
        <v>0.0205787499561834</v>
      </c>
      <c r="I58" t="n">
        <v>0.0492541124405351</v>
      </c>
      <c r="J58" t="n">
        <v>0.1355923727057747</v>
      </c>
      <c r="K58" t="n">
        <v>0.5079213847063128</v>
      </c>
      <c r="L58" t="b">
        <v>0</v>
      </c>
      <c r="M58" t="b">
        <v>0</v>
      </c>
      <c r="N58" t="inlineStr">
        <is>
          <t>alt</t>
        </is>
      </c>
      <c r="O58" t="n">
        <v>85</v>
      </c>
      <c r="P58" t="n">
        <v>0.03693</v>
      </c>
      <c r="Q58" t="n">
        <v>-20</v>
      </c>
      <c r="R58" t="n">
        <v>0.00946</v>
      </c>
      <c r="S58">
        <f>IMAGE("https://mitra.stanford.edu/kundaje/oak/projects/neuro-variants/variant_position/credible/roussos_2024/variant_figures/roussos_2024.adolescence.GLU/rs839996_count_position.png",4,220,900)</f>
        <v/>
      </c>
      <c r="T58">
        <f>IMAGE("https://mitra.stanford.edu/kundaje/oak/projects/neuro-variants/variant_position/credible/roussos_2024/variant_figures/roussos_2024.adolescence.GLU/rs839996_profile_position.png",4,220,900)</f>
        <v/>
      </c>
    </row>
    <row r="59">
      <c r="A59" t="inlineStr">
        <is>
          <t>chr1</t>
        </is>
      </c>
      <c r="B59" t="n">
        <v>43376073</v>
      </c>
      <c r="C59" t="inlineStr">
        <is>
          <t>T</t>
        </is>
      </c>
      <c r="D59" t="inlineStr">
        <is>
          <t>C</t>
        </is>
      </c>
      <c r="E59" t="inlineStr">
        <is>
          <t>rs11587504</t>
        </is>
      </c>
      <c r="F59" t="n">
        <v>0.0260037525999999</v>
      </c>
      <c r="G59" t="n">
        <v>0.2194595139636611</v>
      </c>
      <c r="H59" t="n">
        <v>0.0116959416186376</v>
      </c>
      <c r="I59" t="n">
        <v>0.3393169040865965</v>
      </c>
      <c r="J59" t="n">
        <v>0.106862135728115</v>
      </c>
      <c r="K59" t="n">
        <v>0.5572099009312176</v>
      </c>
      <c r="L59" t="b">
        <v>0</v>
      </c>
      <c r="M59" t="b">
        <v>0</v>
      </c>
      <c r="N59" t="inlineStr">
        <is>
          <t>alt</t>
        </is>
      </c>
      <c r="O59" t="n">
        <v>100</v>
      </c>
      <c r="P59" t="n">
        <v>0.02422</v>
      </c>
      <c r="Q59" t="n">
        <v>40</v>
      </c>
      <c r="R59" t="n">
        <v>0.02835</v>
      </c>
      <c r="S59">
        <f>IMAGE("https://mitra.stanford.edu/kundaje/oak/projects/neuro-variants/variant_position/credible/roussos_2024/variant_figures/roussos_2024.adolescence.GLU/rs11587504_count_position.png",4,220,900)</f>
        <v/>
      </c>
      <c r="T59">
        <f>IMAGE("https://mitra.stanford.edu/kundaje/oak/projects/neuro-variants/variant_position/credible/roussos_2024/variant_figures/roussos_2024.adolescence.GLU/rs11587504_profile_position.png",4,220,900)</f>
        <v/>
      </c>
    </row>
    <row r="60">
      <c r="A60" t="inlineStr">
        <is>
          <t>chr1</t>
        </is>
      </c>
      <c r="B60" t="n">
        <v>43376500</v>
      </c>
      <c r="C60" t="inlineStr">
        <is>
          <t>A</t>
        </is>
      </c>
      <c r="D60" t="inlineStr">
        <is>
          <t>G</t>
        </is>
      </c>
      <c r="E60" t="inlineStr">
        <is>
          <t>rs685756</t>
        </is>
      </c>
      <c r="F60" t="n">
        <v>-0.002645889378</v>
      </c>
      <c r="G60" t="n">
        <v>0.8223062299748208</v>
      </c>
      <c r="H60" t="n">
        <v>0.0220360666799822</v>
      </c>
      <c r="I60" t="n">
        <v>0.0379159942817263</v>
      </c>
      <c r="J60" t="n">
        <v>0.0873923884233162</v>
      </c>
      <c r="K60" t="n">
        <v>0.600734253294356</v>
      </c>
      <c r="L60" t="b">
        <v>0</v>
      </c>
      <c r="M60" t="b">
        <v>0</v>
      </c>
      <c r="N60" t="inlineStr">
        <is>
          <t>ref</t>
        </is>
      </c>
      <c r="O60" t="n">
        <v>-100</v>
      </c>
      <c r="P60" t="n">
        <v>0.02968</v>
      </c>
      <c r="Q60" t="n">
        <v>-30</v>
      </c>
      <c r="R60" t="n">
        <v>0.009520000000000001</v>
      </c>
      <c r="S60">
        <f>IMAGE("https://mitra.stanford.edu/kundaje/oak/projects/neuro-variants/variant_position/credible/roussos_2024/variant_figures/roussos_2024.adolescence.GLU/rs685756_count_position.png",4,220,900)</f>
        <v/>
      </c>
      <c r="T60">
        <f>IMAGE("https://mitra.stanford.edu/kundaje/oak/projects/neuro-variants/variant_position/credible/roussos_2024/variant_figures/roussos_2024.adolescence.GLU/rs685756_profile_position.png",4,220,900)</f>
        <v/>
      </c>
    </row>
    <row r="61">
      <c r="A61" t="inlineStr">
        <is>
          <t>chr1</t>
        </is>
      </c>
      <c r="B61" t="n">
        <v>43398186</v>
      </c>
      <c r="C61" t="inlineStr">
        <is>
          <t>G</t>
        </is>
      </c>
      <c r="D61" t="inlineStr">
        <is>
          <t>A</t>
        </is>
      </c>
      <c r="E61" t="inlineStr">
        <is>
          <t>rs839761</t>
        </is>
      </c>
      <c r="F61" t="n">
        <v>0.0193002592</v>
      </c>
      <c r="G61" t="n">
        <v>0.2990954757162911</v>
      </c>
      <c r="H61" t="n">
        <v>0.0198889481106057</v>
      </c>
      <c r="I61" t="n">
        <v>0.06378050966310229</v>
      </c>
      <c r="J61" t="n">
        <v>0.1647469833036843</v>
      </c>
      <c r="K61" t="n">
        <v>0.4557421440742896</v>
      </c>
      <c r="L61" t="b">
        <v>0</v>
      </c>
      <c r="M61" t="b">
        <v>0</v>
      </c>
      <c r="N61" t="inlineStr">
        <is>
          <t>alt</t>
        </is>
      </c>
      <c r="O61" t="n">
        <v>-75</v>
      </c>
      <c r="P61" t="n">
        <v>0.00429</v>
      </c>
      <c r="Q61" t="n">
        <v>-15</v>
      </c>
      <c r="R61" t="n">
        <v>0.01019</v>
      </c>
      <c r="S61">
        <f>IMAGE("https://mitra.stanford.edu/kundaje/oak/projects/neuro-variants/variant_position/credible/roussos_2024/variant_figures/roussos_2024.adolescence.GLU/rs839761_count_position.png",4,220,900)</f>
        <v/>
      </c>
      <c r="T61">
        <f>IMAGE("https://mitra.stanford.edu/kundaje/oak/projects/neuro-variants/variant_position/credible/roussos_2024/variant_figures/roussos_2024.adolescence.GLU/rs839761_profile_position.png",4,220,900)</f>
        <v/>
      </c>
    </row>
    <row r="62">
      <c r="A62" t="inlineStr">
        <is>
          <t>chr1</t>
        </is>
      </c>
      <c r="B62" t="n">
        <v>43410148</v>
      </c>
      <c r="C62" t="inlineStr">
        <is>
          <t>T</t>
        </is>
      </c>
      <c r="D62" t="inlineStr">
        <is>
          <t>C</t>
        </is>
      </c>
      <c r="E62" t="inlineStr">
        <is>
          <t>rs3001721</t>
        </is>
      </c>
      <c r="F62" t="n">
        <v>0.01334303356</v>
      </c>
      <c r="G62" t="n">
        <v>0.4316101670700598</v>
      </c>
      <c r="H62" t="n">
        <v>0.0126542531108118</v>
      </c>
      <c r="I62" t="n">
        <v>0.2788358679855172</v>
      </c>
      <c r="J62" t="n">
        <v>0.07919354723478431</v>
      </c>
      <c r="K62" t="n">
        <v>0.6145974356539995</v>
      </c>
      <c r="L62" t="b">
        <v>0</v>
      </c>
      <c r="M62" t="b">
        <v>0</v>
      </c>
      <c r="N62" t="inlineStr">
        <is>
          <t>alt</t>
        </is>
      </c>
      <c r="O62" t="n">
        <v>-20</v>
      </c>
      <c r="P62" t="n">
        <v>0.0055</v>
      </c>
      <c r="Q62" t="n">
        <v>-70</v>
      </c>
      <c r="R62" t="n">
        <v>0.01086</v>
      </c>
      <c r="S62">
        <f>IMAGE("https://mitra.stanford.edu/kundaje/oak/projects/neuro-variants/variant_position/credible/roussos_2024/variant_figures/roussos_2024.adolescence.GLU/rs3001721_count_position.png",4,220,900)</f>
        <v/>
      </c>
      <c r="T62">
        <f>IMAGE("https://mitra.stanford.edu/kundaje/oak/projects/neuro-variants/variant_position/credible/roussos_2024/variant_figures/roussos_2024.adolescence.GLU/rs3001721_profile_position.png",4,220,900)</f>
        <v/>
      </c>
    </row>
    <row r="63">
      <c r="A63" t="inlineStr">
        <is>
          <t>chr1</t>
        </is>
      </c>
      <c r="B63" t="n">
        <v>43414425</v>
      </c>
      <c r="C63" t="inlineStr">
        <is>
          <t>A</t>
        </is>
      </c>
      <c r="D63" t="inlineStr">
        <is>
          <t>T</t>
        </is>
      </c>
      <c r="E63" t="inlineStr">
        <is>
          <t>rs72671121</t>
        </is>
      </c>
      <c r="F63" t="n">
        <v>-0.000355508298</v>
      </c>
      <c r="G63" t="n">
        <v>0.942165935410438</v>
      </c>
      <c r="H63" t="n">
        <v>0.0204571831595335</v>
      </c>
      <c r="I63" t="n">
        <v>0.0556236432568859</v>
      </c>
      <c r="J63" t="n">
        <v>0.2178465539290281</v>
      </c>
      <c r="K63" t="n">
        <v>0.3649969162788607</v>
      </c>
      <c r="L63" t="b">
        <v>0</v>
      </c>
      <c r="M63" t="b">
        <v>0</v>
      </c>
      <c r="N63" t="inlineStr">
        <is>
          <t>ref</t>
        </is>
      </c>
      <c r="O63" t="n">
        <v>100</v>
      </c>
      <c r="P63" t="n">
        <v>0.02856</v>
      </c>
      <c r="Q63" t="n">
        <v>100</v>
      </c>
      <c r="R63" t="n">
        <v>0.2194</v>
      </c>
      <c r="S63">
        <f>IMAGE("https://mitra.stanford.edu/kundaje/oak/projects/neuro-variants/variant_position/credible/roussos_2024/variant_figures/roussos_2024.adolescence.GLU/rs72671121_count_position.png",4,220,900)</f>
        <v/>
      </c>
      <c r="T63">
        <f>IMAGE("https://mitra.stanford.edu/kundaje/oak/projects/neuro-variants/variant_position/credible/roussos_2024/variant_figures/roussos_2024.adolescence.GLU/rs72671121_profile_position.png",4,220,900)</f>
        <v/>
      </c>
    </row>
    <row r="64">
      <c r="A64" t="inlineStr">
        <is>
          <t>chr1</t>
        </is>
      </c>
      <c r="B64" t="n">
        <v>43441225</v>
      </c>
      <c r="C64" t="inlineStr">
        <is>
          <t>A</t>
        </is>
      </c>
      <c r="D64" t="inlineStr">
        <is>
          <t>G</t>
        </is>
      </c>
      <c r="E64" t="inlineStr">
        <is>
          <t>rs2027130</t>
        </is>
      </c>
      <c r="F64" t="n">
        <v>0.008657073180000001</v>
      </c>
      <c r="G64" t="n">
        <v>0.5504709913386632</v>
      </c>
      <c r="H64" t="n">
        <v>0.0107272110684174</v>
      </c>
      <c r="I64" t="n">
        <v>0.441935870441748</v>
      </c>
      <c r="J64" t="n">
        <v>0.4495774124640103</v>
      </c>
      <c r="K64" t="n">
        <v>0.1256377240450084</v>
      </c>
      <c r="L64" t="b">
        <v>0</v>
      </c>
      <c r="M64" t="b">
        <v>0</v>
      </c>
      <c r="N64" t="inlineStr">
        <is>
          <t>alt</t>
        </is>
      </c>
      <c r="O64" t="n">
        <v>-100</v>
      </c>
      <c r="P64" t="n">
        <v>0.003881</v>
      </c>
      <c r="Q64" t="n">
        <v>70</v>
      </c>
      <c r="R64" t="n">
        <v>0.013306</v>
      </c>
      <c r="S64">
        <f>IMAGE("https://mitra.stanford.edu/kundaje/oak/projects/neuro-variants/variant_position/credible/roussos_2024/variant_figures/roussos_2024.adolescence.GLU/rs2027130_count_position.png",4,220,900)</f>
        <v/>
      </c>
      <c r="T64">
        <f>IMAGE("https://mitra.stanford.edu/kundaje/oak/projects/neuro-variants/variant_position/credible/roussos_2024/variant_figures/roussos_2024.adolescence.GLU/rs2027130_profile_position.png",4,220,900)</f>
        <v/>
      </c>
    </row>
    <row r="65">
      <c r="A65" t="inlineStr">
        <is>
          <t>chr1</t>
        </is>
      </c>
      <c r="B65" t="n">
        <v>43458495</v>
      </c>
      <c r="C65" t="inlineStr">
        <is>
          <t>A</t>
        </is>
      </c>
      <c r="D65" t="inlineStr">
        <is>
          <t>T</t>
        </is>
      </c>
      <c r="E65" t="inlineStr">
        <is>
          <t>rs2494994</t>
        </is>
      </c>
      <c r="F65" t="n">
        <v>-0.0175422423</v>
      </c>
      <c r="G65" t="n">
        <v>0.3542526844639158</v>
      </c>
      <c r="H65" t="n">
        <v>0.012312536115345</v>
      </c>
      <c r="I65" t="n">
        <v>0.3288838655963074</v>
      </c>
      <c r="J65" t="n">
        <v>0.0496031320773588</v>
      </c>
      <c r="K65" t="n">
        <v>0.7051903833965145</v>
      </c>
      <c r="L65" t="b">
        <v>0</v>
      </c>
      <c r="M65" t="b">
        <v>0</v>
      </c>
      <c r="N65" t="inlineStr">
        <is>
          <t>ref</t>
        </is>
      </c>
      <c r="O65" t="n">
        <v>85</v>
      </c>
      <c r="P65" t="n">
        <v>0.01429</v>
      </c>
      <c r="Q65" t="n">
        <v>-40</v>
      </c>
      <c r="R65" t="n">
        <v>0.002808</v>
      </c>
      <c r="S65">
        <f>IMAGE("https://mitra.stanford.edu/kundaje/oak/projects/neuro-variants/variant_position/credible/roussos_2024/variant_figures/roussos_2024.adolescence.GLU/rs2494994_count_position.png",4,220,900)</f>
        <v/>
      </c>
      <c r="T65">
        <f>IMAGE("https://mitra.stanford.edu/kundaje/oak/projects/neuro-variants/variant_position/credible/roussos_2024/variant_figures/roussos_2024.adolescence.GLU/rs2494994_profile_position.png",4,220,900)</f>
        <v/>
      </c>
    </row>
    <row r="66">
      <c r="A66" t="inlineStr">
        <is>
          <t>chr1</t>
        </is>
      </c>
      <c r="B66" t="n">
        <v>43461740</v>
      </c>
      <c r="C66" t="inlineStr">
        <is>
          <t>T</t>
        </is>
      </c>
      <c r="D66" t="inlineStr">
        <is>
          <t>C</t>
        </is>
      </c>
      <c r="E66" t="inlineStr">
        <is>
          <t>rs2842196</t>
        </is>
      </c>
      <c r="F66" t="n">
        <v>0.0284287928</v>
      </c>
      <c r="G66" t="n">
        <v>0.1806241370962829</v>
      </c>
      <c r="H66" t="n">
        <v>0.0156303423771855</v>
      </c>
      <c r="I66" t="n">
        <v>0.1541099591775747</v>
      </c>
      <c r="J66" t="n">
        <v>0.1835866000814454</v>
      </c>
      <c r="K66" t="n">
        <v>0.4286501862341291</v>
      </c>
      <c r="L66" t="b">
        <v>0</v>
      </c>
      <c r="M66" t="b">
        <v>0</v>
      </c>
      <c r="N66" t="inlineStr">
        <is>
          <t>alt</t>
        </is>
      </c>
      <c r="O66" t="n">
        <v>-100</v>
      </c>
      <c r="P66" t="n">
        <v>0.009679999999999999</v>
      </c>
      <c r="Q66" t="n">
        <v>-100</v>
      </c>
      <c r="R66" t="n">
        <v>0.0409</v>
      </c>
      <c r="S66">
        <f>IMAGE("https://mitra.stanford.edu/kundaje/oak/projects/neuro-variants/variant_position/credible/roussos_2024/variant_figures/roussos_2024.adolescence.GLU/rs2842196_count_position.png",4,220,900)</f>
        <v/>
      </c>
      <c r="T66">
        <f>IMAGE("https://mitra.stanford.edu/kundaje/oak/projects/neuro-variants/variant_position/credible/roussos_2024/variant_figures/roussos_2024.adolescence.GLU/rs2842196_profile_position.png",4,220,900)</f>
        <v/>
      </c>
    </row>
    <row r="67">
      <c r="A67" t="inlineStr">
        <is>
          <t>chr1</t>
        </is>
      </c>
      <c r="B67" t="n">
        <v>43473130</v>
      </c>
      <c r="C67" t="inlineStr">
        <is>
          <t>A</t>
        </is>
      </c>
      <c r="D67" t="inlineStr">
        <is>
          <t>C</t>
        </is>
      </c>
      <c r="E67" t="inlineStr">
        <is>
          <t>rs7413861</t>
        </is>
      </c>
      <c r="F67" t="n">
        <v>-0.0972059449999999</v>
      </c>
      <c r="G67" t="n">
        <v>0.0154197056528574</v>
      </c>
      <c r="H67" t="n">
        <v>0.0467771477899019</v>
      </c>
      <c r="I67" t="n">
        <v>0.0098938527276012</v>
      </c>
      <c r="J67" t="n">
        <v>0.2729436811911038</v>
      </c>
      <c r="K67" t="n">
        <v>0.2881301084556329</v>
      </c>
      <c r="L67" t="b">
        <v>1</v>
      </c>
      <c r="M67" t="b">
        <v>1</v>
      </c>
      <c r="N67" t="inlineStr">
        <is>
          <t>ref</t>
        </is>
      </c>
      <c r="O67" t="n">
        <v>-30</v>
      </c>
      <c r="P67" t="n">
        <v>0.003164</v>
      </c>
      <c r="Q67" t="n">
        <v>-85</v>
      </c>
      <c r="R67" t="n">
        <v>0.06934</v>
      </c>
      <c r="S67">
        <f>IMAGE("https://mitra.stanford.edu/kundaje/oak/projects/neuro-variants/variant_position/credible/roussos_2024/variant_figures/roussos_2024.adolescence.GLU/rs7413861_count_position.png",4,220,900)</f>
        <v/>
      </c>
      <c r="T67">
        <f>IMAGE("https://mitra.stanford.edu/kundaje/oak/projects/neuro-variants/variant_position/credible/roussos_2024/variant_figures/roussos_2024.adolescence.GLU/rs7413861_profile_position.png",4,220,900)</f>
        <v/>
      </c>
    </row>
    <row r="68">
      <c r="A68" t="inlineStr">
        <is>
          <t>chr1</t>
        </is>
      </c>
      <c r="B68" t="n">
        <v>43483103</v>
      </c>
      <c r="C68" t="inlineStr">
        <is>
          <t>G</t>
        </is>
      </c>
      <c r="D68" t="inlineStr">
        <is>
          <t>A</t>
        </is>
      </c>
      <c r="E68" t="inlineStr">
        <is>
          <t>rs10789433</t>
        </is>
      </c>
      <c r="F68" t="n">
        <v>-0.0017180310356</v>
      </c>
      <c r="G68" t="n">
        <v>0.8337706263603581</v>
      </c>
      <c r="H68" t="n">
        <v>0.0289407123204467</v>
      </c>
      <c r="I68" t="n">
        <v>0.0112938660073775</v>
      </c>
      <c r="J68" t="n">
        <v>0.019149681005351</v>
      </c>
      <c r="K68" t="n">
        <v>0.8258098198734762</v>
      </c>
      <c r="L68" t="b">
        <v>1</v>
      </c>
      <c r="M68" t="b">
        <v>0</v>
      </c>
      <c r="N68" t="inlineStr">
        <is>
          <t>ref</t>
        </is>
      </c>
      <c r="O68" t="n">
        <v>-80</v>
      </c>
      <c r="P68" t="n">
        <v>0.04</v>
      </c>
      <c r="Q68" t="n">
        <v>-45</v>
      </c>
      <c r="R68" t="n">
        <v>0.04086</v>
      </c>
      <c r="S68">
        <f>IMAGE("https://mitra.stanford.edu/kundaje/oak/projects/neuro-variants/variant_position/credible/roussos_2024/variant_figures/roussos_2024.adolescence.GLU/rs10789433_count_position.png",4,220,900)</f>
        <v/>
      </c>
      <c r="T68">
        <f>IMAGE("https://mitra.stanford.edu/kundaje/oak/projects/neuro-variants/variant_position/credible/roussos_2024/variant_figures/roussos_2024.adolescence.GLU/rs10789433_profile_position.png",4,220,900)</f>
        <v/>
      </c>
    </row>
    <row r="69">
      <c r="A69" t="inlineStr">
        <is>
          <t>chr1</t>
        </is>
      </c>
      <c r="B69" t="n">
        <v>43483424</v>
      </c>
      <c r="C69" t="inlineStr">
        <is>
          <t>A</t>
        </is>
      </c>
      <c r="D69" t="inlineStr">
        <is>
          <t>G</t>
        </is>
      </c>
      <c r="E69" t="inlineStr">
        <is>
          <t>rs10732843</t>
        </is>
      </c>
      <c r="F69" t="n">
        <v>-0.0034581629599999</v>
      </c>
      <c r="G69" t="n">
        <v>0.8085552400673683</v>
      </c>
      <c r="H69" t="n">
        <v>0.0211016925898236</v>
      </c>
      <c r="I69" t="n">
        <v>0.0441544147106685</v>
      </c>
      <c r="J69" t="n">
        <v>0.0171792728493758</v>
      </c>
      <c r="K69" t="n">
        <v>0.8365494260384051</v>
      </c>
      <c r="L69" t="b">
        <v>0</v>
      </c>
      <c r="M69" t="b">
        <v>0</v>
      </c>
      <c r="N69" t="inlineStr">
        <is>
          <t>ref</t>
        </is>
      </c>
      <c r="O69" t="n">
        <v>100</v>
      </c>
      <c r="P69" t="n">
        <v>0.003357</v>
      </c>
      <c r="Q69" t="n">
        <v>-40</v>
      </c>
      <c r="R69" t="n">
        <v>0.0271</v>
      </c>
      <c r="S69">
        <f>IMAGE("https://mitra.stanford.edu/kundaje/oak/projects/neuro-variants/variant_position/credible/roussos_2024/variant_figures/roussos_2024.adolescence.GLU/rs10732843_count_position.png",4,220,900)</f>
        <v/>
      </c>
      <c r="T69">
        <f>IMAGE("https://mitra.stanford.edu/kundaje/oak/projects/neuro-variants/variant_position/credible/roussos_2024/variant_figures/roussos_2024.adolescence.GLU/rs10732843_profile_position.png",4,220,900)</f>
        <v/>
      </c>
    </row>
    <row r="70">
      <c r="A70" t="inlineStr">
        <is>
          <t>chr1</t>
        </is>
      </c>
      <c r="B70" t="n">
        <v>43580248</v>
      </c>
      <c r="C70" t="inlineStr">
        <is>
          <t>A</t>
        </is>
      </c>
      <c r="D70" t="inlineStr">
        <is>
          <t>G</t>
        </is>
      </c>
      <c r="E70" t="inlineStr">
        <is>
          <t>rs2077652</t>
        </is>
      </c>
      <c r="F70" t="n">
        <v>0.0493113857999999</v>
      </c>
      <c r="G70" t="n">
        <v>0.06511068884405539</v>
      </c>
      <c r="H70" t="n">
        <v>0.0148748065261117</v>
      </c>
      <c r="I70" t="n">
        <v>0.1622467540050321</v>
      </c>
      <c r="J70" t="n">
        <v>0.4415043116074043</v>
      </c>
      <c r="K70" t="n">
        <v>0.1320798399328237</v>
      </c>
      <c r="L70" t="b">
        <v>0</v>
      </c>
      <c r="M70" t="b">
        <v>0</v>
      </c>
      <c r="N70" t="inlineStr">
        <is>
          <t>alt</t>
        </is>
      </c>
      <c r="O70" t="n">
        <v>-80</v>
      </c>
      <c r="P70" t="n">
        <v>0.0522</v>
      </c>
      <c r="Q70" t="n">
        <v>-95</v>
      </c>
      <c r="R70" t="n">
        <v>0.00708</v>
      </c>
      <c r="S70">
        <f>IMAGE("https://mitra.stanford.edu/kundaje/oak/projects/neuro-variants/variant_position/credible/roussos_2024/variant_figures/roussos_2024.adolescence.GLU/rs2077652_count_position.png",4,220,900)</f>
        <v/>
      </c>
      <c r="T70">
        <f>IMAGE("https://mitra.stanford.edu/kundaje/oak/projects/neuro-variants/variant_position/credible/roussos_2024/variant_figures/roussos_2024.adolescence.GLU/rs2077652_profile_position.png",4,220,900)</f>
        <v/>
      </c>
    </row>
    <row r="71">
      <c r="A71" t="inlineStr">
        <is>
          <t>chr1</t>
        </is>
      </c>
      <c r="B71" t="n">
        <v>43582229</v>
      </c>
      <c r="C71" t="inlineStr">
        <is>
          <t>G</t>
        </is>
      </c>
      <c r="D71" t="inlineStr">
        <is>
          <t>C</t>
        </is>
      </c>
      <c r="E71" t="inlineStr">
        <is>
          <t>rs16830935</t>
        </is>
      </c>
      <c r="F71" t="n">
        <v>0.0062216859199999</v>
      </c>
      <c r="G71" t="n">
        <v>0.5993500028414872</v>
      </c>
      <c r="H71" t="n">
        <v>0.0088635459451531</v>
      </c>
      <c r="I71" t="n">
        <v>0.6633194526795738</v>
      </c>
      <c r="J71" t="n">
        <v>0.5525573154439134</v>
      </c>
      <c r="K71" t="n">
        <v>0.059393904494838</v>
      </c>
      <c r="L71" t="b">
        <v>0</v>
      </c>
      <c r="M71" t="b">
        <v>0</v>
      </c>
      <c r="N71" t="inlineStr">
        <is>
          <t>alt</t>
        </is>
      </c>
      <c r="O71" t="n">
        <v>100</v>
      </c>
      <c r="P71" t="n">
        <v>0.01339</v>
      </c>
      <c r="Q71" t="n">
        <v>55</v>
      </c>
      <c r="R71" t="n">
        <v>0.0728</v>
      </c>
      <c r="S71">
        <f>IMAGE("https://mitra.stanford.edu/kundaje/oak/projects/neuro-variants/variant_position/credible/roussos_2024/variant_figures/roussos_2024.adolescence.GLU/rs16830935_count_position.png",4,220,900)</f>
        <v/>
      </c>
      <c r="T71">
        <f>IMAGE("https://mitra.stanford.edu/kundaje/oak/projects/neuro-variants/variant_position/credible/roussos_2024/variant_figures/roussos_2024.adolescence.GLU/rs16830935_profile_position.png",4,220,900)</f>
        <v/>
      </c>
    </row>
    <row r="72">
      <c r="A72" t="inlineStr">
        <is>
          <t>chr1</t>
        </is>
      </c>
      <c r="B72" t="n">
        <v>43596766</v>
      </c>
      <c r="C72" t="inlineStr">
        <is>
          <t>C</t>
        </is>
      </c>
      <c r="D72" t="inlineStr">
        <is>
          <t>T</t>
        </is>
      </c>
      <c r="E72" t="inlineStr">
        <is>
          <t>rs10890265</t>
        </is>
      </c>
      <c r="F72" t="n">
        <v>-0.0142332886</v>
      </c>
      <c r="G72" t="n">
        <v>0.2245427552482007</v>
      </c>
      <c r="H72" t="n">
        <v>0.0109763889869088</v>
      </c>
      <c r="I72" t="n">
        <v>0.422710152990337</v>
      </c>
      <c r="J72" t="n">
        <v>0.445682319909124</v>
      </c>
      <c r="K72" t="n">
        <v>0.1287850936694342</v>
      </c>
      <c r="L72" t="b">
        <v>0</v>
      </c>
      <c r="M72" t="b">
        <v>0</v>
      </c>
      <c r="N72" t="inlineStr">
        <is>
          <t>ref</t>
        </is>
      </c>
      <c r="O72" t="n">
        <v>75</v>
      </c>
      <c r="P72" t="n">
        <v>0.001442</v>
      </c>
      <c r="Q72" t="n">
        <v>0</v>
      </c>
      <c r="R72" t="n">
        <v>0</v>
      </c>
      <c r="S72">
        <f>IMAGE("https://mitra.stanford.edu/kundaje/oak/projects/neuro-variants/variant_position/credible/roussos_2024/variant_figures/roussos_2024.adolescence.GLU/rs10890265_count_position.png",4,220,900)</f>
        <v/>
      </c>
      <c r="T72">
        <f>IMAGE("https://mitra.stanford.edu/kundaje/oak/projects/neuro-variants/variant_position/credible/roussos_2024/variant_figures/roussos_2024.adolescence.GLU/rs10890265_profile_position.png",4,220,900)</f>
        <v/>
      </c>
    </row>
    <row r="73">
      <c r="A73" t="inlineStr">
        <is>
          <t>chr1</t>
        </is>
      </c>
      <c r="B73" t="n">
        <v>43613740</v>
      </c>
      <c r="C73" t="inlineStr">
        <is>
          <t>T</t>
        </is>
      </c>
      <c r="D73" t="inlineStr">
        <is>
          <t>C</t>
        </is>
      </c>
      <c r="E73" t="inlineStr">
        <is>
          <t>rs603542</t>
        </is>
      </c>
      <c r="F73" t="n">
        <v>0.0673747346</v>
      </c>
      <c r="G73" t="n">
        <v>0.0278083178046519</v>
      </c>
      <c r="H73" t="n">
        <v>0.0198574052932464</v>
      </c>
      <c r="I73" t="n">
        <v>0.0550572516798348</v>
      </c>
      <c r="J73" t="n">
        <v>0.4884854719906267</v>
      </c>
      <c r="K73" t="n">
        <v>0.0952933666836704</v>
      </c>
      <c r="L73" t="b">
        <v>0</v>
      </c>
      <c r="M73" t="b">
        <v>0</v>
      </c>
      <c r="N73" t="inlineStr">
        <is>
          <t>alt</t>
        </is>
      </c>
      <c r="O73" t="n">
        <v>65</v>
      </c>
      <c r="P73" t="n">
        <v>0.004528</v>
      </c>
      <c r="Q73" t="n">
        <v>-60</v>
      </c>
      <c r="R73" t="n">
        <v>0.03287</v>
      </c>
      <c r="S73">
        <f>IMAGE("https://mitra.stanford.edu/kundaje/oak/projects/neuro-variants/variant_position/credible/roussos_2024/variant_figures/roussos_2024.adolescence.GLU/rs603542_count_position.png",4,220,900)</f>
        <v/>
      </c>
      <c r="T73">
        <f>IMAGE("https://mitra.stanford.edu/kundaje/oak/projects/neuro-variants/variant_position/credible/roussos_2024/variant_figures/roussos_2024.adolescence.GLU/rs603542_profile_position.png",4,220,900)</f>
        <v/>
      </c>
    </row>
    <row r="74">
      <c r="A74" t="inlineStr">
        <is>
          <t>chr1</t>
        </is>
      </c>
      <c r="B74" t="n">
        <v>43618949</v>
      </c>
      <c r="C74" t="inlineStr">
        <is>
          <t>G</t>
        </is>
      </c>
      <c r="D74" t="inlineStr">
        <is>
          <t>T</t>
        </is>
      </c>
      <c r="E74" t="inlineStr">
        <is>
          <t>rs16831024</t>
        </is>
      </c>
      <c r="F74" t="n">
        <v>0.0153143438199999</v>
      </c>
      <c r="G74" t="n">
        <v>0.3658712255041272</v>
      </c>
      <c r="H74" t="n">
        <v>0.009656845111421</v>
      </c>
      <c r="I74" t="n">
        <v>0.5636500241248042</v>
      </c>
      <c r="J74" t="n">
        <v>0.4774203227811475</v>
      </c>
      <c r="K74" t="n">
        <v>0.1039634692239593</v>
      </c>
      <c r="L74" t="b">
        <v>0</v>
      </c>
      <c r="M74" t="b">
        <v>0</v>
      </c>
      <c r="N74" t="inlineStr">
        <is>
          <t>alt</t>
        </is>
      </c>
      <c r="O74" t="n">
        <v>-70</v>
      </c>
      <c r="P74" t="n">
        <v>0.004784</v>
      </c>
      <c r="Q74" t="n">
        <v>0</v>
      </c>
      <c r="R74" t="n">
        <v>0</v>
      </c>
      <c r="S74">
        <f>IMAGE("https://mitra.stanford.edu/kundaje/oak/projects/neuro-variants/variant_position/credible/roussos_2024/variant_figures/roussos_2024.adolescence.GLU/rs16831024_count_position.png",4,220,900)</f>
        <v/>
      </c>
      <c r="T74">
        <f>IMAGE("https://mitra.stanford.edu/kundaje/oak/projects/neuro-variants/variant_position/credible/roussos_2024/variant_figures/roussos_2024.adolescence.GLU/rs16831024_profile_position.png",4,220,900)</f>
        <v/>
      </c>
    </row>
    <row r="75">
      <c r="A75" t="inlineStr">
        <is>
          <t>chr1</t>
        </is>
      </c>
      <c r="B75" t="n">
        <v>43621160</v>
      </c>
      <c r="C75" t="inlineStr">
        <is>
          <t>C</t>
        </is>
      </c>
      <c r="D75" t="inlineStr">
        <is>
          <t>T</t>
        </is>
      </c>
      <c r="E75" t="inlineStr">
        <is>
          <t>rs1143702</t>
        </is>
      </c>
      <c r="F75" t="n">
        <v>0.08328717519999999</v>
      </c>
      <c r="G75" t="n">
        <v>0.0148784577722135</v>
      </c>
      <c r="H75" t="n">
        <v>0.0244185089611024</v>
      </c>
      <c r="I75" t="n">
        <v>0.0210035066130217</v>
      </c>
      <c r="J75" t="n">
        <v>0.6236477556065185</v>
      </c>
      <c r="K75" t="n">
        <v>0.0306943550097533</v>
      </c>
      <c r="L75" t="b">
        <v>1</v>
      </c>
      <c r="M75" t="b">
        <v>0</v>
      </c>
      <c r="N75" t="inlineStr">
        <is>
          <t>alt</t>
        </is>
      </c>
      <c r="O75" t="n">
        <v>5</v>
      </c>
      <c r="P75" t="n">
        <v>0.0001984</v>
      </c>
      <c r="Q75" t="n">
        <v>70</v>
      </c>
      <c r="R75" t="n">
        <v>0.03735</v>
      </c>
      <c r="S75">
        <f>IMAGE("https://mitra.stanford.edu/kundaje/oak/projects/neuro-variants/variant_position/credible/roussos_2024/variant_figures/roussos_2024.adolescence.GLU/rs1143702_count_position.png",4,220,900)</f>
        <v/>
      </c>
      <c r="T75">
        <f>IMAGE("https://mitra.stanford.edu/kundaje/oak/projects/neuro-variants/variant_position/credible/roussos_2024/variant_figures/roussos_2024.adolescence.GLU/rs1143702_profile_position.png",4,220,900)</f>
        <v/>
      </c>
    </row>
    <row r="76">
      <c r="A76" t="inlineStr">
        <is>
          <t>chr1</t>
        </is>
      </c>
      <c r="B76" t="n">
        <v>43636916</v>
      </c>
      <c r="C76" t="inlineStr">
        <is>
          <t>C</t>
        </is>
      </c>
      <c r="D76" t="inlineStr">
        <is>
          <t>T</t>
        </is>
      </c>
      <c r="E76" t="inlineStr">
        <is>
          <t>rs11210894</t>
        </is>
      </c>
      <c r="F76" t="n">
        <v>-0.009137857750000001</v>
      </c>
      <c r="G76" t="n">
        <v>0.5010254403557421</v>
      </c>
      <c r="H76" t="n">
        <v>0.0105737782611906</v>
      </c>
      <c r="I76" t="n">
        <v>0.4385611232338647</v>
      </c>
      <c r="J76" t="n">
        <v>0.1815247444113423</v>
      </c>
      <c r="K76" t="n">
        <v>0.4352503849728566</v>
      </c>
      <c r="L76" t="b">
        <v>0</v>
      </c>
      <c r="M76" t="b">
        <v>0</v>
      </c>
      <c r="N76" t="inlineStr">
        <is>
          <t>ref</t>
        </is>
      </c>
      <c r="O76" t="n">
        <v>-100</v>
      </c>
      <c r="P76" t="n">
        <v>0.01324</v>
      </c>
      <c r="Q76" t="n">
        <v>80</v>
      </c>
      <c r="R76" t="n">
        <v>0.02568</v>
      </c>
      <c r="S76">
        <f>IMAGE("https://mitra.stanford.edu/kundaje/oak/projects/neuro-variants/variant_position/credible/roussos_2024/variant_figures/roussos_2024.adolescence.GLU/rs11210894_count_position.png",4,220,900)</f>
        <v/>
      </c>
      <c r="T76">
        <f>IMAGE("https://mitra.stanford.edu/kundaje/oak/projects/neuro-variants/variant_position/credible/roussos_2024/variant_figures/roussos_2024.adolescence.GLU/rs11210894_profile_position.png",4,220,900)</f>
        <v/>
      </c>
    </row>
    <row r="77">
      <c r="A77" t="inlineStr">
        <is>
          <t>chr1</t>
        </is>
      </c>
      <c r="B77" t="n">
        <v>43640118</v>
      </c>
      <c r="C77" t="inlineStr">
        <is>
          <t>C</t>
        </is>
      </c>
      <c r="D77" t="inlineStr">
        <is>
          <t>T</t>
        </is>
      </c>
      <c r="E77" t="inlineStr">
        <is>
          <t>rs12045413</t>
        </is>
      </c>
      <c r="F77" t="n">
        <v>-0.0590007786</v>
      </c>
      <c r="G77" t="n">
        <v>0.0437781620000347</v>
      </c>
      <c r="H77" t="n">
        <v>0.0109684837696797</v>
      </c>
      <c r="I77" t="n">
        <v>0.4275225997149253</v>
      </c>
      <c r="J77" t="n">
        <v>0.0784176722321052</v>
      </c>
      <c r="K77" t="n">
        <v>0.6296808136912969</v>
      </c>
      <c r="L77" t="b">
        <v>0</v>
      </c>
      <c r="M77" t="b">
        <v>0</v>
      </c>
      <c r="N77" t="inlineStr">
        <is>
          <t>ref</t>
        </is>
      </c>
      <c r="O77" t="n">
        <v>80</v>
      </c>
      <c r="P77" t="n">
        <v>0.0314</v>
      </c>
      <c r="Q77" t="n">
        <v>-5</v>
      </c>
      <c r="R77" t="n">
        <v>0.009889999999999999</v>
      </c>
      <c r="S77">
        <f>IMAGE("https://mitra.stanford.edu/kundaje/oak/projects/neuro-variants/variant_position/credible/roussos_2024/variant_figures/roussos_2024.adolescence.GLU/rs12045413_count_position.png",4,220,900)</f>
        <v/>
      </c>
      <c r="T77">
        <f>IMAGE("https://mitra.stanford.edu/kundaje/oak/projects/neuro-variants/variant_position/credible/roussos_2024/variant_figures/roussos_2024.adolescence.GLU/rs12045413_profile_position.png",4,220,900)</f>
        <v/>
      </c>
    </row>
    <row r="78">
      <c r="A78" t="inlineStr">
        <is>
          <t>chr1</t>
        </is>
      </c>
      <c r="B78" t="n">
        <v>43652524</v>
      </c>
      <c r="C78" t="inlineStr">
        <is>
          <t>A</t>
        </is>
      </c>
      <c r="D78" t="inlineStr">
        <is>
          <t>T</t>
        </is>
      </c>
      <c r="E78" t="inlineStr">
        <is>
          <t>rs12041746</t>
        </is>
      </c>
      <c r="F78" t="n">
        <v>-0.00240366378</v>
      </c>
      <c r="G78" t="n">
        <v>0.843148443509383</v>
      </c>
      <c r="H78" t="n">
        <v>0.0219849471345194</v>
      </c>
      <c r="I78" t="n">
        <v>0.0403320048310625</v>
      </c>
      <c r="J78" t="n">
        <v>0.0759171542676696</v>
      </c>
      <c r="K78" t="n">
        <v>0.6357745571566532</v>
      </c>
      <c r="L78" t="b">
        <v>0</v>
      </c>
      <c r="M78" t="b">
        <v>0</v>
      </c>
      <c r="N78" t="inlineStr">
        <is>
          <t>ref</t>
        </is>
      </c>
      <c r="O78" t="n">
        <v>90</v>
      </c>
      <c r="P78" t="n">
        <v>0.06122</v>
      </c>
      <c r="Q78" t="n">
        <v>100</v>
      </c>
      <c r="R78" t="n">
        <v>0.06226</v>
      </c>
      <c r="S78">
        <f>IMAGE("https://mitra.stanford.edu/kundaje/oak/projects/neuro-variants/variant_position/credible/roussos_2024/variant_figures/roussos_2024.adolescence.GLU/rs12041746_count_position.png",4,220,900)</f>
        <v/>
      </c>
      <c r="T78">
        <f>IMAGE("https://mitra.stanford.edu/kundaje/oak/projects/neuro-variants/variant_position/credible/roussos_2024/variant_figures/roussos_2024.adolescence.GLU/rs12041746_profile_position.png",4,220,900)</f>
        <v/>
      </c>
    </row>
    <row r="79">
      <c r="A79" t="inlineStr">
        <is>
          <t>chr1</t>
        </is>
      </c>
      <c r="B79" t="n">
        <v>43706787</v>
      </c>
      <c r="C79" t="inlineStr">
        <is>
          <t>C</t>
        </is>
      </c>
      <c r="D79" t="inlineStr">
        <is>
          <t>T</t>
        </is>
      </c>
      <c r="E79" t="inlineStr">
        <is>
          <t>rs34550543</t>
        </is>
      </c>
      <c r="F79" t="n">
        <v>-0.0442367452</v>
      </c>
      <c r="G79" t="n">
        <v>0.09315217537474341</v>
      </c>
      <c r="H79" t="n">
        <v>0.0135903712736038</v>
      </c>
      <c r="I79" t="n">
        <v>0.2447194508681144</v>
      </c>
      <c r="J79" t="n">
        <v>0.7325760336069613</v>
      </c>
      <c r="K79" t="n">
        <v>0.0119563848953532</v>
      </c>
      <c r="L79" t="b">
        <v>0</v>
      </c>
      <c r="M79" t="b">
        <v>0</v>
      </c>
      <c r="N79" t="inlineStr">
        <is>
          <t>ref</t>
        </is>
      </c>
      <c r="O79" t="n">
        <v>-80</v>
      </c>
      <c r="P79" t="n">
        <v>0.004646</v>
      </c>
      <c r="Q79" t="n">
        <v>85</v>
      </c>
      <c r="R79" t="n">
        <v>0.05374</v>
      </c>
      <c r="S79">
        <f>IMAGE("https://mitra.stanford.edu/kundaje/oak/projects/neuro-variants/variant_position/credible/roussos_2024/variant_figures/roussos_2024.adolescence.GLU/rs34550543_count_position.png",4,220,900)</f>
        <v/>
      </c>
      <c r="T79">
        <f>IMAGE("https://mitra.stanford.edu/kundaje/oak/projects/neuro-variants/variant_position/credible/roussos_2024/variant_figures/roussos_2024.adolescence.GLU/rs34550543_profile_position.png",4,220,900)</f>
        <v/>
      </c>
    </row>
    <row r="80">
      <c r="A80" t="inlineStr">
        <is>
          <t>chr1</t>
        </is>
      </c>
      <c r="B80" t="n">
        <v>43765809</v>
      </c>
      <c r="C80" t="inlineStr">
        <is>
          <t>G</t>
        </is>
      </c>
      <c r="D80" t="inlineStr">
        <is>
          <t>A</t>
        </is>
      </c>
      <c r="E80" t="inlineStr">
        <is>
          <t>rs56352978</t>
        </is>
      </c>
      <c r="F80" t="n">
        <v>0.0786042706</v>
      </c>
      <c r="G80" t="n">
        <v>0.0174552421018096</v>
      </c>
      <c r="H80" t="n">
        <v>0.0314906307565317</v>
      </c>
      <c r="I80" t="n">
        <v>0.0075826509048695</v>
      </c>
      <c r="J80" t="n">
        <v>0.4780390223689193</v>
      </c>
      <c r="K80" t="n">
        <v>0.1047844930652137</v>
      </c>
      <c r="L80" t="b">
        <v>1</v>
      </c>
      <c r="M80" t="b">
        <v>1</v>
      </c>
      <c r="N80" t="inlineStr">
        <is>
          <t>alt</t>
        </is>
      </c>
      <c r="O80" t="n">
        <v>-40</v>
      </c>
      <c r="P80" t="n">
        <v>0.002441</v>
      </c>
      <c r="Q80" t="n">
        <v>65</v>
      </c>
      <c r="R80" t="n">
        <v>0.05005</v>
      </c>
      <c r="S80">
        <f>IMAGE("https://mitra.stanford.edu/kundaje/oak/projects/neuro-variants/variant_position/credible/roussos_2024/variant_figures/roussos_2024.adolescence.GLU/rs56352978_count_position.png",4,220,900)</f>
        <v/>
      </c>
      <c r="T80">
        <f>IMAGE("https://mitra.stanford.edu/kundaje/oak/projects/neuro-variants/variant_position/credible/roussos_2024/variant_figures/roussos_2024.adolescence.GLU/rs56352978_profile_position.png",4,220,900)</f>
        <v/>
      </c>
    </row>
    <row r="81">
      <c r="A81" t="inlineStr">
        <is>
          <t>chr1</t>
        </is>
      </c>
      <c r="B81" t="n">
        <v>43767861</v>
      </c>
      <c r="C81" t="inlineStr">
        <is>
          <t>C</t>
        </is>
      </c>
      <c r="D81" t="inlineStr">
        <is>
          <t>T</t>
        </is>
      </c>
      <c r="E81" t="inlineStr">
        <is>
          <t>rs11590088</t>
        </is>
      </c>
      <c r="F81" t="n">
        <v>0.002069905384</v>
      </c>
      <c r="G81" t="n">
        <v>0.796520132631394</v>
      </c>
      <c r="H81" t="n">
        <v>0.0180702415711468</v>
      </c>
      <c r="I81" t="n">
        <v>0.0795418536660992</v>
      </c>
      <c r="J81" t="n">
        <v>0.0133299040515534</v>
      </c>
      <c r="K81" t="n">
        <v>0.8573680962127829</v>
      </c>
      <c r="L81" t="b">
        <v>0</v>
      </c>
      <c r="M81" t="b">
        <v>0</v>
      </c>
      <c r="N81" t="inlineStr">
        <is>
          <t>alt</t>
        </is>
      </c>
      <c r="O81" t="n">
        <v>-100</v>
      </c>
      <c r="P81" t="n">
        <v>0.009384</v>
      </c>
      <c r="Q81" t="n">
        <v>-60</v>
      </c>
      <c r="R81" t="n">
        <v>0.04257</v>
      </c>
      <c r="S81">
        <f>IMAGE("https://mitra.stanford.edu/kundaje/oak/projects/neuro-variants/variant_position/credible/roussos_2024/variant_figures/roussos_2024.adolescence.GLU/rs11590088_count_position.png",4,220,900)</f>
        <v/>
      </c>
      <c r="T81">
        <f>IMAGE("https://mitra.stanford.edu/kundaje/oak/projects/neuro-variants/variant_position/credible/roussos_2024/variant_figures/roussos_2024.adolescence.GLU/rs11590088_profile_position.png",4,220,900)</f>
        <v/>
      </c>
    </row>
    <row r="82">
      <c r="A82" t="inlineStr">
        <is>
          <t>chr1</t>
        </is>
      </c>
      <c r="B82" t="n">
        <v>49392239</v>
      </c>
      <c r="C82" t="inlineStr">
        <is>
          <t>C</t>
        </is>
      </c>
      <c r="D82" t="inlineStr">
        <is>
          <t>T</t>
        </is>
      </c>
      <c r="E82" t="inlineStr">
        <is>
          <t>rs3957</t>
        </is>
      </c>
      <c r="F82" t="n">
        <v>-0.0578202971999999</v>
      </c>
      <c r="G82" t="n">
        <v>0.0465552197281299</v>
      </c>
      <c r="H82" t="n">
        <v>0.012620187129589</v>
      </c>
      <c r="I82" t="n">
        <v>0.2940149413637318</v>
      </c>
      <c r="J82" t="n">
        <v>0.07838052167949069</v>
      </c>
      <c r="K82" t="n">
        <v>0.6188402630786681</v>
      </c>
      <c r="L82" t="b">
        <v>0</v>
      </c>
      <c r="M82" t="b">
        <v>0</v>
      </c>
      <c r="N82" t="inlineStr">
        <is>
          <t>ref</t>
        </is>
      </c>
      <c r="O82" t="n">
        <v>40</v>
      </c>
      <c r="P82" t="n">
        <v>0.00296</v>
      </c>
      <c r="Q82" t="n">
        <v>35</v>
      </c>
      <c r="R82" t="n">
        <v>0.05954</v>
      </c>
      <c r="S82">
        <f>IMAGE("https://mitra.stanford.edu/kundaje/oak/projects/neuro-variants/variant_position/credible/roussos_2024/variant_figures/roussos_2024.adolescence.GLU/rs3957_count_position.png",4,220,900)</f>
        <v/>
      </c>
      <c r="T82">
        <f>IMAGE("https://mitra.stanford.edu/kundaje/oak/projects/neuro-variants/variant_position/credible/roussos_2024/variant_figures/roussos_2024.adolescence.GLU/rs3957_profile_position.png",4,220,900)</f>
        <v/>
      </c>
    </row>
    <row r="83">
      <c r="A83" t="inlineStr">
        <is>
          <t>chr1</t>
        </is>
      </c>
      <c r="B83" t="n">
        <v>49508120</v>
      </c>
      <c r="C83" t="inlineStr">
        <is>
          <t>T</t>
        </is>
      </c>
      <c r="D83" t="inlineStr">
        <is>
          <t>C</t>
        </is>
      </c>
      <c r="E83" t="inlineStr">
        <is>
          <t>rs1167295</t>
        </is>
      </c>
      <c r="F83" t="n">
        <v>0.00075917772</v>
      </c>
      <c r="G83" t="n">
        <v>0.8561607635967242</v>
      </c>
      <c r="H83" t="n">
        <v>0.0160616110536193</v>
      </c>
      <c r="I83" t="n">
        <v>0.1274037616876472</v>
      </c>
      <c r="J83" t="n">
        <v>0.0008630359145822</v>
      </c>
      <c r="K83" t="n">
        <v>0.9758200036300808</v>
      </c>
      <c r="L83" t="b">
        <v>0</v>
      </c>
      <c r="M83" t="b">
        <v>0</v>
      </c>
      <c r="N83" t="inlineStr">
        <is>
          <t>alt</t>
        </is>
      </c>
      <c r="O83" t="n">
        <v>70</v>
      </c>
      <c r="P83" t="n">
        <v>0.006203</v>
      </c>
      <c r="Q83" t="n">
        <v>100</v>
      </c>
      <c r="R83" t="n">
        <v>0.0517</v>
      </c>
      <c r="S83">
        <f>IMAGE("https://mitra.stanford.edu/kundaje/oak/projects/neuro-variants/variant_position/credible/roussos_2024/variant_figures/roussos_2024.adolescence.GLU/rs1167295_count_position.png",4,220,900)</f>
        <v/>
      </c>
      <c r="T83">
        <f>IMAGE("https://mitra.stanford.edu/kundaje/oak/projects/neuro-variants/variant_position/credible/roussos_2024/variant_figures/roussos_2024.adolescence.GLU/rs1167295_profile_position.png",4,220,900)</f>
        <v/>
      </c>
    </row>
    <row r="84">
      <c r="A84" t="inlineStr">
        <is>
          <t>chr1</t>
        </is>
      </c>
      <c r="B84" t="n">
        <v>49509401</v>
      </c>
      <c r="C84" t="inlineStr">
        <is>
          <t>C</t>
        </is>
      </c>
      <c r="D84" t="inlineStr">
        <is>
          <t>T</t>
        </is>
      </c>
      <c r="E84" t="inlineStr">
        <is>
          <t>rs1167294</t>
        </is>
      </c>
      <c r="F84" t="n">
        <v>-0.0001347812999999</v>
      </c>
      <c r="G84" t="n">
        <v>0.8684130513177993</v>
      </c>
      <c r="H84" t="n">
        <v>0.0210883699218147</v>
      </c>
      <c r="I84" t="n">
        <v>0.0424710834036332</v>
      </c>
      <c r="J84" t="n">
        <v>0.0188324724407198</v>
      </c>
      <c r="K84" t="n">
        <v>0.8286165711088629</v>
      </c>
      <c r="L84" t="b">
        <v>0</v>
      </c>
      <c r="M84" t="b">
        <v>0</v>
      </c>
      <c r="N84" t="inlineStr">
        <is>
          <t>ref</t>
        </is>
      </c>
      <c r="O84" t="n">
        <v>30</v>
      </c>
      <c r="P84" t="n">
        <v>0.001121</v>
      </c>
      <c r="Q84" t="n">
        <v>-100</v>
      </c>
      <c r="R84" t="n">
        <v>0.11237</v>
      </c>
      <c r="S84">
        <f>IMAGE("https://mitra.stanford.edu/kundaje/oak/projects/neuro-variants/variant_position/credible/roussos_2024/variant_figures/roussos_2024.adolescence.GLU/rs1167294_count_position.png",4,220,900)</f>
        <v/>
      </c>
      <c r="T84">
        <f>IMAGE("https://mitra.stanford.edu/kundaje/oak/projects/neuro-variants/variant_position/credible/roussos_2024/variant_figures/roussos_2024.adolescence.GLU/rs1167294_profile_position.png",4,220,900)</f>
        <v/>
      </c>
    </row>
    <row r="85">
      <c r="A85" t="inlineStr">
        <is>
          <t>chr1</t>
        </is>
      </c>
      <c r="B85" t="n">
        <v>49552771</v>
      </c>
      <c r="C85" t="inlineStr">
        <is>
          <t>T</t>
        </is>
      </c>
      <c r="D85" t="inlineStr">
        <is>
          <t>C</t>
        </is>
      </c>
      <c r="E85" t="inlineStr">
        <is>
          <t>rs1405913</t>
        </is>
      </c>
      <c r="F85" t="n">
        <v>0.0887252645999999</v>
      </c>
      <c r="G85" t="n">
        <v>0.0136186601172858</v>
      </c>
      <c r="H85" t="n">
        <v>0.0184181026941934</v>
      </c>
      <c r="I85" t="n">
        <v>0.0855595441003548</v>
      </c>
      <c r="J85" t="n">
        <v>0.3104243021768795</v>
      </c>
      <c r="K85" t="n">
        <v>0.2563355449669849</v>
      </c>
      <c r="L85" t="b">
        <v>1</v>
      </c>
      <c r="M85" t="b">
        <v>0</v>
      </c>
      <c r="N85" t="inlineStr">
        <is>
          <t>alt</t>
        </is>
      </c>
      <c r="O85" t="n">
        <v>90</v>
      </c>
      <c r="P85" t="n">
        <v>0.004883</v>
      </c>
      <c r="Q85" t="n">
        <v>-65</v>
      </c>
      <c r="R85" t="n">
        <v>0.03735</v>
      </c>
      <c r="S85">
        <f>IMAGE("https://mitra.stanford.edu/kundaje/oak/projects/neuro-variants/variant_position/credible/roussos_2024/variant_figures/roussos_2024.adolescence.GLU/rs1405913_count_position.png",4,220,900)</f>
        <v/>
      </c>
      <c r="T85">
        <f>IMAGE("https://mitra.stanford.edu/kundaje/oak/projects/neuro-variants/variant_position/credible/roussos_2024/variant_figures/roussos_2024.adolescence.GLU/rs1405913_profile_position.png",4,220,900)</f>
        <v/>
      </c>
    </row>
    <row r="86">
      <c r="A86" t="inlineStr">
        <is>
          <t>chr1</t>
        </is>
      </c>
      <c r="B86" t="n">
        <v>49561483</v>
      </c>
      <c r="C86" t="inlineStr">
        <is>
          <t>C</t>
        </is>
      </c>
      <c r="D86" t="inlineStr">
        <is>
          <t>T</t>
        </is>
      </c>
      <c r="E86" t="inlineStr">
        <is>
          <t>rs1305494</t>
        </is>
      </c>
      <c r="F86" t="n">
        <v>-0.00556571292</v>
      </c>
      <c r="G86" t="n">
        <v>0.6964151704284004</v>
      </c>
      <c r="H86" t="n">
        <v>0.0089526326539197</v>
      </c>
      <c r="I86" t="n">
        <v>0.6719007635472514</v>
      </c>
      <c r="J86" t="n">
        <v>0.0094633888448321</v>
      </c>
      <c r="K86" t="n">
        <v>0.8793685629402207</v>
      </c>
      <c r="L86" t="b">
        <v>0</v>
      </c>
      <c r="M86" t="b">
        <v>0</v>
      </c>
      <c r="N86" t="inlineStr">
        <is>
          <t>ref</t>
        </is>
      </c>
      <c r="O86" t="n">
        <v>-100</v>
      </c>
      <c r="P86" t="n">
        <v>0.03864</v>
      </c>
      <c r="Q86" t="n">
        <v>45</v>
      </c>
      <c r="R86" t="n">
        <v>0.009050000000000001</v>
      </c>
      <c r="S86">
        <f>IMAGE("https://mitra.stanford.edu/kundaje/oak/projects/neuro-variants/variant_position/credible/roussos_2024/variant_figures/roussos_2024.adolescence.GLU/rs1305494_count_position.png",4,220,900)</f>
        <v/>
      </c>
      <c r="T86">
        <f>IMAGE("https://mitra.stanford.edu/kundaje/oak/projects/neuro-variants/variant_position/credible/roussos_2024/variant_figures/roussos_2024.adolescence.GLU/rs1305494_profile_position.png",4,220,900)</f>
        <v/>
      </c>
    </row>
    <row r="87">
      <c r="A87" t="inlineStr">
        <is>
          <t>chr1</t>
        </is>
      </c>
      <c r="B87" t="n">
        <v>49615927</v>
      </c>
      <c r="C87" t="inlineStr">
        <is>
          <t>C</t>
        </is>
      </c>
      <c r="D87" t="inlineStr">
        <is>
          <t>T</t>
        </is>
      </c>
      <c r="E87" t="inlineStr">
        <is>
          <t>rs11205633</t>
        </is>
      </c>
      <c r="F87" t="n">
        <v>-0.0257645504</v>
      </c>
      <c r="G87" t="n">
        <v>0.2259452871211532</v>
      </c>
      <c r="H87" t="n">
        <v>0.0133848416391091</v>
      </c>
      <c r="I87" t="n">
        <v>0.2447826074759942</v>
      </c>
      <c r="J87" t="n">
        <v>0.0515263876088617</v>
      </c>
      <c r="K87" t="n">
        <v>0.6927117987839533</v>
      </c>
      <c r="L87" t="b">
        <v>0</v>
      </c>
      <c r="M87" t="b">
        <v>0</v>
      </c>
      <c r="N87" t="inlineStr">
        <is>
          <t>ref</t>
        </is>
      </c>
      <c r="O87" t="n">
        <v>-60</v>
      </c>
      <c r="P87" t="n">
        <v>0.004246</v>
      </c>
      <c r="Q87" t="n">
        <v>80</v>
      </c>
      <c r="R87" t="n">
        <v>0.077</v>
      </c>
      <c r="S87">
        <f>IMAGE("https://mitra.stanford.edu/kundaje/oak/projects/neuro-variants/variant_position/credible/roussos_2024/variant_figures/roussos_2024.adolescence.GLU/rs11205633_count_position.png",4,220,900)</f>
        <v/>
      </c>
      <c r="T87">
        <f>IMAGE("https://mitra.stanford.edu/kundaje/oak/projects/neuro-variants/variant_position/credible/roussos_2024/variant_figures/roussos_2024.adolescence.GLU/rs11205633_profile_position.png",4,220,900)</f>
        <v/>
      </c>
    </row>
    <row r="88">
      <c r="A88" t="inlineStr">
        <is>
          <t>chr1</t>
        </is>
      </c>
      <c r="B88" t="n">
        <v>49620517</v>
      </c>
      <c r="C88" t="inlineStr">
        <is>
          <t>C</t>
        </is>
      </c>
      <c r="D88" t="inlineStr">
        <is>
          <t>G</t>
        </is>
      </c>
      <c r="E88" t="inlineStr">
        <is>
          <t>rs6684606</t>
        </is>
      </c>
      <c r="F88" t="n">
        <v>0.0132714705999999</v>
      </c>
      <c r="G88" t="n">
        <v>0.3994272555926279</v>
      </c>
      <c r="H88" t="n">
        <v>0.0075420649844733</v>
      </c>
      <c r="I88" t="n">
        <v>0.7977271346626938</v>
      </c>
      <c r="J88" t="n">
        <v>0.0179594344542797</v>
      </c>
      <c r="K88" t="n">
        <v>0.8270713969006291</v>
      </c>
      <c r="L88" t="b">
        <v>0</v>
      </c>
      <c r="M88" t="b">
        <v>0</v>
      </c>
      <c r="N88" t="inlineStr">
        <is>
          <t>alt</t>
        </is>
      </c>
      <c r="O88" t="n">
        <v>55</v>
      </c>
      <c r="P88" t="n">
        <v>0.00511</v>
      </c>
      <c r="Q88" t="n">
        <v>70</v>
      </c>
      <c r="R88" t="n">
        <v>0.02449</v>
      </c>
      <c r="S88">
        <f>IMAGE("https://mitra.stanford.edu/kundaje/oak/projects/neuro-variants/variant_position/credible/roussos_2024/variant_figures/roussos_2024.adolescence.GLU/rs6684606_count_position.png",4,220,900)</f>
        <v/>
      </c>
      <c r="T88">
        <f>IMAGE("https://mitra.stanford.edu/kundaje/oak/projects/neuro-variants/variant_position/credible/roussos_2024/variant_figures/roussos_2024.adolescence.GLU/rs6684606_profile_position.png",4,220,900)</f>
        <v/>
      </c>
    </row>
    <row r="89">
      <c r="A89" t="inlineStr">
        <is>
          <t>chr1</t>
        </is>
      </c>
      <c r="B89" t="n">
        <v>49647919</v>
      </c>
      <c r="C89" t="inlineStr">
        <is>
          <t>T</t>
        </is>
      </c>
      <c r="D89" t="inlineStr">
        <is>
          <t>C</t>
        </is>
      </c>
      <c r="E89" t="inlineStr">
        <is>
          <t>rs6588355</t>
        </is>
      </c>
      <c r="F89" t="n">
        <v>-0.001424027086</v>
      </c>
      <c r="G89" t="n">
        <v>0.8657325867378496</v>
      </c>
      <c r="H89" t="n">
        <v>0.0130969404415573</v>
      </c>
      <c r="I89" t="n">
        <v>0.2535531297043682</v>
      </c>
      <c r="J89" t="n">
        <v>0.0187624579377156</v>
      </c>
      <c r="K89" t="n">
        <v>0.8245869800276339</v>
      </c>
      <c r="L89" t="b">
        <v>0</v>
      </c>
      <c r="M89" t="b">
        <v>0</v>
      </c>
      <c r="N89" t="inlineStr">
        <is>
          <t>ref</t>
        </is>
      </c>
      <c r="O89" t="n">
        <v>-75</v>
      </c>
      <c r="P89" t="n">
        <v>0.01314</v>
      </c>
      <c r="Q89" t="n">
        <v>0</v>
      </c>
      <c r="R89" t="n">
        <v>0</v>
      </c>
      <c r="S89">
        <f>IMAGE("https://mitra.stanford.edu/kundaje/oak/projects/neuro-variants/variant_position/credible/roussos_2024/variant_figures/roussos_2024.adolescence.GLU/rs6588355_count_position.png",4,220,900)</f>
        <v/>
      </c>
      <c r="T89">
        <f>IMAGE("https://mitra.stanford.edu/kundaje/oak/projects/neuro-variants/variant_position/credible/roussos_2024/variant_figures/roussos_2024.adolescence.GLU/rs6588355_profile_position.png",4,220,900)</f>
        <v/>
      </c>
    </row>
    <row r="90">
      <c r="A90" t="inlineStr">
        <is>
          <t>chr1</t>
        </is>
      </c>
      <c r="B90" t="n">
        <v>49652929</v>
      </c>
      <c r="C90" t="inlineStr">
        <is>
          <t>T</t>
        </is>
      </c>
      <c r="D90" t="inlineStr">
        <is>
          <t>C</t>
        </is>
      </c>
      <c r="E90" t="inlineStr">
        <is>
          <t>rs6660689</t>
        </is>
      </c>
      <c r="F90" t="n">
        <v>0.0914703984</v>
      </c>
      <c r="G90" t="n">
        <v>0.0101380536997888</v>
      </c>
      <c r="H90" t="n">
        <v>0.0156125151708632</v>
      </c>
      <c r="I90" t="n">
        <v>0.1422714852062762</v>
      </c>
      <c r="J90" t="n">
        <v>0.2981431868029806</v>
      </c>
      <c r="K90" t="n">
        <v>0.2735525129097182</v>
      </c>
      <c r="L90" t="b">
        <v>1</v>
      </c>
      <c r="M90" t="b">
        <v>0</v>
      </c>
      <c r="N90" t="inlineStr">
        <is>
          <t>alt</t>
        </is>
      </c>
      <c r="O90" t="n">
        <v>100</v>
      </c>
      <c r="P90" t="n">
        <v>0.009169999999999999</v>
      </c>
      <c r="Q90" t="n">
        <v>-100</v>
      </c>
      <c r="R90" t="n">
        <v>0.04053</v>
      </c>
      <c r="S90">
        <f>IMAGE("https://mitra.stanford.edu/kundaje/oak/projects/neuro-variants/variant_position/credible/roussos_2024/variant_figures/roussos_2024.adolescence.GLU/rs6660689_count_position.png",4,220,900)</f>
        <v/>
      </c>
      <c r="T90">
        <f>IMAGE("https://mitra.stanford.edu/kundaje/oak/projects/neuro-variants/variant_position/credible/roussos_2024/variant_figures/roussos_2024.adolescence.GLU/rs6660689_profile_position.png",4,220,900)</f>
        <v/>
      </c>
    </row>
    <row r="91">
      <c r="A91" t="inlineStr">
        <is>
          <t>chr1</t>
        </is>
      </c>
      <c r="B91" t="n">
        <v>49716626</v>
      </c>
      <c r="C91" t="inlineStr">
        <is>
          <t>C</t>
        </is>
      </c>
      <c r="D91" t="inlineStr">
        <is>
          <t>T</t>
        </is>
      </c>
      <c r="E91" t="inlineStr">
        <is>
          <t>rs12137221</t>
        </is>
      </c>
      <c r="F91" t="n">
        <v>-0.047561986</v>
      </c>
      <c r="G91" t="n">
        <v>0.0760066129511221</v>
      </c>
      <c r="H91" t="n">
        <v>0.0132906366229922</v>
      </c>
      <c r="I91" t="n">
        <v>0.2447023611675794</v>
      </c>
      <c r="J91" t="n">
        <v>0.0982932178808467</v>
      </c>
      <c r="K91" t="n">
        <v>0.5747778642171844</v>
      </c>
      <c r="L91" t="b">
        <v>0</v>
      </c>
      <c r="M91" t="b">
        <v>0</v>
      </c>
      <c r="N91" t="inlineStr">
        <is>
          <t>ref</t>
        </is>
      </c>
      <c r="O91" t="n">
        <v>-35</v>
      </c>
      <c r="P91" t="n">
        <v>0.00453</v>
      </c>
      <c r="Q91" t="n">
        <v>-100</v>
      </c>
      <c r="R91" t="n">
        <v>0.07446</v>
      </c>
      <c r="S91">
        <f>IMAGE("https://mitra.stanford.edu/kundaje/oak/projects/neuro-variants/variant_position/credible/roussos_2024/variant_figures/roussos_2024.adolescence.GLU/rs12137221_count_position.png",4,220,900)</f>
        <v/>
      </c>
      <c r="T91">
        <f>IMAGE("https://mitra.stanford.edu/kundaje/oak/projects/neuro-variants/variant_position/credible/roussos_2024/variant_figures/roussos_2024.adolescence.GLU/rs12137221_profile_position.png",4,220,900)</f>
        <v/>
      </c>
    </row>
    <row r="92">
      <c r="A92" t="inlineStr">
        <is>
          <t>chr1</t>
        </is>
      </c>
      <c r="B92" t="n">
        <v>49752696</v>
      </c>
      <c r="C92" t="inlineStr">
        <is>
          <t>T</t>
        </is>
      </c>
      <c r="D92" t="inlineStr">
        <is>
          <t>G</t>
        </is>
      </c>
      <c r="E92" t="inlineStr">
        <is>
          <t>rs4926540</t>
        </is>
      </c>
      <c r="F92" t="n">
        <v>0.01719787232</v>
      </c>
      <c r="G92" t="n">
        <v>0.339159356651675</v>
      </c>
      <c r="H92" t="n">
        <v>0.0109325478727749</v>
      </c>
      <c r="I92" t="n">
        <v>0.4353427204106859</v>
      </c>
      <c r="J92" t="n">
        <v>0.0688671224753698</v>
      </c>
      <c r="K92" t="n">
        <v>0.6454603565253</v>
      </c>
      <c r="L92" t="b">
        <v>0</v>
      </c>
      <c r="M92" t="b">
        <v>0</v>
      </c>
      <c r="N92" t="inlineStr">
        <is>
          <t>alt</t>
        </is>
      </c>
      <c r="O92" t="n">
        <v>0</v>
      </c>
      <c r="P92" t="n">
        <v>0</v>
      </c>
      <c r="Q92" t="n">
        <v>-100</v>
      </c>
      <c r="R92" t="n">
        <v>0.01993</v>
      </c>
      <c r="S92">
        <f>IMAGE("https://mitra.stanford.edu/kundaje/oak/projects/neuro-variants/variant_position/credible/roussos_2024/variant_figures/roussos_2024.adolescence.GLU/rs4926540_count_position.png",4,220,900)</f>
        <v/>
      </c>
      <c r="T92">
        <f>IMAGE("https://mitra.stanford.edu/kundaje/oak/projects/neuro-variants/variant_position/credible/roussos_2024/variant_figures/roussos_2024.adolescence.GLU/rs4926540_profile_position.png",4,220,900)</f>
        <v/>
      </c>
    </row>
    <row r="93">
      <c r="A93" t="inlineStr">
        <is>
          <t>chr1</t>
        </is>
      </c>
      <c r="B93" t="n">
        <v>49850920</v>
      </c>
      <c r="C93" t="inlineStr">
        <is>
          <t>C</t>
        </is>
      </c>
      <c r="D93" t="inlineStr">
        <is>
          <t>T</t>
        </is>
      </c>
      <c r="E93" t="inlineStr">
        <is>
          <t>rs68007327</t>
        </is>
      </c>
      <c r="F93" t="n">
        <v>-0.009587398119999899</v>
      </c>
      <c r="G93" t="n">
        <v>0.4265332173462662</v>
      </c>
      <c r="H93" t="n">
        <v>0.009668623989709</v>
      </c>
      <c r="I93" t="n">
        <v>0.5752889978884631</v>
      </c>
      <c r="J93" t="n">
        <v>0.0102749855327174</v>
      </c>
      <c r="K93" t="n">
        <v>0.8805337440507616</v>
      </c>
      <c r="L93" t="b">
        <v>0</v>
      </c>
      <c r="M93" t="b">
        <v>0</v>
      </c>
      <c r="N93" t="inlineStr">
        <is>
          <t>ref</t>
        </is>
      </c>
      <c r="O93" t="n">
        <v>-100</v>
      </c>
      <c r="P93" t="n">
        <v>0.01886</v>
      </c>
      <c r="Q93" t="n">
        <v>5</v>
      </c>
      <c r="R93" t="n">
        <v>0.003662</v>
      </c>
      <c r="S93">
        <f>IMAGE("https://mitra.stanford.edu/kundaje/oak/projects/neuro-variants/variant_position/credible/roussos_2024/variant_figures/roussos_2024.adolescence.GLU/rs68007327_count_position.png",4,220,900)</f>
        <v/>
      </c>
      <c r="T93">
        <f>IMAGE("https://mitra.stanford.edu/kundaje/oak/projects/neuro-variants/variant_position/credible/roussos_2024/variant_figures/roussos_2024.adolescence.GLU/rs68007327_profile_position.png",4,220,900)</f>
        <v/>
      </c>
    </row>
    <row r="94">
      <c r="A94" t="inlineStr">
        <is>
          <t>chr1</t>
        </is>
      </c>
      <c r="B94" t="n">
        <v>60578378</v>
      </c>
      <c r="C94" t="inlineStr">
        <is>
          <t>C</t>
        </is>
      </c>
      <c r="D94" t="inlineStr">
        <is>
          <t>T</t>
        </is>
      </c>
      <c r="E94" t="inlineStr">
        <is>
          <t>rs987335</t>
        </is>
      </c>
      <c r="F94" t="n">
        <v>-0.0322117506</v>
      </c>
      <c r="G94" t="n">
        <v>0.1695994869118342</v>
      </c>
      <c r="H94" t="n">
        <v>0.0112787661694574</v>
      </c>
      <c r="I94" t="n">
        <v>0.3965507707538704</v>
      </c>
      <c r="J94" t="n">
        <v>0.1374413271320487</v>
      </c>
      <c r="K94" t="n">
        <v>0.5067497253080947</v>
      </c>
      <c r="L94" t="b">
        <v>0</v>
      </c>
      <c r="M94" t="b">
        <v>0</v>
      </c>
      <c r="N94" t="inlineStr">
        <is>
          <t>ref</t>
        </is>
      </c>
      <c r="O94" t="n">
        <v>100</v>
      </c>
      <c r="P94" t="n">
        <v>0.003914</v>
      </c>
      <c r="Q94" t="n">
        <v>15</v>
      </c>
      <c r="R94" t="n">
        <v>0.00885</v>
      </c>
      <c r="S94">
        <f>IMAGE("https://mitra.stanford.edu/kundaje/oak/projects/neuro-variants/variant_position/credible/roussos_2024/variant_figures/roussos_2024.adolescence.GLU/rs987335_count_position.png",4,220,900)</f>
        <v/>
      </c>
      <c r="T94">
        <f>IMAGE("https://mitra.stanford.edu/kundaje/oak/projects/neuro-variants/variant_position/credible/roussos_2024/variant_figures/roussos_2024.adolescence.GLU/rs987335_profile_position.png",4,220,900)</f>
        <v/>
      </c>
    </row>
    <row r="95">
      <c r="A95" t="inlineStr">
        <is>
          <t>chr1</t>
        </is>
      </c>
      <c r="B95" t="n">
        <v>60586229</v>
      </c>
      <c r="C95" t="inlineStr">
        <is>
          <t>C</t>
        </is>
      </c>
      <c r="D95" t="inlineStr">
        <is>
          <t>T</t>
        </is>
      </c>
      <c r="E95" t="inlineStr">
        <is>
          <t>rs11207639</t>
        </is>
      </c>
      <c r="F95" t="n">
        <v>-0.002742630932</v>
      </c>
      <c r="G95" t="n">
        <v>0.8189523517550008</v>
      </c>
      <c r="H95" t="n">
        <v>0.0202510289033937</v>
      </c>
      <c r="I95" t="n">
        <v>0.0526246021704123</v>
      </c>
      <c r="J95" t="n">
        <v>0.0030349143751205</v>
      </c>
      <c r="K95" t="n">
        <v>0.9448509437287128</v>
      </c>
      <c r="L95" t="b">
        <v>0</v>
      </c>
      <c r="M95" t="b">
        <v>0</v>
      </c>
      <c r="N95" t="inlineStr">
        <is>
          <t>ref</t>
        </is>
      </c>
      <c r="O95" t="n">
        <v>100</v>
      </c>
      <c r="P95" t="n">
        <v>0.01283</v>
      </c>
      <c r="Q95" t="n">
        <v>55</v>
      </c>
      <c r="R95" t="n">
        <v>0.01852</v>
      </c>
      <c r="S95">
        <f>IMAGE("https://mitra.stanford.edu/kundaje/oak/projects/neuro-variants/variant_position/credible/roussos_2024/variant_figures/roussos_2024.adolescence.GLU/rs11207639_count_position.png",4,220,900)</f>
        <v/>
      </c>
      <c r="T95">
        <f>IMAGE("https://mitra.stanford.edu/kundaje/oak/projects/neuro-variants/variant_position/credible/roussos_2024/variant_figures/roussos_2024.adolescence.GLU/rs11207639_profile_position.png",4,220,900)</f>
        <v/>
      </c>
    </row>
    <row r="96">
      <c r="A96" t="inlineStr">
        <is>
          <t>chr1</t>
        </is>
      </c>
      <c r="B96" t="n">
        <v>60596802</v>
      </c>
      <c r="C96" t="inlineStr">
        <is>
          <t>G</t>
        </is>
      </c>
      <c r="D96" t="inlineStr">
        <is>
          <t>A</t>
        </is>
      </c>
      <c r="E96" t="inlineStr">
        <is>
          <t>rs484743</t>
        </is>
      </c>
      <c r="F96" t="n">
        <v>0.040102438</v>
      </c>
      <c r="G96" t="n">
        <v>0.1021805462689737</v>
      </c>
      <c r="H96" t="n">
        <v>0.0349558726329719</v>
      </c>
      <c r="I96" t="n">
        <v>0.0044828386665255</v>
      </c>
      <c r="J96" t="n">
        <v>0.0936236791906894</v>
      </c>
      <c r="K96" t="n">
        <v>0.5902214390934056</v>
      </c>
      <c r="L96" t="b">
        <v>1</v>
      </c>
      <c r="M96" t="b">
        <v>1</v>
      </c>
      <c r="N96" t="inlineStr">
        <is>
          <t>alt</t>
        </is>
      </c>
      <c r="O96" t="n">
        <v>25</v>
      </c>
      <c r="P96" t="n">
        <v>0.000249</v>
      </c>
      <c r="Q96" t="n">
        <v>-80</v>
      </c>
      <c r="R96" t="n">
        <v>0.01453</v>
      </c>
      <c r="S96">
        <f>IMAGE("https://mitra.stanford.edu/kundaje/oak/projects/neuro-variants/variant_position/credible/roussos_2024/variant_figures/roussos_2024.adolescence.GLU/rs484743_count_position.png",4,220,900)</f>
        <v/>
      </c>
      <c r="T96">
        <f>IMAGE("https://mitra.stanford.edu/kundaje/oak/projects/neuro-variants/variant_position/credible/roussos_2024/variant_figures/roussos_2024.adolescence.GLU/rs484743_profile_position.png",4,220,900)</f>
        <v/>
      </c>
    </row>
    <row r="97">
      <c r="A97" t="inlineStr">
        <is>
          <t>chr1</t>
        </is>
      </c>
      <c r="B97" t="n">
        <v>60597975</v>
      </c>
      <c r="C97" t="inlineStr">
        <is>
          <t>G</t>
        </is>
      </c>
      <c r="D97" t="inlineStr">
        <is>
          <t>T</t>
        </is>
      </c>
      <c r="E97" t="inlineStr">
        <is>
          <t>rs10218679</t>
        </is>
      </c>
      <c r="F97" t="n">
        <v>0.0088887414399999</v>
      </c>
      <c r="G97" t="n">
        <v>0.5570976609152793</v>
      </c>
      <c r="H97" t="n">
        <v>0.0194646532279679</v>
      </c>
      <c r="I97" t="n">
        <v>0.0634830382596565</v>
      </c>
      <c r="J97" t="n">
        <v>0.28704660251052</v>
      </c>
      <c r="K97" t="n">
        <v>0.2866304067104845</v>
      </c>
      <c r="L97" t="b">
        <v>0</v>
      </c>
      <c r="M97" t="b">
        <v>0</v>
      </c>
      <c r="N97" t="inlineStr">
        <is>
          <t>alt</t>
        </is>
      </c>
      <c r="O97" t="n">
        <v>-95</v>
      </c>
      <c r="P97" t="n">
        <v>0.01132</v>
      </c>
      <c r="Q97" t="n">
        <v>0</v>
      </c>
      <c r="R97" t="n">
        <v>0</v>
      </c>
      <c r="S97">
        <f>IMAGE("https://mitra.stanford.edu/kundaje/oak/projects/neuro-variants/variant_position/credible/roussos_2024/variant_figures/roussos_2024.adolescence.GLU/rs10218679_count_position.png",4,220,900)</f>
        <v/>
      </c>
      <c r="T97">
        <f>IMAGE("https://mitra.stanford.edu/kundaje/oak/projects/neuro-variants/variant_position/credible/roussos_2024/variant_figures/roussos_2024.adolescence.GLU/rs10218679_profile_position.png",4,220,900)</f>
        <v/>
      </c>
    </row>
    <row r="98">
      <c r="A98" t="inlineStr">
        <is>
          <t>chr1</t>
        </is>
      </c>
      <c r="B98" t="n">
        <v>60620463</v>
      </c>
      <c r="C98" t="inlineStr">
        <is>
          <t>T</t>
        </is>
      </c>
      <c r="D98" t="inlineStr">
        <is>
          <t>C</t>
        </is>
      </c>
      <c r="E98" t="inlineStr">
        <is>
          <t>rs2987774</t>
        </is>
      </c>
      <c r="F98" t="n">
        <v>-0.0053254672</v>
      </c>
      <c r="G98" t="n">
        <v>0.6433020168717704</v>
      </c>
      <c r="H98" t="n">
        <v>0.018654254630687</v>
      </c>
      <c r="I98" t="n">
        <v>0.070516938135487</v>
      </c>
      <c r="J98" t="n">
        <v>0.1592887098041737</v>
      </c>
      <c r="K98" t="n">
        <v>0.4648823400159165</v>
      </c>
      <c r="L98" t="b">
        <v>0</v>
      </c>
      <c r="M98" t="b">
        <v>0</v>
      </c>
      <c r="N98" t="inlineStr">
        <is>
          <t>ref</t>
        </is>
      </c>
      <c r="O98" t="n">
        <v>95</v>
      </c>
      <c r="P98" t="n">
        <v>0.01895</v>
      </c>
      <c r="Q98" t="n">
        <v>95</v>
      </c>
      <c r="R98" t="n">
        <v>0.14</v>
      </c>
      <c r="S98">
        <f>IMAGE("https://mitra.stanford.edu/kundaje/oak/projects/neuro-variants/variant_position/credible/roussos_2024/variant_figures/roussos_2024.adolescence.GLU/rs2987774_count_position.png",4,220,900)</f>
        <v/>
      </c>
      <c r="T98">
        <f>IMAGE("https://mitra.stanford.edu/kundaje/oak/projects/neuro-variants/variant_position/credible/roussos_2024/variant_figures/roussos_2024.adolescence.GLU/rs2987774_profile_position.png",4,220,900)</f>
        <v/>
      </c>
    </row>
    <row r="99">
      <c r="A99" t="inlineStr">
        <is>
          <t>chr1</t>
        </is>
      </c>
      <c r="B99" t="n">
        <v>60646465</v>
      </c>
      <c r="C99" t="inlineStr">
        <is>
          <t>A</t>
        </is>
      </c>
      <c r="D99" t="inlineStr">
        <is>
          <t>G</t>
        </is>
      </c>
      <c r="E99" t="inlineStr">
        <is>
          <t>rs494011</t>
        </is>
      </c>
      <c r="F99" t="n">
        <v>-0.0063444922119999</v>
      </c>
      <c r="G99" t="n">
        <v>0.6850051972023214</v>
      </c>
      <c r="H99" t="n">
        <v>0.0386575567544829</v>
      </c>
      <c r="I99" t="n">
        <v>0.0031672516983846</v>
      </c>
      <c r="J99" t="n">
        <v>0.0289874331111444</v>
      </c>
      <c r="K99" t="n">
        <v>0.7856910264534115</v>
      </c>
      <c r="L99" t="b">
        <v>1</v>
      </c>
      <c r="M99" t="b">
        <v>0</v>
      </c>
      <c r="N99" t="inlineStr">
        <is>
          <t>ref</t>
        </is>
      </c>
      <c r="O99" t="n">
        <v>60</v>
      </c>
      <c r="P99" t="n">
        <v>0.009094</v>
      </c>
      <c r="Q99" t="n">
        <v>65</v>
      </c>
      <c r="R99" t="n">
        <v>0.1063</v>
      </c>
      <c r="S99">
        <f>IMAGE("https://mitra.stanford.edu/kundaje/oak/projects/neuro-variants/variant_position/credible/roussos_2024/variant_figures/roussos_2024.adolescence.GLU/rs494011_count_position.png",4,220,900)</f>
        <v/>
      </c>
      <c r="T99">
        <f>IMAGE("https://mitra.stanford.edu/kundaje/oak/projects/neuro-variants/variant_position/credible/roussos_2024/variant_figures/roussos_2024.adolescence.GLU/rs494011_profile_position.png",4,220,900)</f>
        <v/>
      </c>
    </row>
    <row r="100">
      <c r="A100" t="inlineStr">
        <is>
          <t>chr1</t>
        </is>
      </c>
      <c r="B100" t="n">
        <v>60653642</v>
      </c>
      <c r="C100" t="inlineStr">
        <is>
          <t>T</t>
        </is>
      </c>
      <c r="D100" t="inlineStr">
        <is>
          <t>C</t>
        </is>
      </c>
      <c r="E100" t="inlineStr">
        <is>
          <t>rs554774</t>
        </is>
      </c>
      <c r="F100" t="n">
        <v>0.0449555706</v>
      </c>
      <c r="G100" t="n">
        <v>0.07872965778515049</v>
      </c>
      <c r="H100" t="n">
        <v>0.008925990655228601</v>
      </c>
      <c r="I100" t="n">
        <v>0.6490070043769814</v>
      </c>
      <c r="J100" t="n">
        <v>0.383417993727272</v>
      </c>
      <c r="K100" t="n">
        <v>0.1831999287099643</v>
      </c>
      <c r="L100" t="b">
        <v>0</v>
      </c>
      <c r="M100" t="b">
        <v>0</v>
      </c>
      <c r="N100" t="inlineStr">
        <is>
          <t>alt</t>
        </is>
      </c>
      <c r="O100" t="n">
        <v>-100</v>
      </c>
      <c r="P100" t="n">
        <v>0.01573</v>
      </c>
      <c r="Q100" t="n">
        <v>55</v>
      </c>
      <c r="R100" t="n">
        <v>0.00708</v>
      </c>
      <c r="S100">
        <f>IMAGE("https://mitra.stanford.edu/kundaje/oak/projects/neuro-variants/variant_position/credible/roussos_2024/variant_figures/roussos_2024.adolescence.GLU/rs554774_count_position.png",4,220,900)</f>
        <v/>
      </c>
      <c r="T100">
        <f>IMAGE("https://mitra.stanford.edu/kundaje/oak/projects/neuro-variants/variant_position/credible/roussos_2024/variant_figures/roussos_2024.adolescence.GLU/rs554774_profile_position.png",4,220,900)</f>
        <v/>
      </c>
    </row>
    <row r="101">
      <c r="A101" t="inlineStr">
        <is>
          <t>chr1</t>
        </is>
      </c>
      <c r="B101" t="n">
        <v>60656200</v>
      </c>
      <c r="C101" t="inlineStr">
        <is>
          <t>C</t>
        </is>
      </c>
      <c r="D101" t="inlineStr">
        <is>
          <t>A</t>
        </is>
      </c>
      <c r="E101" t="inlineStr">
        <is>
          <t>rs489543</t>
        </is>
      </c>
      <c r="F101" t="n">
        <v>-0.0347596568</v>
      </c>
      <c r="G101" t="n">
        <v>0.1518331978289347</v>
      </c>
      <c r="H101" t="n">
        <v>0.0146892771867279</v>
      </c>
      <c r="I101" t="n">
        <v>0.198133856447403</v>
      </c>
      <c r="J101" t="n">
        <v>0.1168899271992055</v>
      </c>
      <c r="K101" t="n">
        <v>0.5329972959182824</v>
      </c>
      <c r="L101" t="b">
        <v>0</v>
      </c>
      <c r="M101" t="b">
        <v>0</v>
      </c>
      <c r="N101" t="inlineStr">
        <is>
          <t>ref</t>
        </is>
      </c>
      <c r="O101" t="n">
        <v>-30</v>
      </c>
      <c r="P101" t="n">
        <v>0.002869</v>
      </c>
      <c r="Q101" t="n">
        <v>-40</v>
      </c>
      <c r="R101" t="n">
        <v>0.005615</v>
      </c>
      <c r="S101">
        <f>IMAGE("https://mitra.stanford.edu/kundaje/oak/projects/neuro-variants/variant_position/credible/roussos_2024/variant_figures/roussos_2024.adolescence.GLU/rs489543_count_position.png",4,220,900)</f>
        <v/>
      </c>
      <c r="T101">
        <f>IMAGE("https://mitra.stanford.edu/kundaje/oak/projects/neuro-variants/variant_position/credible/roussos_2024/variant_figures/roussos_2024.adolescence.GLU/rs489543_profile_position.png",4,220,900)</f>
        <v/>
      </c>
    </row>
    <row r="102">
      <c r="A102" t="inlineStr">
        <is>
          <t>chr1</t>
        </is>
      </c>
      <c r="B102" t="n">
        <v>60656438</v>
      </c>
      <c r="C102" t="inlineStr">
        <is>
          <t>A</t>
        </is>
      </c>
      <c r="D102" t="inlineStr">
        <is>
          <t>G</t>
        </is>
      </c>
      <c r="E102" t="inlineStr">
        <is>
          <t>rs471660</t>
        </is>
      </c>
      <c r="F102" t="n">
        <v>-0.0130249768</v>
      </c>
      <c r="G102" t="n">
        <v>0.458529596600145</v>
      </c>
      <c r="H102" t="n">
        <v>0.0218264251725124</v>
      </c>
      <c r="I102" t="n">
        <v>0.0419426666895961</v>
      </c>
      <c r="J102" t="n">
        <v>0.1044830714933807</v>
      </c>
      <c r="K102" t="n">
        <v>0.5588806845512088</v>
      </c>
      <c r="L102" t="b">
        <v>0</v>
      </c>
      <c r="M102" t="b">
        <v>0</v>
      </c>
      <c r="N102" t="inlineStr">
        <is>
          <t>ref</t>
        </is>
      </c>
      <c r="O102" t="n">
        <v>-100</v>
      </c>
      <c r="P102" t="n">
        <v>0.01511</v>
      </c>
      <c r="Q102" t="n">
        <v>-100</v>
      </c>
      <c r="R102" t="n">
        <v>0.09089999999999999</v>
      </c>
      <c r="S102">
        <f>IMAGE("https://mitra.stanford.edu/kundaje/oak/projects/neuro-variants/variant_position/credible/roussos_2024/variant_figures/roussos_2024.adolescence.GLU/rs471660_count_position.png",4,220,900)</f>
        <v/>
      </c>
      <c r="T102">
        <f>IMAGE("https://mitra.stanford.edu/kundaje/oak/projects/neuro-variants/variant_position/credible/roussos_2024/variant_figures/roussos_2024.adolescence.GLU/rs471660_profile_position.png",4,220,900)</f>
        <v/>
      </c>
    </row>
    <row r="103">
      <c r="A103" t="inlineStr">
        <is>
          <t>chr1</t>
        </is>
      </c>
      <c r="B103" t="n">
        <v>65843709</v>
      </c>
      <c r="C103" t="inlineStr">
        <is>
          <t>A</t>
        </is>
      </c>
      <c r="D103" t="inlineStr">
        <is>
          <t>C</t>
        </is>
      </c>
      <c r="E103" t="inlineStr">
        <is>
          <t>rs4077431</t>
        </is>
      </c>
      <c r="F103" t="n">
        <v>-0.0295112722</v>
      </c>
      <c r="G103" t="n">
        <v>0.1914787029270605</v>
      </c>
      <c r="H103" t="n">
        <v>0.0281654473709986</v>
      </c>
      <c r="I103" t="n">
        <v>0.0124937059124519</v>
      </c>
      <c r="J103" t="n">
        <v>0.0440591265333532</v>
      </c>
      <c r="K103" t="n">
        <v>0.7180003861668525</v>
      </c>
      <c r="L103" t="b">
        <v>1</v>
      </c>
      <c r="M103" t="b">
        <v>0</v>
      </c>
      <c r="N103" t="inlineStr">
        <is>
          <t>ref</t>
        </is>
      </c>
      <c r="O103" t="n">
        <v>65</v>
      </c>
      <c r="P103" t="n">
        <v>0.0004272</v>
      </c>
      <c r="Q103" t="n">
        <v>50</v>
      </c>
      <c r="R103" t="n">
        <v>0.06710000000000001</v>
      </c>
      <c r="S103">
        <f>IMAGE("https://mitra.stanford.edu/kundaje/oak/projects/neuro-variants/variant_position/credible/roussos_2024/variant_figures/roussos_2024.adolescence.GLU/rs4077431_count_position.png",4,220,900)</f>
        <v/>
      </c>
      <c r="T103">
        <f>IMAGE("https://mitra.stanford.edu/kundaje/oak/projects/neuro-variants/variant_position/credible/roussos_2024/variant_figures/roussos_2024.adolescence.GLU/rs4077431_profile_position.png",4,220,900)</f>
        <v/>
      </c>
    </row>
    <row r="104">
      <c r="A104" t="inlineStr">
        <is>
          <t>chr1</t>
        </is>
      </c>
      <c r="B104" t="n">
        <v>65847114</v>
      </c>
      <c r="C104" t="inlineStr">
        <is>
          <t>A</t>
        </is>
      </c>
      <c r="D104" t="inlineStr">
        <is>
          <t>G</t>
        </is>
      </c>
      <c r="E104" t="inlineStr">
        <is>
          <t>rs4133072</t>
        </is>
      </c>
      <c r="F104" t="n">
        <v>-0.021232700256</v>
      </c>
      <c r="G104" t="n">
        <v>0.3294260607926497</v>
      </c>
      <c r="H104" t="n">
        <v>0.0200869386244977</v>
      </c>
      <c r="I104" t="n">
        <v>0.06384729030273099</v>
      </c>
      <c r="J104" t="n">
        <v>0.0294689614277242</v>
      </c>
      <c r="K104" t="n">
        <v>0.7743559844141801</v>
      </c>
      <c r="L104" t="b">
        <v>0</v>
      </c>
      <c r="M104" t="b">
        <v>0</v>
      </c>
      <c r="N104" t="inlineStr">
        <is>
          <t>ref</t>
        </is>
      </c>
      <c r="O104" t="n">
        <v>50</v>
      </c>
      <c r="P104" t="n">
        <v>0.003685</v>
      </c>
      <c r="Q104" t="n">
        <v>-90</v>
      </c>
      <c r="R104" t="n">
        <v>0.0709</v>
      </c>
      <c r="S104">
        <f>IMAGE("https://mitra.stanford.edu/kundaje/oak/projects/neuro-variants/variant_position/credible/roussos_2024/variant_figures/roussos_2024.adolescence.GLU/rs4133072_count_position.png",4,220,900)</f>
        <v/>
      </c>
      <c r="T104">
        <f>IMAGE("https://mitra.stanford.edu/kundaje/oak/projects/neuro-variants/variant_position/credible/roussos_2024/variant_figures/roussos_2024.adolescence.GLU/rs4133072_profile_position.png",4,220,900)</f>
        <v/>
      </c>
    </row>
    <row r="105">
      <c r="A105" t="inlineStr">
        <is>
          <t>chr1</t>
        </is>
      </c>
      <c r="B105" t="n">
        <v>65858829</v>
      </c>
      <c r="C105" t="inlineStr">
        <is>
          <t>G</t>
        </is>
      </c>
      <c r="D105" t="inlineStr">
        <is>
          <t>A</t>
        </is>
      </c>
      <c r="E105" t="inlineStr">
        <is>
          <t>rs12129719</t>
        </is>
      </c>
      <c r="F105" t="n">
        <v>-0.0038034597999999</v>
      </c>
      <c r="G105" t="n">
        <v>0.8069241706750299</v>
      </c>
      <c r="H105" t="n">
        <v>0.0075295351310276</v>
      </c>
      <c r="I105" t="n">
        <v>0.8629843318672441</v>
      </c>
      <c r="J105" t="n">
        <v>0.009156182352058499</v>
      </c>
      <c r="K105" t="n">
        <v>0.8868708902200734</v>
      </c>
      <c r="L105" t="b">
        <v>0</v>
      </c>
      <c r="M105" t="b">
        <v>0</v>
      </c>
      <c r="N105" t="inlineStr">
        <is>
          <t>ref</t>
        </is>
      </c>
      <c r="O105" t="n">
        <v>-15</v>
      </c>
      <c r="P105" t="n">
        <v>0.003105</v>
      </c>
      <c r="Q105" t="n">
        <v>45</v>
      </c>
      <c r="R105" t="n">
        <v>0.03</v>
      </c>
      <c r="S105">
        <f>IMAGE("https://mitra.stanford.edu/kundaje/oak/projects/neuro-variants/variant_position/credible/roussos_2024/variant_figures/roussos_2024.adolescence.GLU/rs12129719_count_position.png",4,220,900)</f>
        <v/>
      </c>
      <c r="T105">
        <f>IMAGE("https://mitra.stanford.edu/kundaje/oak/projects/neuro-variants/variant_position/credible/roussos_2024/variant_figures/roussos_2024.adolescence.GLU/rs12129719_profile_position.png",4,220,900)</f>
        <v/>
      </c>
    </row>
    <row r="106">
      <c r="A106" t="inlineStr">
        <is>
          <t>chr1</t>
        </is>
      </c>
      <c r="B106" t="n">
        <v>71655902</v>
      </c>
      <c r="C106" t="inlineStr">
        <is>
          <t>C</t>
        </is>
      </c>
      <c r="D106" t="inlineStr">
        <is>
          <t>A</t>
        </is>
      </c>
      <c r="E106" t="inlineStr">
        <is>
          <t>rs954299</t>
        </is>
      </c>
      <c r="F106" t="n">
        <v>-0.00390704511</v>
      </c>
      <c r="G106" t="n">
        <v>0.6395463604663624</v>
      </c>
      <c r="H106" t="n">
        <v>0.009064695877304499</v>
      </c>
      <c r="I106" t="n">
        <v>0.5885588194952289</v>
      </c>
      <c r="J106" t="n">
        <v>0.1213365625736759</v>
      </c>
      <c r="K106" t="n">
        <v>0.5383899692437282</v>
      </c>
      <c r="L106" t="b">
        <v>0</v>
      </c>
      <c r="M106" t="b">
        <v>0</v>
      </c>
      <c r="N106" t="inlineStr">
        <is>
          <t>ref</t>
        </is>
      </c>
      <c r="O106" t="n">
        <v>-95</v>
      </c>
      <c r="P106" t="n">
        <v>0.00902</v>
      </c>
      <c r="Q106" t="n">
        <v>40</v>
      </c>
      <c r="R106" t="n">
        <v>0.02225</v>
      </c>
      <c r="S106">
        <f>IMAGE("https://mitra.stanford.edu/kundaje/oak/projects/neuro-variants/variant_position/credible/roussos_2024/variant_figures/roussos_2024.adolescence.GLU/rs954299_count_position.png",4,220,900)</f>
        <v/>
      </c>
      <c r="T106">
        <f>IMAGE("https://mitra.stanford.edu/kundaje/oak/projects/neuro-variants/variant_position/credible/roussos_2024/variant_figures/roussos_2024.adolescence.GLU/rs954299_profile_position.png",4,220,900)</f>
        <v/>
      </c>
    </row>
    <row r="107">
      <c r="A107" t="inlineStr">
        <is>
          <t>chr1</t>
        </is>
      </c>
      <c r="B107" t="n">
        <v>71656412</v>
      </c>
      <c r="C107" t="inlineStr">
        <is>
          <t>G</t>
        </is>
      </c>
      <c r="D107" t="inlineStr">
        <is>
          <t>T</t>
        </is>
      </c>
      <c r="E107" t="inlineStr">
        <is>
          <t>rs2422013</t>
        </is>
      </c>
      <c r="F107" t="n">
        <v>-0.0011577990799999</v>
      </c>
      <c r="G107" t="n">
        <v>0.7408094219599045</v>
      </c>
      <c r="H107" t="n">
        <v>0.0314844234582423</v>
      </c>
      <c r="I107" t="n">
        <v>0.0069851155599334</v>
      </c>
      <c r="J107" t="n">
        <v>0.2020804309464103</v>
      </c>
      <c r="K107" t="n">
        <v>0.4022327000509398</v>
      </c>
      <c r="L107" t="b">
        <v>1</v>
      </c>
      <c r="M107" t="b">
        <v>1</v>
      </c>
      <c r="N107" t="inlineStr">
        <is>
          <t>ref</t>
        </is>
      </c>
      <c r="O107" t="n">
        <v>80</v>
      </c>
      <c r="P107" t="n">
        <v>0.01656</v>
      </c>
      <c r="Q107" t="n">
        <v>-45</v>
      </c>
      <c r="R107" t="n">
        <v>0.0883</v>
      </c>
      <c r="S107">
        <f>IMAGE("https://mitra.stanford.edu/kundaje/oak/projects/neuro-variants/variant_position/credible/roussos_2024/variant_figures/roussos_2024.adolescence.GLU/rs2422013_count_position.png",4,220,900)</f>
        <v/>
      </c>
      <c r="T107">
        <f>IMAGE("https://mitra.stanford.edu/kundaje/oak/projects/neuro-variants/variant_position/credible/roussos_2024/variant_figures/roussos_2024.adolescence.GLU/rs2422013_profile_position.png",4,220,900)</f>
        <v/>
      </c>
    </row>
    <row r="108">
      <c r="A108" t="inlineStr">
        <is>
          <t>chr1</t>
        </is>
      </c>
      <c r="B108" t="n">
        <v>71657276</v>
      </c>
      <c r="C108" t="inlineStr">
        <is>
          <t>G</t>
        </is>
      </c>
      <c r="D108" t="inlineStr">
        <is>
          <t>A</t>
        </is>
      </c>
      <c r="E108" t="inlineStr">
        <is>
          <t>rs2901616</t>
        </is>
      </c>
      <c r="F108" t="n">
        <v>0.00024860418</v>
      </c>
      <c r="G108" t="n">
        <v>0.7218923303510649</v>
      </c>
      <c r="H108" t="n">
        <v>0.0205997769134834</v>
      </c>
      <c r="I108" t="n">
        <v>0.0483165203288488</v>
      </c>
      <c r="J108" t="n">
        <v>0.0579605775482063</v>
      </c>
      <c r="K108" t="n">
        <v>0.672876355991274</v>
      </c>
      <c r="L108" t="b">
        <v>0</v>
      </c>
      <c r="M108" t="b">
        <v>0</v>
      </c>
      <c r="N108" t="inlineStr">
        <is>
          <t>alt</t>
        </is>
      </c>
      <c r="O108" t="n">
        <v>100</v>
      </c>
      <c r="P108" t="n">
        <v>0.010895</v>
      </c>
      <c r="Q108" t="n">
        <v>-55</v>
      </c>
      <c r="R108" t="n">
        <v>0.0525</v>
      </c>
      <c r="S108">
        <f>IMAGE("https://mitra.stanford.edu/kundaje/oak/projects/neuro-variants/variant_position/credible/roussos_2024/variant_figures/roussos_2024.adolescence.GLU/rs2901616_count_position.png",4,220,900)</f>
        <v/>
      </c>
      <c r="T108">
        <f>IMAGE("https://mitra.stanford.edu/kundaje/oak/projects/neuro-variants/variant_position/credible/roussos_2024/variant_figures/roussos_2024.adolescence.GLU/rs2901616_profile_position.png",4,220,900)</f>
        <v/>
      </c>
    </row>
    <row r="109">
      <c r="A109" t="inlineStr">
        <is>
          <t>chr1</t>
        </is>
      </c>
      <c r="B109" t="n">
        <v>71661749</v>
      </c>
      <c r="C109" t="inlineStr">
        <is>
          <t>C</t>
        </is>
      </c>
      <c r="D109" t="inlineStr">
        <is>
          <t>A</t>
        </is>
      </c>
      <c r="E109" t="inlineStr">
        <is>
          <t>rs2422016</t>
        </is>
      </c>
      <c r="F109" t="n">
        <v>-0.000956309954</v>
      </c>
      <c r="G109" t="n">
        <v>0.7517895533722034</v>
      </c>
      <c r="H109" t="n">
        <v>0.0164751798112841</v>
      </c>
      <c r="I109" t="n">
        <v>0.118461679933741</v>
      </c>
      <c r="J109" t="n">
        <v>0.0163405276807338</v>
      </c>
      <c r="K109" t="n">
        <v>0.8388560412152719</v>
      </c>
      <c r="L109" t="b">
        <v>0</v>
      </c>
      <c r="M109" t="b">
        <v>0</v>
      </c>
      <c r="N109" t="inlineStr">
        <is>
          <t>ref</t>
        </is>
      </c>
      <c r="O109" t="n">
        <v>-95</v>
      </c>
      <c r="P109" t="n">
        <v>0.007614</v>
      </c>
      <c r="Q109" t="n">
        <v>90</v>
      </c>
      <c r="R109" t="n">
        <v>0.05725</v>
      </c>
      <c r="S109">
        <f>IMAGE("https://mitra.stanford.edu/kundaje/oak/projects/neuro-variants/variant_position/credible/roussos_2024/variant_figures/roussos_2024.adolescence.GLU/rs2422016_count_position.png",4,220,900)</f>
        <v/>
      </c>
      <c r="T109">
        <f>IMAGE("https://mitra.stanford.edu/kundaje/oak/projects/neuro-variants/variant_position/credible/roussos_2024/variant_figures/roussos_2024.adolescence.GLU/rs2422016_profile_position.png",4,220,900)</f>
        <v/>
      </c>
    </row>
    <row r="110">
      <c r="A110" t="inlineStr">
        <is>
          <t>chr1</t>
        </is>
      </c>
      <c r="B110" t="n">
        <v>71662548</v>
      </c>
      <c r="C110" t="inlineStr">
        <is>
          <t>G</t>
        </is>
      </c>
      <c r="D110" t="inlineStr">
        <is>
          <t>A</t>
        </is>
      </c>
      <c r="E110" t="inlineStr">
        <is>
          <t>rs12120761</t>
        </is>
      </c>
      <c r="F110" t="n">
        <v>-0.0445187376</v>
      </c>
      <c r="G110" t="n">
        <v>0.0879966342023507</v>
      </c>
      <c r="H110" t="n">
        <v>0.0192722207118102</v>
      </c>
      <c r="I110" t="n">
        <v>0.0680414119976198</v>
      </c>
      <c r="J110" t="n">
        <v>0.0331454372691485</v>
      </c>
      <c r="K110" t="n">
        <v>0.7586074965391403</v>
      </c>
      <c r="L110" t="b">
        <v>0</v>
      </c>
      <c r="M110" t="b">
        <v>0</v>
      </c>
      <c r="N110" t="inlineStr">
        <is>
          <t>ref</t>
        </is>
      </c>
      <c r="O110" t="n">
        <v>-100</v>
      </c>
      <c r="P110" t="n">
        <v>0.00878</v>
      </c>
      <c r="Q110" t="n">
        <v>-75</v>
      </c>
      <c r="R110" t="n">
        <v>0.1153</v>
      </c>
      <c r="S110">
        <f>IMAGE("https://mitra.stanford.edu/kundaje/oak/projects/neuro-variants/variant_position/credible/roussos_2024/variant_figures/roussos_2024.adolescence.GLU/rs12120761_count_position.png",4,220,900)</f>
        <v/>
      </c>
      <c r="T110">
        <f>IMAGE("https://mitra.stanford.edu/kundaje/oak/projects/neuro-variants/variant_position/credible/roussos_2024/variant_figures/roussos_2024.adolescence.GLU/rs12120761_profile_position.png",4,220,900)</f>
        <v/>
      </c>
    </row>
    <row r="111">
      <c r="A111" t="inlineStr">
        <is>
          <t>chr1</t>
        </is>
      </c>
      <c r="B111" t="n">
        <v>71664478</v>
      </c>
      <c r="C111" t="inlineStr">
        <is>
          <t>C</t>
        </is>
      </c>
      <c r="D111" t="inlineStr">
        <is>
          <t>T</t>
        </is>
      </c>
      <c r="E111" t="inlineStr">
        <is>
          <t>rs2422021</t>
        </is>
      </c>
      <c r="F111" t="n">
        <v>-0.0624197389999999</v>
      </c>
      <c r="G111" t="n">
        <v>0.0453989511013112</v>
      </c>
      <c r="H111" t="n">
        <v>0.0364700159805437</v>
      </c>
      <c r="I111" t="n">
        <v>0.0073109918724442</v>
      </c>
      <c r="J111" t="n">
        <v>0.0151345635881717</v>
      </c>
      <c r="K111" t="n">
        <v>0.8455269249820685</v>
      </c>
      <c r="L111" t="b">
        <v>1</v>
      </c>
      <c r="M111" t="b">
        <v>0</v>
      </c>
      <c r="N111" t="inlineStr">
        <is>
          <t>ref</t>
        </is>
      </c>
      <c r="O111" t="n">
        <v>40</v>
      </c>
      <c r="P111" t="n">
        <v>0.01358</v>
      </c>
      <c r="Q111" t="n">
        <v>-25</v>
      </c>
      <c r="R111" t="n">
        <v>0.0349</v>
      </c>
      <c r="S111">
        <f>IMAGE("https://mitra.stanford.edu/kundaje/oak/projects/neuro-variants/variant_position/credible/roussos_2024/variant_figures/roussos_2024.adolescence.GLU/rs2422021_count_position.png",4,220,900)</f>
        <v/>
      </c>
      <c r="T111">
        <f>IMAGE("https://mitra.stanford.edu/kundaje/oak/projects/neuro-variants/variant_position/credible/roussos_2024/variant_figures/roussos_2024.adolescence.GLU/rs2422021_profile_position.png",4,220,900)</f>
        <v/>
      </c>
    </row>
    <row r="112">
      <c r="A112" t="inlineStr">
        <is>
          <t>chr1</t>
        </is>
      </c>
      <c r="B112" t="n">
        <v>71668902</v>
      </c>
      <c r="C112" t="inlineStr">
        <is>
          <t>G</t>
        </is>
      </c>
      <c r="D112" t="inlineStr">
        <is>
          <t>A</t>
        </is>
      </c>
      <c r="E112" t="inlineStr">
        <is>
          <t>rs7531932</t>
        </is>
      </c>
      <c r="F112" t="n">
        <v>-0.034336078</v>
      </c>
      <c r="G112" t="n">
        <v>0.1465104379369148</v>
      </c>
      <c r="H112" t="n">
        <v>0.0108247494485512</v>
      </c>
      <c r="I112" t="n">
        <v>0.4470462977349542</v>
      </c>
      <c r="J112" t="n">
        <v>0.08161547749176611</v>
      </c>
      <c r="K112" t="n">
        <v>0.6099241029435654</v>
      </c>
      <c r="L112" t="b">
        <v>0</v>
      </c>
      <c r="M112" t="b">
        <v>0</v>
      </c>
      <c r="N112" t="inlineStr">
        <is>
          <t>ref</t>
        </is>
      </c>
      <c r="O112" t="n">
        <v>-85</v>
      </c>
      <c r="P112" t="n">
        <v>0.0152</v>
      </c>
      <c r="Q112" t="n">
        <v>-60</v>
      </c>
      <c r="R112" t="n">
        <v>0.096</v>
      </c>
      <c r="S112">
        <f>IMAGE("https://mitra.stanford.edu/kundaje/oak/projects/neuro-variants/variant_position/credible/roussos_2024/variant_figures/roussos_2024.adolescence.GLU/rs7531932_count_position.png",4,220,900)</f>
        <v/>
      </c>
      <c r="T112">
        <f>IMAGE("https://mitra.stanford.edu/kundaje/oak/projects/neuro-variants/variant_position/credible/roussos_2024/variant_figures/roussos_2024.adolescence.GLU/rs7531932_profile_position.png",4,220,900)</f>
        <v/>
      </c>
    </row>
    <row r="113">
      <c r="A113" t="inlineStr">
        <is>
          <t>chr1</t>
        </is>
      </c>
      <c r="B113" t="n">
        <v>71687651</v>
      </c>
      <c r="C113" t="inlineStr">
        <is>
          <t>T</t>
        </is>
      </c>
      <c r="D113" t="inlineStr">
        <is>
          <t>C</t>
        </is>
      </c>
      <c r="E113" t="inlineStr">
        <is>
          <t>rs10789321</t>
        </is>
      </c>
      <c r="F113" t="n">
        <v>0.07718955199999999</v>
      </c>
      <c r="G113" t="n">
        <v>0.0166836178109674</v>
      </c>
      <c r="H113" t="n">
        <v>0.0127980284203113</v>
      </c>
      <c r="I113" t="n">
        <v>0.2783041196478485</v>
      </c>
      <c r="J113" t="n">
        <v>0.1333761993555807</v>
      </c>
      <c r="K113" t="n">
        <v>0.500386735328032</v>
      </c>
      <c r="L113" t="b">
        <v>1</v>
      </c>
      <c r="M113" t="b">
        <v>0</v>
      </c>
      <c r="N113" t="inlineStr">
        <is>
          <t>alt</t>
        </is>
      </c>
      <c r="O113" t="n">
        <v>-100</v>
      </c>
      <c r="P113" t="n">
        <v>0.02158</v>
      </c>
      <c r="Q113" t="n">
        <v>-85</v>
      </c>
      <c r="R113" t="n">
        <v>0.05554</v>
      </c>
      <c r="S113">
        <f>IMAGE("https://mitra.stanford.edu/kundaje/oak/projects/neuro-variants/variant_position/credible/roussos_2024/variant_figures/roussos_2024.adolescence.GLU/rs10789321_count_position.png",4,220,900)</f>
        <v/>
      </c>
      <c r="T113">
        <f>IMAGE("https://mitra.stanford.edu/kundaje/oak/projects/neuro-variants/variant_position/credible/roussos_2024/variant_figures/roussos_2024.adolescence.GLU/rs10789321_profile_position.png",4,220,900)</f>
        <v/>
      </c>
    </row>
    <row r="114">
      <c r="A114" t="inlineStr">
        <is>
          <t>chr1</t>
        </is>
      </c>
      <c r="B114" t="n">
        <v>71719533</v>
      </c>
      <c r="C114" t="inlineStr">
        <is>
          <t>G</t>
        </is>
      </c>
      <c r="D114" t="inlineStr">
        <is>
          <t>T</t>
        </is>
      </c>
      <c r="E114" t="inlineStr">
        <is>
          <t>rs11209830</t>
        </is>
      </c>
      <c r="F114" t="n">
        <v>-0.2085507952</v>
      </c>
      <c r="G114" t="n">
        <v>0.0013478950442114</v>
      </c>
      <c r="H114" t="n">
        <v>0.0509224448815539</v>
      </c>
      <c r="I114" t="n">
        <v>0.002912544987579</v>
      </c>
      <c r="J114" t="n">
        <v>0.0674068199841395</v>
      </c>
      <c r="K114" t="n">
        <v>0.6457423483224551</v>
      </c>
      <c r="L114" t="b">
        <v>1</v>
      </c>
      <c r="M114" t="b">
        <v>1</v>
      </c>
      <c r="N114" t="inlineStr">
        <is>
          <t>ref</t>
        </is>
      </c>
      <c r="O114" t="n">
        <v>-25</v>
      </c>
      <c r="P114" t="n">
        <v>0.006844</v>
      </c>
      <c r="Q114" t="n">
        <v>-35</v>
      </c>
      <c r="R114" t="n">
        <v>0.008059999999999999</v>
      </c>
      <c r="S114">
        <f>IMAGE("https://mitra.stanford.edu/kundaje/oak/projects/neuro-variants/variant_position/credible/roussos_2024/variant_figures/roussos_2024.adolescence.GLU/rs11209830_count_position.png",4,220,900)</f>
        <v/>
      </c>
      <c r="T114">
        <f>IMAGE("https://mitra.stanford.edu/kundaje/oak/projects/neuro-variants/variant_position/credible/roussos_2024/variant_figures/roussos_2024.adolescence.GLU/rs11209830_profile_position.png",4,220,900)</f>
        <v/>
      </c>
    </row>
    <row r="115">
      <c r="A115" t="inlineStr">
        <is>
          <t>chr1</t>
        </is>
      </c>
      <c r="B115" t="n">
        <v>71756804</v>
      </c>
      <c r="C115" t="inlineStr">
        <is>
          <t>G</t>
        </is>
      </c>
      <c r="D115" t="inlineStr">
        <is>
          <t>A</t>
        </is>
      </c>
      <c r="E115" t="inlineStr">
        <is>
          <t>rs12740031</t>
        </is>
      </c>
      <c r="F115" t="n">
        <v>-0.0363484788</v>
      </c>
      <c r="G115" t="n">
        <v>0.1319794985205272</v>
      </c>
      <c r="H115" t="n">
        <v>0.0120080623243238</v>
      </c>
      <c r="I115" t="n">
        <v>0.3241881940157911</v>
      </c>
      <c r="J115" t="n">
        <v>0.0283544448492901</v>
      </c>
      <c r="K115" t="n">
        <v>0.7767982135335815</v>
      </c>
      <c r="L115" t="b">
        <v>0</v>
      </c>
      <c r="M115" t="b">
        <v>0</v>
      </c>
      <c r="N115" t="inlineStr">
        <is>
          <t>ref</t>
        </is>
      </c>
      <c r="O115" t="n">
        <v>-80</v>
      </c>
      <c r="P115" t="n">
        <v>0.003632</v>
      </c>
      <c r="Q115" t="n">
        <v>-100</v>
      </c>
      <c r="R115" t="n">
        <v>0.078</v>
      </c>
      <c r="S115">
        <f>IMAGE("https://mitra.stanford.edu/kundaje/oak/projects/neuro-variants/variant_position/credible/roussos_2024/variant_figures/roussos_2024.adolescence.GLU/rs12740031_count_position.png",4,220,900)</f>
        <v/>
      </c>
      <c r="T115">
        <f>IMAGE("https://mitra.stanford.edu/kundaje/oak/projects/neuro-variants/variant_position/credible/roussos_2024/variant_figures/roussos_2024.adolescence.GLU/rs12740031_profile_position.png",4,220,900)</f>
        <v/>
      </c>
    </row>
    <row r="116">
      <c r="A116" t="inlineStr">
        <is>
          <t>chr1</t>
        </is>
      </c>
      <c r="B116" t="n">
        <v>71843759</v>
      </c>
      <c r="C116" t="inlineStr">
        <is>
          <t>C</t>
        </is>
      </c>
      <c r="D116" t="inlineStr">
        <is>
          <t>T</t>
        </is>
      </c>
      <c r="E116" t="inlineStr">
        <is>
          <t>rs517762</t>
        </is>
      </c>
      <c r="F116" t="n">
        <v>-0.0074728411999999</v>
      </c>
      <c r="G116" t="n">
        <v>0.6164728440819699</v>
      </c>
      <c r="H116" t="n">
        <v>0.0188999510402484</v>
      </c>
      <c r="I116" t="n">
        <v>0.0683871450529992</v>
      </c>
      <c r="J116" t="n">
        <v>0.0490430160533253</v>
      </c>
      <c r="K116" t="n">
        <v>0.7089016838308598</v>
      </c>
      <c r="L116" t="b">
        <v>0</v>
      </c>
      <c r="M116" t="b">
        <v>0</v>
      </c>
      <c r="N116" t="inlineStr">
        <is>
          <t>ref</t>
        </is>
      </c>
      <c r="O116" t="n">
        <v>-90</v>
      </c>
      <c r="P116" t="n">
        <v>0.001596</v>
      </c>
      <c r="Q116" t="n">
        <v>100</v>
      </c>
      <c r="R116" t="n">
        <v>0.0568</v>
      </c>
      <c r="S116">
        <f>IMAGE("https://mitra.stanford.edu/kundaje/oak/projects/neuro-variants/variant_position/credible/roussos_2024/variant_figures/roussos_2024.adolescence.GLU/rs517762_count_position.png",4,220,900)</f>
        <v/>
      </c>
      <c r="T116">
        <f>IMAGE("https://mitra.stanford.edu/kundaje/oak/projects/neuro-variants/variant_position/credible/roussos_2024/variant_figures/roussos_2024.adolescence.GLU/rs517762_profile_position.png",4,220,900)</f>
        <v/>
      </c>
    </row>
    <row r="117">
      <c r="A117" t="inlineStr">
        <is>
          <t>chr1</t>
        </is>
      </c>
      <c r="B117" t="n">
        <v>71885236</v>
      </c>
      <c r="C117" t="inlineStr">
        <is>
          <t>A</t>
        </is>
      </c>
      <c r="D117" t="inlineStr">
        <is>
          <t>G</t>
        </is>
      </c>
      <c r="E117" t="inlineStr">
        <is>
          <t>rs11209863</t>
        </is>
      </c>
      <c r="F117" t="n">
        <v>0.0059944778</v>
      </c>
      <c r="G117" t="n">
        <v>0.6538472547856903</v>
      </c>
      <c r="H117" t="n">
        <v>0.008330814372356599</v>
      </c>
      <c r="I117" t="n">
        <v>0.705591456837363</v>
      </c>
      <c r="J117" t="n">
        <v>0.0350243979109958</v>
      </c>
      <c r="K117" t="n">
        <v>0.7501455712924447</v>
      </c>
      <c r="L117" t="b">
        <v>0</v>
      </c>
      <c r="M117" t="b">
        <v>0</v>
      </c>
      <c r="N117" t="inlineStr">
        <is>
          <t>alt</t>
        </is>
      </c>
      <c r="O117" t="n">
        <v>95</v>
      </c>
      <c r="P117" t="n">
        <v>0.011505</v>
      </c>
      <c r="Q117" t="n">
        <v>50</v>
      </c>
      <c r="R117" t="n">
        <v>0.0713</v>
      </c>
      <c r="S117">
        <f>IMAGE("https://mitra.stanford.edu/kundaje/oak/projects/neuro-variants/variant_position/credible/roussos_2024/variant_figures/roussos_2024.adolescence.GLU/rs11209863_count_position.png",4,220,900)</f>
        <v/>
      </c>
      <c r="T117">
        <f>IMAGE("https://mitra.stanford.edu/kundaje/oak/projects/neuro-variants/variant_position/credible/roussos_2024/variant_figures/roussos_2024.adolescence.GLU/rs11209863_profile_position.png",4,220,900)</f>
        <v/>
      </c>
    </row>
    <row r="118">
      <c r="A118" t="inlineStr">
        <is>
          <t>chr1</t>
        </is>
      </c>
      <c r="B118" t="n">
        <v>72810145</v>
      </c>
      <c r="C118" t="inlineStr">
        <is>
          <t>T</t>
        </is>
      </c>
      <c r="D118" t="inlineStr">
        <is>
          <t>C</t>
        </is>
      </c>
      <c r="E118" t="inlineStr">
        <is>
          <t>rs12135442</t>
        </is>
      </c>
      <c r="F118" t="n">
        <v>0.06577887139999999</v>
      </c>
      <c r="G118" t="n">
        <v>0.0302111425502536</v>
      </c>
      <c r="H118" t="n">
        <v>0.0117534805716727</v>
      </c>
      <c r="I118" t="n">
        <v>0.3527855008854708</v>
      </c>
      <c r="J118" t="n">
        <v>0.0200370076658735</v>
      </c>
      <c r="K118" t="n">
        <v>0.8196211537556594</v>
      </c>
      <c r="L118" t="b">
        <v>0</v>
      </c>
      <c r="M118" t="b">
        <v>0</v>
      </c>
      <c r="N118" t="inlineStr">
        <is>
          <t>alt</t>
        </is>
      </c>
      <c r="O118" t="n">
        <v>-90</v>
      </c>
      <c r="P118" t="n">
        <v>0.006268</v>
      </c>
      <c r="Q118" t="n">
        <v>-100</v>
      </c>
      <c r="R118" t="n">
        <v>0.015335</v>
      </c>
      <c r="S118">
        <f>IMAGE("https://mitra.stanford.edu/kundaje/oak/projects/neuro-variants/variant_position/credible/roussos_2024/variant_figures/roussos_2024.adolescence.GLU/rs12135442_count_position.png",4,220,900)</f>
        <v/>
      </c>
      <c r="T118">
        <f>IMAGE("https://mitra.stanford.edu/kundaje/oak/projects/neuro-variants/variant_position/credible/roussos_2024/variant_figures/roussos_2024.adolescence.GLU/rs12135442_profile_position.png",4,220,900)</f>
        <v/>
      </c>
    </row>
    <row r="119">
      <c r="A119" t="inlineStr">
        <is>
          <t>chr1</t>
        </is>
      </c>
      <c r="B119" t="n">
        <v>72820726</v>
      </c>
      <c r="C119" t="inlineStr">
        <is>
          <t>G</t>
        </is>
      </c>
      <c r="D119" t="inlineStr">
        <is>
          <t>A</t>
        </is>
      </c>
      <c r="E119" t="inlineStr">
        <is>
          <t>rs11210070</t>
        </is>
      </c>
      <c r="F119" t="n">
        <v>-0.0002514669268</v>
      </c>
      <c r="G119" t="n">
        <v>0.917856000527596</v>
      </c>
      <c r="H119" t="n">
        <v>0.0106806730584011</v>
      </c>
      <c r="I119" t="n">
        <v>0.4357482486766609</v>
      </c>
      <c r="J119" t="n">
        <v>0.0203513584956883</v>
      </c>
      <c r="K119" t="n">
        <v>0.8147968677572965</v>
      </c>
      <c r="L119" t="b">
        <v>0</v>
      </c>
      <c r="M119" t="b">
        <v>0</v>
      </c>
      <c r="N119" t="inlineStr">
        <is>
          <t>ref</t>
        </is>
      </c>
      <c r="O119" t="n">
        <v>90</v>
      </c>
      <c r="P119" t="n">
        <v>0.05743</v>
      </c>
      <c r="Q119" t="n">
        <v>-70</v>
      </c>
      <c r="R119" t="n">
        <v>0.004852</v>
      </c>
      <c r="S119">
        <f>IMAGE("https://mitra.stanford.edu/kundaje/oak/projects/neuro-variants/variant_position/credible/roussos_2024/variant_figures/roussos_2024.adolescence.GLU/rs11210070_count_position.png",4,220,900)</f>
        <v/>
      </c>
      <c r="T119">
        <f>IMAGE("https://mitra.stanford.edu/kundaje/oak/projects/neuro-variants/variant_position/credible/roussos_2024/variant_figures/roussos_2024.adolescence.GLU/rs11210070_profile_position.png",4,220,900)</f>
        <v/>
      </c>
    </row>
    <row r="120">
      <c r="A120" t="inlineStr">
        <is>
          <t>chr1</t>
        </is>
      </c>
      <c r="B120" t="n">
        <v>72827649</v>
      </c>
      <c r="C120" t="inlineStr">
        <is>
          <t>T</t>
        </is>
      </c>
      <c r="D120" t="inlineStr">
        <is>
          <t>C</t>
        </is>
      </c>
      <c r="E120" t="inlineStr">
        <is>
          <t>rs2422320</t>
        </is>
      </c>
      <c r="F120" t="n">
        <v>0.0110807822</v>
      </c>
      <c r="G120" t="n">
        <v>0.4673398258469231</v>
      </c>
      <c r="H120" t="n">
        <v>0.0209320027528352</v>
      </c>
      <c r="I120" t="n">
        <v>0.0464939871770744</v>
      </c>
      <c r="J120" t="n">
        <v>0.0366418758171335</v>
      </c>
      <c r="K120" t="n">
        <v>0.7454614782810148</v>
      </c>
      <c r="L120" t="b">
        <v>0</v>
      </c>
      <c r="M120" t="b">
        <v>0</v>
      </c>
      <c r="N120" t="inlineStr">
        <is>
          <t>alt</t>
        </is>
      </c>
      <c r="O120" t="n">
        <v>-85</v>
      </c>
      <c r="P120" t="n">
        <v>0.011734</v>
      </c>
      <c r="Q120" t="n">
        <v>-45</v>
      </c>
      <c r="R120" t="n">
        <v>0.1279</v>
      </c>
      <c r="S120">
        <f>IMAGE("https://mitra.stanford.edu/kundaje/oak/projects/neuro-variants/variant_position/credible/roussos_2024/variant_figures/roussos_2024.adolescence.GLU/rs2422320_count_position.png",4,220,900)</f>
        <v/>
      </c>
      <c r="T120">
        <f>IMAGE("https://mitra.stanford.edu/kundaje/oak/projects/neuro-variants/variant_position/credible/roussos_2024/variant_figures/roussos_2024.adolescence.GLU/rs2422320_profile_position.png",4,220,900)</f>
        <v/>
      </c>
    </row>
    <row r="121">
      <c r="A121" t="inlineStr">
        <is>
          <t>chr1</t>
        </is>
      </c>
      <c r="B121" t="n">
        <v>72837963</v>
      </c>
      <c r="C121" t="inlineStr">
        <is>
          <t>T</t>
        </is>
      </c>
      <c r="D121" t="inlineStr">
        <is>
          <t>G</t>
        </is>
      </c>
      <c r="E121" t="inlineStr">
        <is>
          <t>rs1525980</t>
        </is>
      </c>
      <c r="F121" t="n">
        <v>0.0680617704</v>
      </c>
      <c r="G121" t="n">
        <v>0.0350115594801757</v>
      </c>
      <c r="H121" t="n">
        <v>0.027912011405403</v>
      </c>
      <c r="I121" t="n">
        <v>0.0181599398888596</v>
      </c>
      <c r="J121" t="n">
        <v>0.0115566795979166</v>
      </c>
      <c r="K121" t="n">
        <v>0.8650264907439278</v>
      </c>
      <c r="L121" t="b">
        <v>1</v>
      </c>
      <c r="M121" t="b">
        <v>0</v>
      </c>
      <c r="N121" t="inlineStr">
        <is>
          <t>alt</t>
        </is>
      </c>
      <c r="O121" t="n">
        <v>60</v>
      </c>
      <c r="P121" t="n">
        <v>0.009384</v>
      </c>
      <c r="Q121" t="n">
        <v>75</v>
      </c>
      <c r="R121" t="n">
        <v>0.02734</v>
      </c>
      <c r="S121">
        <f>IMAGE("https://mitra.stanford.edu/kundaje/oak/projects/neuro-variants/variant_position/credible/roussos_2024/variant_figures/roussos_2024.adolescence.GLU/rs1525980_count_position.png",4,220,900)</f>
        <v/>
      </c>
      <c r="T121">
        <f>IMAGE("https://mitra.stanford.edu/kundaje/oak/projects/neuro-variants/variant_position/credible/roussos_2024/variant_figures/roussos_2024.adolescence.GLU/rs1525980_profile_position.png",4,220,900)</f>
        <v/>
      </c>
    </row>
    <row r="122">
      <c r="A122" t="inlineStr">
        <is>
          <t>chr1</t>
        </is>
      </c>
      <c r="B122" t="n">
        <v>72950162</v>
      </c>
      <c r="C122" t="inlineStr">
        <is>
          <t>T</t>
        </is>
      </c>
      <c r="D122" t="inlineStr">
        <is>
          <t>G</t>
        </is>
      </c>
      <c r="E122" t="inlineStr">
        <is>
          <t>rs6682845</t>
        </is>
      </c>
      <c r="F122" t="n">
        <v>-0.0018749284399999</v>
      </c>
      <c r="G122" t="n">
        <v>0.6425953929852537</v>
      </c>
      <c r="H122" t="n">
        <v>0.0084066945799852</v>
      </c>
      <c r="I122" t="n">
        <v>0.7490890564061032</v>
      </c>
      <c r="J122" t="n">
        <v>0.025442413071279</v>
      </c>
      <c r="K122" t="n">
        <v>0.7980900350128969</v>
      </c>
      <c r="L122" t="b">
        <v>0</v>
      </c>
      <c r="M122" t="b">
        <v>0</v>
      </c>
      <c r="N122" t="inlineStr">
        <is>
          <t>ref</t>
        </is>
      </c>
      <c r="O122" t="n">
        <v>-100</v>
      </c>
      <c r="P122" t="n">
        <v>0.002367</v>
      </c>
      <c r="Q122" t="n">
        <v>70</v>
      </c>
      <c r="R122" t="n">
        <v>0.0813</v>
      </c>
      <c r="S122">
        <f>IMAGE("https://mitra.stanford.edu/kundaje/oak/projects/neuro-variants/variant_position/credible/roussos_2024/variant_figures/roussos_2024.adolescence.GLU/rs6682845_count_position.png",4,220,900)</f>
        <v/>
      </c>
      <c r="T122">
        <f>IMAGE("https://mitra.stanford.edu/kundaje/oak/projects/neuro-variants/variant_position/credible/roussos_2024/variant_figures/roussos_2024.adolescence.GLU/rs6682845_profile_position.png",4,220,900)</f>
        <v/>
      </c>
    </row>
    <row r="123">
      <c r="A123" t="inlineStr">
        <is>
          <t>chr1</t>
        </is>
      </c>
      <c r="B123" t="n">
        <v>73065515</v>
      </c>
      <c r="C123" t="inlineStr">
        <is>
          <t>C</t>
        </is>
      </c>
      <c r="D123" t="inlineStr">
        <is>
          <t>T</t>
        </is>
      </c>
      <c r="E123" t="inlineStr">
        <is>
          <t>rs11210117</t>
        </is>
      </c>
      <c r="F123" t="n">
        <v>-0.0110903571</v>
      </c>
      <c r="G123" t="n">
        <v>0.5175024354550752</v>
      </c>
      <c r="H123" t="n">
        <v>0.0079847922152574</v>
      </c>
      <c r="I123" t="n">
        <v>0.7957701589902393</v>
      </c>
      <c r="J123" t="n">
        <v>0.2713090568760671</v>
      </c>
      <c r="K123" t="n">
        <v>0.3027906651173037</v>
      </c>
      <c r="L123" t="b">
        <v>0</v>
      </c>
      <c r="M123" t="b">
        <v>0</v>
      </c>
      <c r="N123" t="inlineStr">
        <is>
          <t>ref</t>
        </is>
      </c>
      <c r="O123" t="n">
        <v>-50</v>
      </c>
      <c r="P123" t="n">
        <v>0.008229999999999999</v>
      </c>
      <c r="Q123" t="n">
        <v>-15</v>
      </c>
      <c r="R123" t="n">
        <v>0.0227</v>
      </c>
      <c r="S123">
        <f>IMAGE("https://mitra.stanford.edu/kundaje/oak/projects/neuro-variants/variant_position/credible/roussos_2024/variant_figures/roussos_2024.adolescence.GLU/rs11210117_count_position.png",4,220,900)</f>
        <v/>
      </c>
      <c r="T123">
        <f>IMAGE("https://mitra.stanford.edu/kundaje/oak/projects/neuro-variants/variant_position/credible/roussos_2024/variant_figures/roussos_2024.adolescence.GLU/rs11210117_profile_position.png",4,220,900)</f>
        <v/>
      </c>
    </row>
    <row r="124">
      <c r="A124" t="inlineStr">
        <is>
          <t>chr1</t>
        </is>
      </c>
      <c r="B124" t="n">
        <v>73068063</v>
      </c>
      <c r="C124" t="inlineStr">
        <is>
          <t>C</t>
        </is>
      </c>
      <c r="D124" t="inlineStr">
        <is>
          <t>A</t>
        </is>
      </c>
      <c r="E124" t="inlineStr">
        <is>
          <t>rs11210120</t>
        </is>
      </c>
      <c r="F124" t="n">
        <v>0.023283643</v>
      </c>
      <c r="G124" t="n">
        <v>0.2433820333979464</v>
      </c>
      <c r="H124" t="n">
        <v>0.0251910777247511</v>
      </c>
      <c r="I124" t="n">
        <v>0.0216318896750599</v>
      </c>
      <c r="J124" t="n">
        <v>0.0373648827257074</v>
      </c>
      <c r="K124" t="n">
        <v>0.745325309816908</v>
      </c>
      <c r="L124" t="b">
        <v>0</v>
      </c>
      <c r="M124" t="b">
        <v>0</v>
      </c>
      <c r="N124" t="inlineStr">
        <is>
          <t>alt</t>
        </is>
      </c>
      <c r="O124" t="n">
        <v>50</v>
      </c>
      <c r="P124" t="n">
        <v>0.003296</v>
      </c>
      <c r="Q124" t="n">
        <v>-70</v>
      </c>
      <c r="R124" t="n">
        <v>0.026</v>
      </c>
      <c r="S124">
        <f>IMAGE("https://mitra.stanford.edu/kundaje/oak/projects/neuro-variants/variant_position/credible/roussos_2024/variant_figures/roussos_2024.adolescence.GLU/rs11210120_count_position.png",4,220,900)</f>
        <v/>
      </c>
      <c r="T124">
        <f>IMAGE("https://mitra.stanford.edu/kundaje/oak/projects/neuro-variants/variant_position/credible/roussos_2024/variant_figures/roussos_2024.adolescence.GLU/rs11210120_profile_position.png",4,220,900)</f>
        <v/>
      </c>
    </row>
    <row r="125">
      <c r="A125" t="inlineStr">
        <is>
          <t>chr1</t>
        </is>
      </c>
      <c r="B125" t="n">
        <v>73078997</v>
      </c>
      <c r="C125" t="inlineStr">
        <is>
          <t>T</t>
        </is>
      </c>
      <c r="D125" t="inlineStr">
        <is>
          <t>C</t>
        </is>
      </c>
      <c r="E125" t="inlineStr">
        <is>
          <t>rs61773608</t>
        </is>
      </c>
      <c r="F125" t="n">
        <v>-0.0041653162856</v>
      </c>
      <c r="G125" t="n">
        <v>0.692560833151692</v>
      </c>
      <c r="H125" t="n">
        <v>0.007837127697352</v>
      </c>
      <c r="I125" t="n">
        <v>0.796272661264918</v>
      </c>
      <c r="J125" t="n">
        <v>0.0475512784791135</v>
      </c>
      <c r="K125" t="n">
        <v>0.7039119743529353</v>
      </c>
      <c r="L125" t="b">
        <v>0</v>
      </c>
      <c r="M125" t="b">
        <v>0</v>
      </c>
      <c r="N125" t="inlineStr">
        <is>
          <t>ref</t>
        </is>
      </c>
      <c r="O125" t="n">
        <v>-15</v>
      </c>
      <c r="P125" t="n">
        <v>0.00074</v>
      </c>
      <c r="Q125" t="n">
        <v>-90</v>
      </c>
      <c r="R125" t="n">
        <v>0.008240000000000001</v>
      </c>
      <c r="S125">
        <f>IMAGE("https://mitra.stanford.edu/kundaje/oak/projects/neuro-variants/variant_position/credible/roussos_2024/variant_figures/roussos_2024.adolescence.GLU/rs61773608_count_position.png",4,220,900)</f>
        <v/>
      </c>
      <c r="T125">
        <f>IMAGE("https://mitra.stanford.edu/kundaje/oak/projects/neuro-variants/variant_position/credible/roussos_2024/variant_figures/roussos_2024.adolescence.GLU/rs61773608_profile_position.png",4,220,900)</f>
        <v/>
      </c>
    </row>
    <row r="126">
      <c r="A126" t="inlineStr">
        <is>
          <t>chr1</t>
        </is>
      </c>
      <c r="B126" t="n">
        <v>73091210</v>
      </c>
      <c r="C126" t="inlineStr">
        <is>
          <t>A</t>
        </is>
      </c>
      <c r="D126" t="inlineStr">
        <is>
          <t>T</t>
        </is>
      </c>
      <c r="E126" t="inlineStr">
        <is>
          <t>rs4233100</t>
        </is>
      </c>
      <c r="F126" t="n">
        <v>-0.007958729439999999</v>
      </c>
      <c r="G126" t="n">
        <v>0.6199714907395504</v>
      </c>
      <c r="H126" t="n">
        <v>0.0289464202676018</v>
      </c>
      <c r="I126" t="n">
        <v>0.0102655271293288</v>
      </c>
      <c r="J126" t="n">
        <v>0.000482957183988</v>
      </c>
      <c r="K126" t="n">
        <v>0.9811421289159062</v>
      </c>
      <c r="L126" t="b">
        <v>0</v>
      </c>
      <c r="M126" t="b">
        <v>0</v>
      </c>
      <c r="N126" t="inlineStr">
        <is>
          <t>ref</t>
        </is>
      </c>
      <c r="O126" t="n">
        <v>35</v>
      </c>
      <c r="P126" t="n">
        <v>0.005188</v>
      </c>
      <c r="Q126" t="n">
        <v>100</v>
      </c>
      <c r="R126" t="n">
        <v>0.01605</v>
      </c>
      <c r="S126">
        <f>IMAGE("https://mitra.stanford.edu/kundaje/oak/projects/neuro-variants/variant_position/credible/roussos_2024/variant_figures/roussos_2024.adolescence.GLU/rs4233100_count_position.png",4,220,900)</f>
        <v/>
      </c>
      <c r="T126">
        <f>IMAGE("https://mitra.stanford.edu/kundaje/oak/projects/neuro-variants/variant_position/credible/roussos_2024/variant_figures/roussos_2024.adolescence.GLU/rs4233100_profile_position.png",4,220,900)</f>
        <v/>
      </c>
    </row>
    <row r="127">
      <c r="A127" t="inlineStr">
        <is>
          <t>chr1</t>
        </is>
      </c>
      <c r="B127" t="n">
        <v>73094184</v>
      </c>
      <c r="C127" t="inlineStr">
        <is>
          <t>G</t>
        </is>
      </c>
      <c r="D127" t="inlineStr">
        <is>
          <t>A</t>
        </is>
      </c>
      <c r="E127" t="inlineStr">
        <is>
          <t>rs12141350</t>
        </is>
      </c>
      <c r="F127" t="n">
        <v>0.00356421714</v>
      </c>
      <c r="G127" t="n">
        <v>0.6307643654732268</v>
      </c>
      <c r="H127" t="n">
        <v>0.008154229949305401</v>
      </c>
      <c r="I127" t="n">
        <v>0.7594236756798661</v>
      </c>
      <c r="J127" t="n">
        <v>0.0475212722635402</v>
      </c>
      <c r="K127" t="n">
        <v>0.7129504203279876</v>
      </c>
      <c r="L127" t="b">
        <v>0</v>
      </c>
      <c r="M127" t="b">
        <v>0</v>
      </c>
      <c r="N127" t="inlineStr">
        <is>
          <t>alt</t>
        </is>
      </c>
      <c r="O127" t="n">
        <v>100</v>
      </c>
      <c r="P127" t="n">
        <v>0.02145</v>
      </c>
      <c r="Q127" t="n">
        <v>-80</v>
      </c>
      <c r="R127" t="n">
        <v>0.06232</v>
      </c>
      <c r="S127">
        <f>IMAGE("https://mitra.stanford.edu/kundaje/oak/projects/neuro-variants/variant_position/credible/roussos_2024/variant_figures/roussos_2024.adolescence.GLU/rs12141350_count_position.png",4,220,900)</f>
        <v/>
      </c>
      <c r="T127">
        <f>IMAGE("https://mitra.stanford.edu/kundaje/oak/projects/neuro-variants/variant_position/credible/roussos_2024/variant_figures/roussos_2024.adolescence.GLU/rs12141350_profile_position.png",4,220,900)</f>
        <v/>
      </c>
    </row>
    <row r="128">
      <c r="A128" t="inlineStr">
        <is>
          <t>chr1</t>
        </is>
      </c>
      <c r="B128" t="n">
        <v>73095920</v>
      </c>
      <c r="C128" t="inlineStr">
        <is>
          <t>T</t>
        </is>
      </c>
      <c r="D128" t="inlineStr">
        <is>
          <t>C</t>
        </is>
      </c>
      <c r="E128" t="inlineStr">
        <is>
          <t>rs11210125</t>
        </is>
      </c>
      <c r="F128" t="n">
        <v>0.0117916446999999</v>
      </c>
      <c r="G128" t="n">
        <v>0.4544139328616983</v>
      </c>
      <c r="H128" t="n">
        <v>0.0172531088192576</v>
      </c>
      <c r="I128" t="n">
        <v>0.101930349881273</v>
      </c>
      <c r="J128" t="n">
        <v>0.0012359703081352</v>
      </c>
      <c r="K128" t="n">
        <v>0.968960160138448</v>
      </c>
      <c r="L128" t="b">
        <v>0</v>
      </c>
      <c r="M128" t="b">
        <v>0</v>
      </c>
      <c r="N128" t="inlineStr">
        <is>
          <t>alt</t>
        </is>
      </c>
      <c r="O128" t="n">
        <v>-5</v>
      </c>
      <c r="P128" t="n">
        <v>0.00299</v>
      </c>
      <c r="Q128" t="n">
        <v>-100</v>
      </c>
      <c r="R128" t="n">
        <v>0.01732</v>
      </c>
      <c r="S128">
        <f>IMAGE("https://mitra.stanford.edu/kundaje/oak/projects/neuro-variants/variant_position/credible/roussos_2024/variant_figures/roussos_2024.adolescence.GLU/rs11210125_count_position.png",4,220,900)</f>
        <v/>
      </c>
      <c r="T128">
        <f>IMAGE("https://mitra.stanford.edu/kundaje/oak/projects/neuro-variants/variant_position/credible/roussos_2024/variant_figures/roussos_2024.adolescence.GLU/rs11210125_profile_position.png",4,220,900)</f>
        <v/>
      </c>
    </row>
    <row r="129">
      <c r="A129" t="inlineStr">
        <is>
          <t>chr1</t>
        </is>
      </c>
      <c r="B129" t="n">
        <v>73133797</v>
      </c>
      <c r="C129" t="inlineStr">
        <is>
          <t>G</t>
        </is>
      </c>
      <c r="D129" t="inlineStr">
        <is>
          <t>A</t>
        </is>
      </c>
      <c r="E129" t="inlineStr">
        <is>
          <t>rs4428835</t>
        </is>
      </c>
      <c r="F129" t="n">
        <v>-0.0111793095</v>
      </c>
      <c r="G129" t="n">
        <v>0.3737538432749085</v>
      </c>
      <c r="H129" t="n">
        <v>0.0090850324586015</v>
      </c>
      <c r="I129" t="n">
        <v>0.6629773465437112</v>
      </c>
      <c r="J129" t="n">
        <v>0.1173543091068863</v>
      </c>
      <c r="K129" t="n">
        <v>0.5328344928824215</v>
      </c>
      <c r="L129" t="b">
        <v>0</v>
      </c>
      <c r="M129" t="b">
        <v>0</v>
      </c>
      <c r="N129" t="inlineStr">
        <is>
          <t>ref</t>
        </is>
      </c>
      <c r="O129" t="n">
        <v>-35</v>
      </c>
      <c r="P129" t="n">
        <v>0.006905</v>
      </c>
      <c r="Q129" t="n">
        <v>10</v>
      </c>
      <c r="R129" t="n">
        <v>0.01001</v>
      </c>
      <c r="S129">
        <f>IMAGE("https://mitra.stanford.edu/kundaje/oak/projects/neuro-variants/variant_position/credible/roussos_2024/variant_figures/roussos_2024.adolescence.GLU/rs4428835_count_position.png",4,220,900)</f>
        <v/>
      </c>
      <c r="T129">
        <f>IMAGE("https://mitra.stanford.edu/kundaje/oak/projects/neuro-variants/variant_position/credible/roussos_2024/variant_figures/roussos_2024.adolescence.GLU/rs4428835_profile_position.png",4,220,900)</f>
        <v/>
      </c>
    </row>
    <row r="130">
      <c r="A130" t="inlineStr">
        <is>
          <t>chr1</t>
        </is>
      </c>
      <c r="B130" t="n">
        <v>73134581</v>
      </c>
      <c r="C130" t="inlineStr">
        <is>
          <t>G</t>
        </is>
      </c>
      <c r="D130" t="inlineStr">
        <is>
          <t>T</t>
        </is>
      </c>
      <c r="E130" t="inlineStr">
        <is>
          <t>rs7547148</t>
        </is>
      </c>
      <c r="F130" t="n">
        <v>0.0167931336</v>
      </c>
      <c r="G130" t="n">
        <v>0.3325237952435269</v>
      </c>
      <c r="H130" t="n">
        <v>0.0344377190861545</v>
      </c>
      <c r="I130" t="n">
        <v>0.0049634197534449</v>
      </c>
      <c r="J130" t="n">
        <v>0.0087703881518314</v>
      </c>
      <c r="K130" t="n">
        <v>0.8873822411104406</v>
      </c>
      <c r="L130" t="b">
        <v>0</v>
      </c>
      <c r="M130" t="b">
        <v>0</v>
      </c>
      <c r="N130" t="inlineStr">
        <is>
          <t>alt</t>
        </is>
      </c>
      <c r="O130" t="n">
        <v>-80</v>
      </c>
      <c r="P130" t="n">
        <v>0.002594</v>
      </c>
      <c r="Q130" t="n">
        <v>-95</v>
      </c>
      <c r="R130" t="n">
        <v>0.0437</v>
      </c>
      <c r="S130">
        <f>IMAGE("https://mitra.stanford.edu/kundaje/oak/projects/neuro-variants/variant_position/credible/roussos_2024/variant_figures/roussos_2024.adolescence.GLU/rs7547148_count_position.png",4,220,900)</f>
        <v/>
      </c>
      <c r="T130">
        <f>IMAGE("https://mitra.stanford.edu/kundaje/oak/projects/neuro-variants/variant_position/credible/roussos_2024/variant_figures/roussos_2024.adolescence.GLU/rs7547148_profile_position.png",4,220,900)</f>
        <v/>
      </c>
    </row>
    <row r="131">
      <c r="A131" t="inlineStr">
        <is>
          <t>chr1</t>
        </is>
      </c>
      <c r="B131" t="n">
        <v>73135379</v>
      </c>
      <c r="C131" t="inlineStr">
        <is>
          <t>C</t>
        </is>
      </c>
      <c r="D131" t="inlineStr">
        <is>
          <t>T</t>
        </is>
      </c>
      <c r="E131" t="inlineStr">
        <is>
          <t>rs12118367</t>
        </is>
      </c>
      <c r="F131" t="n">
        <v>0.00075328086</v>
      </c>
      <c r="G131" t="n">
        <v>0.7521836251438423</v>
      </c>
      <c r="H131" t="n">
        <v>0.0239434783790301</v>
      </c>
      <c r="I131" t="n">
        <v>0.0240977196616772</v>
      </c>
      <c r="J131" t="n">
        <v>0.0017246429617563</v>
      </c>
      <c r="K131" t="n">
        <v>0.9599124822206456</v>
      </c>
      <c r="L131" t="b">
        <v>0</v>
      </c>
      <c r="M131" t="b">
        <v>0</v>
      </c>
      <c r="N131" t="inlineStr">
        <is>
          <t>alt</t>
        </is>
      </c>
      <c r="O131" t="n">
        <v>100</v>
      </c>
      <c r="P131" t="n">
        <v>0.01274</v>
      </c>
      <c r="Q131" t="n">
        <v>100</v>
      </c>
      <c r="R131" t="n">
        <v>0.06322999999999999</v>
      </c>
      <c r="S131">
        <f>IMAGE("https://mitra.stanford.edu/kundaje/oak/projects/neuro-variants/variant_position/credible/roussos_2024/variant_figures/roussos_2024.adolescence.GLU/rs12118367_count_position.png",4,220,900)</f>
        <v/>
      </c>
      <c r="T131">
        <f>IMAGE("https://mitra.stanford.edu/kundaje/oak/projects/neuro-variants/variant_position/credible/roussos_2024/variant_figures/roussos_2024.adolescence.GLU/rs12118367_profile_position.png",4,220,900)</f>
        <v/>
      </c>
    </row>
    <row r="132">
      <c r="A132" t="inlineStr">
        <is>
          <t>chr1</t>
        </is>
      </c>
      <c r="B132" t="n">
        <v>73135616</v>
      </c>
      <c r="C132" t="inlineStr">
        <is>
          <t>T</t>
        </is>
      </c>
      <c r="D132" t="inlineStr">
        <is>
          <t>C</t>
        </is>
      </c>
      <c r="E132" t="inlineStr">
        <is>
          <t>rs12137150</t>
        </is>
      </c>
      <c r="F132" t="n">
        <v>-0.00248806353</v>
      </c>
      <c r="G132" t="n">
        <v>0.8123964987548169</v>
      </c>
      <c r="H132" t="n">
        <v>0.0329202611185896</v>
      </c>
      <c r="I132" t="n">
        <v>0.0056587472475367</v>
      </c>
      <c r="J132" t="n">
        <v>0.0050338998792606</v>
      </c>
      <c r="K132" t="n">
        <v>0.9202299669512284</v>
      </c>
      <c r="L132" t="b">
        <v>0</v>
      </c>
      <c r="M132" t="b">
        <v>0</v>
      </c>
      <c r="N132" t="inlineStr">
        <is>
          <t>ref</t>
        </is>
      </c>
      <c r="O132" t="n">
        <v>-100</v>
      </c>
      <c r="P132" t="n">
        <v>0.003784</v>
      </c>
      <c r="Q132" t="n">
        <v>-85</v>
      </c>
      <c r="R132" t="n">
        <v>0.05762</v>
      </c>
      <c r="S132">
        <f>IMAGE("https://mitra.stanford.edu/kundaje/oak/projects/neuro-variants/variant_position/credible/roussos_2024/variant_figures/roussos_2024.adolescence.GLU/rs12137150_count_position.png",4,220,900)</f>
        <v/>
      </c>
      <c r="T132">
        <f>IMAGE("https://mitra.stanford.edu/kundaje/oak/projects/neuro-variants/variant_position/credible/roussos_2024/variant_figures/roussos_2024.adolescence.GLU/rs12137150_profile_position.png",4,220,900)</f>
        <v/>
      </c>
    </row>
    <row r="133">
      <c r="A133" t="inlineStr">
        <is>
          <t>chr1</t>
        </is>
      </c>
      <c r="B133" t="n">
        <v>73144531</v>
      </c>
      <c r="C133" t="inlineStr">
        <is>
          <t>G</t>
        </is>
      </c>
      <c r="D133" t="inlineStr">
        <is>
          <t>A</t>
        </is>
      </c>
      <c r="E133" t="inlineStr">
        <is>
          <t>rs4391625</t>
        </is>
      </c>
      <c r="F133" t="n">
        <v>-0.009738100039999999</v>
      </c>
      <c r="G133" t="n">
        <v>0.5474472805403516</v>
      </c>
      <c r="H133" t="n">
        <v>0.0072840769335678</v>
      </c>
      <c r="I133" t="n">
        <v>0.8816620612487528</v>
      </c>
      <c r="J133" t="n">
        <v>0.0007101471018996</v>
      </c>
      <c r="K133" t="n">
        <v>0.9757055534912926</v>
      </c>
      <c r="L133" t="b">
        <v>0</v>
      </c>
      <c r="M133" t="b">
        <v>0</v>
      </c>
      <c r="N133" t="inlineStr">
        <is>
          <t>ref</t>
        </is>
      </c>
      <c r="O133" t="n">
        <v>55</v>
      </c>
      <c r="P133" t="n">
        <v>0.02089</v>
      </c>
      <c r="Q133" t="n">
        <v>-15</v>
      </c>
      <c r="R133" t="n">
        <v>0.01172</v>
      </c>
      <c r="S133">
        <f>IMAGE("https://mitra.stanford.edu/kundaje/oak/projects/neuro-variants/variant_position/credible/roussos_2024/variant_figures/roussos_2024.adolescence.GLU/rs4391625_count_position.png",4,220,900)</f>
        <v/>
      </c>
      <c r="T133">
        <f>IMAGE("https://mitra.stanford.edu/kundaje/oak/projects/neuro-variants/variant_position/credible/roussos_2024/variant_figures/roussos_2024.adolescence.GLU/rs4391625_profile_position.png",4,220,900)</f>
        <v/>
      </c>
    </row>
    <row r="134">
      <c r="A134" t="inlineStr">
        <is>
          <t>chr1</t>
        </is>
      </c>
      <c r="B134" t="n">
        <v>73146005</v>
      </c>
      <c r="C134" t="inlineStr">
        <is>
          <t>C</t>
        </is>
      </c>
      <c r="D134" t="inlineStr">
        <is>
          <t>T</t>
        </is>
      </c>
      <c r="E134" t="inlineStr">
        <is>
          <t>rs57852356</t>
        </is>
      </c>
      <c r="F134" t="n">
        <v>-0.0941921604</v>
      </c>
      <c r="G134" t="n">
        <v>0.0107895763416903</v>
      </c>
      <c r="H134" t="n">
        <v>0.0206752810341186</v>
      </c>
      <c r="I134" t="n">
        <v>0.0549364402677204</v>
      </c>
      <c r="J134" t="n">
        <v>0.0205085339105957</v>
      </c>
      <c r="K134" t="n">
        <v>0.8224337290755753</v>
      </c>
      <c r="L134" t="b">
        <v>1</v>
      </c>
      <c r="M134" t="b">
        <v>0</v>
      </c>
      <c r="N134" t="inlineStr">
        <is>
          <t>ref</t>
        </is>
      </c>
      <c r="O134" t="n">
        <v>-45</v>
      </c>
      <c r="P134" t="n">
        <v>0.00757</v>
      </c>
      <c r="Q134" t="n">
        <v>-40</v>
      </c>
      <c r="R134" t="n">
        <v>0.00983</v>
      </c>
      <c r="S134">
        <f>IMAGE("https://mitra.stanford.edu/kundaje/oak/projects/neuro-variants/variant_position/credible/roussos_2024/variant_figures/roussos_2024.adolescence.GLU/rs57852356_count_position.png",4,220,900)</f>
        <v/>
      </c>
      <c r="T134">
        <f>IMAGE("https://mitra.stanford.edu/kundaje/oak/projects/neuro-variants/variant_position/credible/roussos_2024/variant_figures/roussos_2024.adolescence.GLU/rs57852356_profile_position.png",4,220,900)</f>
        <v/>
      </c>
    </row>
    <row r="135">
      <c r="A135" t="inlineStr">
        <is>
          <t>chr1</t>
        </is>
      </c>
      <c r="B135" t="n">
        <v>73148706</v>
      </c>
      <c r="C135" t="inlineStr">
        <is>
          <t>C</t>
        </is>
      </c>
      <c r="D135" t="inlineStr">
        <is>
          <t>T</t>
        </is>
      </c>
      <c r="E135" t="inlineStr">
        <is>
          <t>rs6424521</t>
        </is>
      </c>
      <c r="F135" t="n">
        <v>-0.07760885199999989</v>
      </c>
      <c r="G135" t="n">
        <v>0.0169582496472183</v>
      </c>
      <c r="H135" t="n">
        <v>0.0150815532863073</v>
      </c>
      <c r="I135" t="n">
        <v>0.1578019948209754</v>
      </c>
      <c r="J135" t="n">
        <v>0.1013552807367239</v>
      </c>
      <c r="K135" t="n">
        <v>0.5795536929963583</v>
      </c>
      <c r="L135" t="b">
        <v>1</v>
      </c>
      <c r="M135" t="b">
        <v>0</v>
      </c>
      <c r="N135" t="inlineStr">
        <is>
          <t>ref</t>
        </is>
      </c>
      <c r="O135" t="n">
        <v>-5</v>
      </c>
      <c r="P135" t="n">
        <v>0.000641</v>
      </c>
      <c r="Q135" t="n">
        <v>-100</v>
      </c>
      <c r="R135" t="n">
        <v>0.10144</v>
      </c>
      <c r="S135">
        <f>IMAGE("https://mitra.stanford.edu/kundaje/oak/projects/neuro-variants/variant_position/credible/roussos_2024/variant_figures/roussos_2024.adolescence.GLU/rs6424521_count_position.png",4,220,900)</f>
        <v/>
      </c>
      <c r="T135">
        <f>IMAGE("https://mitra.stanford.edu/kundaje/oak/projects/neuro-variants/variant_position/credible/roussos_2024/variant_figures/roussos_2024.adolescence.GLU/rs6424521_profile_position.png",4,220,900)</f>
        <v/>
      </c>
    </row>
    <row r="136">
      <c r="A136" t="inlineStr">
        <is>
          <t>chr1</t>
        </is>
      </c>
      <c r="B136" t="n">
        <v>73152946</v>
      </c>
      <c r="C136" t="inlineStr">
        <is>
          <t>A</t>
        </is>
      </c>
      <c r="D136" t="inlineStr">
        <is>
          <t>G</t>
        </is>
      </c>
      <c r="E136" t="inlineStr">
        <is>
          <t>rs4454488</t>
        </is>
      </c>
      <c r="F136" t="n">
        <v>0.06486355099999989</v>
      </c>
      <c r="G136" t="n">
        <v>0.0281903480349999</v>
      </c>
      <c r="H136" t="n">
        <v>0.0110988066626153</v>
      </c>
      <c r="I136" t="n">
        <v>0.4094117354111575</v>
      </c>
      <c r="J136" t="n">
        <v>0.1683877374599023</v>
      </c>
      <c r="K136" t="n">
        <v>0.4550870283549151</v>
      </c>
      <c r="L136" t="b">
        <v>0</v>
      </c>
      <c r="M136" t="b">
        <v>0</v>
      </c>
      <c r="N136" t="inlineStr">
        <is>
          <t>alt</t>
        </is>
      </c>
      <c r="O136" t="n">
        <v>100</v>
      </c>
      <c r="P136" t="n">
        <v>0.04706</v>
      </c>
      <c r="Q136" t="n">
        <v>40</v>
      </c>
      <c r="R136" t="n">
        <v>0.06433</v>
      </c>
      <c r="S136">
        <f>IMAGE("https://mitra.stanford.edu/kundaje/oak/projects/neuro-variants/variant_position/credible/roussos_2024/variant_figures/roussos_2024.adolescence.GLU/rs4454488_count_position.png",4,220,900)</f>
        <v/>
      </c>
      <c r="T136">
        <f>IMAGE("https://mitra.stanford.edu/kundaje/oak/projects/neuro-variants/variant_position/credible/roussos_2024/variant_figures/roussos_2024.adolescence.GLU/rs4454488_profile_position.png",4,220,900)</f>
        <v/>
      </c>
    </row>
    <row r="137">
      <c r="A137" t="inlineStr">
        <is>
          <t>chr1</t>
        </is>
      </c>
      <c r="B137" t="n">
        <v>73153069</v>
      </c>
      <c r="C137" t="inlineStr">
        <is>
          <t>A</t>
        </is>
      </c>
      <c r="D137" t="inlineStr">
        <is>
          <t>G</t>
        </is>
      </c>
      <c r="E137" t="inlineStr">
        <is>
          <t>rs4369180</t>
        </is>
      </c>
      <c r="F137" t="n">
        <v>0.0119842368</v>
      </c>
      <c r="G137" t="n">
        <v>0.4921366686533581</v>
      </c>
      <c r="H137" t="n">
        <v>0.0171163860188232</v>
      </c>
      <c r="I137" t="n">
        <v>0.1017693349393242</v>
      </c>
      <c r="J137" t="n">
        <v>0.1409320502104006</v>
      </c>
      <c r="K137" t="n">
        <v>0.4998042879709273</v>
      </c>
      <c r="L137" t="b">
        <v>0</v>
      </c>
      <c r="M137" t="b">
        <v>0</v>
      </c>
      <c r="N137" t="inlineStr">
        <is>
          <t>alt</t>
        </is>
      </c>
      <c r="O137" t="n">
        <v>-15</v>
      </c>
      <c r="P137" t="n">
        <v>0.000885</v>
      </c>
      <c r="Q137" t="n">
        <v>-85</v>
      </c>
      <c r="R137" t="n">
        <v>0.05908</v>
      </c>
      <c r="S137">
        <f>IMAGE("https://mitra.stanford.edu/kundaje/oak/projects/neuro-variants/variant_position/credible/roussos_2024/variant_figures/roussos_2024.adolescence.GLU/rs4369180_count_position.png",4,220,900)</f>
        <v/>
      </c>
      <c r="T137">
        <f>IMAGE("https://mitra.stanford.edu/kundaje/oak/projects/neuro-variants/variant_position/credible/roussos_2024/variant_figures/roussos_2024.adolescence.GLU/rs4369180_profile_position.png",4,220,900)</f>
        <v/>
      </c>
    </row>
    <row r="138">
      <c r="A138" t="inlineStr">
        <is>
          <t>chr1</t>
        </is>
      </c>
      <c r="B138" t="n">
        <v>73153162</v>
      </c>
      <c r="C138" t="inlineStr">
        <is>
          <t>G</t>
        </is>
      </c>
      <c r="D138" t="inlineStr">
        <is>
          <t>T</t>
        </is>
      </c>
      <c r="E138" t="inlineStr">
        <is>
          <t>rs4633241</t>
        </is>
      </c>
      <c r="F138" t="n">
        <v>0.0173062345</v>
      </c>
      <c r="G138" t="n">
        <v>0.3353929471580646</v>
      </c>
      <c r="H138" t="n">
        <v>0.0270818849288275</v>
      </c>
      <c r="I138" t="n">
        <v>0.0140761218862143</v>
      </c>
      <c r="J138" t="n">
        <v>0.1330761371998485</v>
      </c>
      <c r="K138" t="n">
        <v>0.5135073013880173</v>
      </c>
      <c r="L138" t="b">
        <v>1</v>
      </c>
      <c r="M138" t="b">
        <v>0</v>
      </c>
      <c r="N138" t="inlineStr">
        <is>
          <t>alt</t>
        </is>
      </c>
      <c r="O138" t="n">
        <v>-100</v>
      </c>
      <c r="P138" t="n">
        <v>0.001648</v>
      </c>
      <c r="Q138" t="n">
        <v>-100</v>
      </c>
      <c r="R138" t="n">
        <v>0.01959</v>
      </c>
      <c r="S138">
        <f>IMAGE("https://mitra.stanford.edu/kundaje/oak/projects/neuro-variants/variant_position/credible/roussos_2024/variant_figures/roussos_2024.adolescence.GLU/rs4633241_count_position.png",4,220,900)</f>
        <v/>
      </c>
      <c r="T138">
        <f>IMAGE("https://mitra.stanford.edu/kundaje/oak/projects/neuro-variants/variant_position/credible/roussos_2024/variant_figures/roussos_2024.adolescence.GLU/rs4633241_profile_position.png",4,220,900)</f>
        <v/>
      </c>
    </row>
    <row r="139">
      <c r="A139" t="inlineStr">
        <is>
          <t>chr1</t>
        </is>
      </c>
      <c r="B139" t="n">
        <v>73153749</v>
      </c>
      <c r="C139" t="inlineStr">
        <is>
          <t>G</t>
        </is>
      </c>
      <c r="D139" t="inlineStr">
        <is>
          <t>T</t>
        </is>
      </c>
      <c r="E139" t="inlineStr">
        <is>
          <t>rs10399828</t>
        </is>
      </c>
      <c r="F139" t="n">
        <v>-0.032829047</v>
      </c>
      <c r="G139" t="n">
        <v>0.1596260141784234</v>
      </c>
      <c r="H139" t="n">
        <v>0.0147421092344118</v>
      </c>
      <c r="I139" t="n">
        <v>0.1939644285501305</v>
      </c>
      <c r="J139" t="n">
        <v>0.0268212701202391</v>
      </c>
      <c r="K139" t="n">
        <v>0.7916351674526023</v>
      </c>
      <c r="L139" t="b">
        <v>0</v>
      </c>
      <c r="M139" t="b">
        <v>0</v>
      </c>
      <c r="N139" t="inlineStr">
        <is>
          <t>ref</t>
        </is>
      </c>
      <c r="O139" t="n">
        <v>-60</v>
      </c>
      <c r="P139" t="n">
        <v>0.001118</v>
      </c>
      <c r="Q139" t="n">
        <v>50</v>
      </c>
      <c r="R139" t="n">
        <v>0.01445</v>
      </c>
      <c r="S139">
        <f>IMAGE("https://mitra.stanford.edu/kundaje/oak/projects/neuro-variants/variant_position/credible/roussos_2024/variant_figures/roussos_2024.adolescence.GLU/rs10399828_count_position.png",4,220,900)</f>
        <v/>
      </c>
      <c r="T139">
        <f>IMAGE("https://mitra.stanford.edu/kundaje/oak/projects/neuro-variants/variant_position/credible/roussos_2024/variant_figures/roussos_2024.adolescence.GLU/rs10399828_profile_position.png",4,220,900)</f>
        <v/>
      </c>
    </row>
    <row r="140">
      <c r="A140" t="inlineStr">
        <is>
          <t>chr1</t>
        </is>
      </c>
      <c r="B140" t="n">
        <v>73156986</v>
      </c>
      <c r="C140" t="inlineStr">
        <is>
          <t>A</t>
        </is>
      </c>
      <c r="D140" t="inlineStr">
        <is>
          <t>C</t>
        </is>
      </c>
      <c r="E140" t="inlineStr">
        <is>
          <t>rs7528640</t>
        </is>
      </c>
      <c r="F140" t="n">
        <v>0.0067465732599999</v>
      </c>
      <c r="G140" t="n">
        <v>0.6523863244811213</v>
      </c>
      <c r="H140" t="n">
        <v>0.0248586170810784</v>
      </c>
      <c r="I140" t="n">
        <v>0.0220653479864943</v>
      </c>
      <c r="J140" t="n">
        <v>0.0267784040979916</v>
      </c>
      <c r="K140" t="n">
        <v>0.7839139994736128</v>
      </c>
      <c r="L140" t="b">
        <v>0</v>
      </c>
      <c r="M140" t="b">
        <v>0</v>
      </c>
      <c r="N140" t="inlineStr">
        <is>
          <t>alt</t>
        </is>
      </c>
      <c r="O140" t="n">
        <v>85</v>
      </c>
      <c r="P140" t="n">
        <v>0.008385</v>
      </c>
      <c r="Q140" t="n">
        <v>-70</v>
      </c>
      <c r="R140" t="n">
        <v>0.03864</v>
      </c>
      <c r="S140">
        <f>IMAGE("https://mitra.stanford.edu/kundaje/oak/projects/neuro-variants/variant_position/credible/roussos_2024/variant_figures/roussos_2024.adolescence.GLU/rs7528640_count_position.png",4,220,900)</f>
        <v/>
      </c>
      <c r="T140">
        <f>IMAGE("https://mitra.stanford.edu/kundaje/oak/projects/neuro-variants/variant_position/credible/roussos_2024/variant_figures/roussos_2024.adolescence.GLU/rs7528640_profile_position.png",4,220,900)</f>
        <v/>
      </c>
    </row>
    <row r="141">
      <c r="A141" t="inlineStr">
        <is>
          <t>chr1</t>
        </is>
      </c>
      <c r="B141" t="n">
        <v>73159766</v>
      </c>
      <c r="C141" t="inlineStr">
        <is>
          <t>T</t>
        </is>
      </c>
      <c r="D141" t="inlineStr">
        <is>
          <t>C</t>
        </is>
      </c>
      <c r="E141" t="inlineStr">
        <is>
          <t>rs11210151</t>
        </is>
      </c>
      <c r="F141" t="n">
        <v>0.00387700024</v>
      </c>
      <c r="G141" t="n">
        <v>0.7612381805901561</v>
      </c>
      <c r="H141" t="n">
        <v>0.0166216065528263</v>
      </c>
      <c r="I141" t="n">
        <v>0.1101000161429087</v>
      </c>
      <c r="J141" t="n">
        <v>0.008940423373413</v>
      </c>
      <c r="K141" t="n">
        <v>0.8885353908636827</v>
      </c>
      <c r="L141" t="b">
        <v>0</v>
      </c>
      <c r="M141" t="b">
        <v>0</v>
      </c>
      <c r="N141" t="inlineStr">
        <is>
          <t>alt</t>
        </is>
      </c>
      <c r="O141" t="n">
        <v>100</v>
      </c>
      <c r="P141" t="n">
        <v>0.01342</v>
      </c>
      <c r="Q141" t="n">
        <v>-5</v>
      </c>
      <c r="R141" t="n">
        <v>0.0005493</v>
      </c>
      <c r="S141">
        <f>IMAGE("https://mitra.stanford.edu/kundaje/oak/projects/neuro-variants/variant_position/credible/roussos_2024/variant_figures/roussos_2024.adolescence.GLU/rs11210151_count_position.png",4,220,900)</f>
        <v/>
      </c>
      <c r="T141">
        <f>IMAGE("https://mitra.stanford.edu/kundaje/oak/projects/neuro-variants/variant_position/credible/roussos_2024/variant_figures/roussos_2024.adolescence.GLU/rs11210151_profile_position.png",4,220,900)</f>
        <v/>
      </c>
    </row>
    <row r="142">
      <c r="A142" t="inlineStr">
        <is>
          <t>chr1</t>
        </is>
      </c>
      <c r="B142" t="n">
        <v>73161111</v>
      </c>
      <c r="C142" t="inlineStr">
        <is>
          <t>T</t>
        </is>
      </c>
      <c r="D142" t="inlineStr">
        <is>
          <t>G</t>
        </is>
      </c>
      <c r="E142" t="inlineStr">
        <is>
          <t>rs11210155</t>
        </is>
      </c>
      <c r="F142" t="n">
        <v>0.0207749157999999</v>
      </c>
      <c r="G142" t="n">
        <v>0.2673665029038091</v>
      </c>
      <c r="H142" t="n">
        <v>0.0116650952492026</v>
      </c>
      <c r="I142" t="n">
        <v>0.3568483649306923</v>
      </c>
      <c r="J142" t="n">
        <v>0.0410342142300904</v>
      </c>
      <c r="K142" t="n">
        <v>0.7286449484893179</v>
      </c>
      <c r="L142" t="b">
        <v>0</v>
      </c>
      <c r="M142" t="b">
        <v>0</v>
      </c>
      <c r="N142" t="inlineStr">
        <is>
          <t>alt</t>
        </is>
      </c>
      <c r="O142" t="n">
        <v>100</v>
      </c>
      <c r="P142" t="n">
        <v>0.01701</v>
      </c>
      <c r="Q142" t="n">
        <v>-100</v>
      </c>
      <c r="R142" t="n">
        <v>0.03427</v>
      </c>
      <c r="S142">
        <f>IMAGE("https://mitra.stanford.edu/kundaje/oak/projects/neuro-variants/variant_position/credible/roussos_2024/variant_figures/roussos_2024.adolescence.GLU/rs11210155_count_position.png",4,220,900)</f>
        <v/>
      </c>
      <c r="T142">
        <f>IMAGE("https://mitra.stanford.edu/kundaje/oak/projects/neuro-variants/variant_position/credible/roussos_2024/variant_figures/roussos_2024.adolescence.GLU/rs11210155_profile_position.png",4,220,900)</f>
        <v/>
      </c>
    </row>
    <row r="143">
      <c r="A143" t="inlineStr">
        <is>
          <t>chr1</t>
        </is>
      </c>
      <c r="B143" t="n">
        <v>73161541</v>
      </c>
      <c r="C143" t="inlineStr">
        <is>
          <t>C</t>
        </is>
      </c>
      <c r="D143" t="inlineStr">
        <is>
          <t>G</t>
        </is>
      </c>
      <c r="E143" t="inlineStr">
        <is>
          <t>rs11210158</t>
        </is>
      </c>
      <c r="F143" t="n">
        <v>0.0076172826599999</v>
      </c>
      <c r="G143" t="n">
        <v>0.5897645105549605</v>
      </c>
      <c r="H143" t="n">
        <v>0.0074013502288565</v>
      </c>
      <c r="I143" t="n">
        <v>0.8240147433555137</v>
      </c>
      <c r="J143" t="n">
        <v>0.0938208628930277</v>
      </c>
      <c r="K143" t="n">
        <v>0.5842317684965463</v>
      </c>
      <c r="L143" t="b">
        <v>0</v>
      </c>
      <c r="M143" t="b">
        <v>0</v>
      </c>
      <c r="N143" t="inlineStr">
        <is>
          <t>alt</t>
        </is>
      </c>
      <c r="O143" t="n">
        <v>-100</v>
      </c>
      <c r="P143" t="n">
        <v>0.01531</v>
      </c>
      <c r="Q143" t="n">
        <v>-90</v>
      </c>
      <c r="R143" t="n">
        <v>0.01569</v>
      </c>
      <c r="S143">
        <f>IMAGE("https://mitra.stanford.edu/kundaje/oak/projects/neuro-variants/variant_position/credible/roussos_2024/variant_figures/roussos_2024.adolescence.GLU/rs11210158_count_position.png",4,220,900)</f>
        <v/>
      </c>
      <c r="T143">
        <f>IMAGE("https://mitra.stanford.edu/kundaje/oak/projects/neuro-variants/variant_position/credible/roussos_2024/variant_figures/roussos_2024.adolescence.GLU/rs11210158_profile_position.png",4,220,900)</f>
        <v/>
      </c>
    </row>
    <row r="144">
      <c r="A144" t="inlineStr">
        <is>
          <t>chr1</t>
        </is>
      </c>
      <c r="B144" t="n">
        <v>73161542</v>
      </c>
      <c r="C144" t="inlineStr">
        <is>
          <t>C</t>
        </is>
      </c>
      <c r="D144" t="inlineStr">
        <is>
          <t>A</t>
        </is>
      </c>
      <c r="E144" t="inlineStr">
        <is>
          <t>rs11210159</t>
        </is>
      </c>
      <c r="F144" t="n">
        <v>-0.01321473304</v>
      </c>
      <c r="G144" t="n">
        <v>0.4460945473706267</v>
      </c>
      <c r="H144" t="n">
        <v>0.0091200026093738</v>
      </c>
      <c r="I144" t="n">
        <v>0.6429901570495747</v>
      </c>
      <c r="J144" t="n">
        <v>0.091336062470083</v>
      </c>
      <c r="K144" t="n">
        <v>0.5894629286008692</v>
      </c>
      <c r="L144" t="b">
        <v>0</v>
      </c>
      <c r="M144" t="b">
        <v>0</v>
      </c>
      <c r="N144" t="inlineStr">
        <is>
          <t>ref</t>
        </is>
      </c>
      <c r="O144" t="n">
        <v>-95</v>
      </c>
      <c r="P144" t="n">
        <v>0.01631</v>
      </c>
      <c r="Q144" t="n">
        <v>-90</v>
      </c>
      <c r="R144" t="n">
        <v>0.0228</v>
      </c>
      <c r="S144">
        <f>IMAGE("https://mitra.stanford.edu/kundaje/oak/projects/neuro-variants/variant_position/credible/roussos_2024/variant_figures/roussos_2024.adolescence.GLU/rs11210159_count_position.png",4,220,900)</f>
        <v/>
      </c>
      <c r="T144">
        <f>IMAGE("https://mitra.stanford.edu/kundaje/oak/projects/neuro-variants/variant_position/credible/roussos_2024/variant_figures/roussos_2024.adolescence.GLU/rs11210159_profile_position.png",4,220,900)</f>
        <v/>
      </c>
    </row>
    <row r="145">
      <c r="A145" t="inlineStr">
        <is>
          <t>chr1</t>
        </is>
      </c>
      <c r="B145" t="n">
        <v>73163039</v>
      </c>
      <c r="C145" t="inlineStr">
        <is>
          <t>C</t>
        </is>
      </c>
      <c r="D145" t="inlineStr">
        <is>
          <t>T</t>
        </is>
      </c>
      <c r="E145" t="inlineStr">
        <is>
          <t>rs6666765</t>
        </is>
      </c>
      <c r="F145" t="n">
        <v>0.01820938808</v>
      </c>
      <c r="G145" t="n">
        <v>0.3251698502738699</v>
      </c>
      <c r="H145" t="n">
        <v>0.0222431115194347</v>
      </c>
      <c r="I145" t="n">
        <v>0.036425022286231</v>
      </c>
      <c r="J145" t="n">
        <v>0.0621114373691693</v>
      </c>
      <c r="K145" t="n">
        <v>0.6598431649940371</v>
      </c>
      <c r="L145" t="b">
        <v>0</v>
      </c>
      <c r="M145" t="b">
        <v>0</v>
      </c>
      <c r="N145" t="inlineStr">
        <is>
          <t>alt</t>
        </is>
      </c>
      <c r="O145" t="n">
        <v>-35</v>
      </c>
      <c r="P145" t="n">
        <v>0.007088</v>
      </c>
      <c r="Q145" t="n">
        <v>-80</v>
      </c>
      <c r="R145" t="n">
        <v>0.08409999999999999</v>
      </c>
      <c r="S145">
        <f>IMAGE("https://mitra.stanford.edu/kundaje/oak/projects/neuro-variants/variant_position/credible/roussos_2024/variant_figures/roussos_2024.adolescence.GLU/rs6666765_count_position.png",4,220,900)</f>
        <v/>
      </c>
      <c r="T145">
        <f>IMAGE("https://mitra.stanford.edu/kundaje/oak/projects/neuro-variants/variant_position/credible/roussos_2024/variant_figures/roussos_2024.adolescence.GLU/rs6666765_profile_position.png",4,220,900)</f>
        <v/>
      </c>
    </row>
    <row r="146">
      <c r="A146" t="inlineStr">
        <is>
          <t>chr1</t>
        </is>
      </c>
      <c r="B146" t="n">
        <v>73163824</v>
      </c>
      <c r="C146" t="inlineStr">
        <is>
          <t>G</t>
        </is>
      </c>
      <c r="D146" t="inlineStr">
        <is>
          <t>T</t>
        </is>
      </c>
      <c r="E146" t="inlineStr">
        <is>
          <t>rs11210163</t>
        </is>
      </c>
      <c r="F146" t="n">
        <v>-0.0137715722599999</v>
      </c>
      <c r="G146" t="n">
        <v>0.424951657636275</v>
      </c>
      <c r="H146" t="n">
        <v>0.0189496194402479</v>
      </c>
      <c r="I146" t="n">
        <v>0.0716176742099076</v>
      </c>
      <c r="J146" t="n">
        <v>0.009937772824370699</v>
      </c>
      <c r="K146" t="n">
        <v>0.8766902934711499</v>
      </c>
      <c r="L146" t="b">
        <v>0</v>
      </c>
      <c r="M146" t="b">
        <v>0</v>
      </c>
      <c r="N146" t="inlineStr">
        <is>
          <t>ref</t>
        </is>
      </c>
      <c r="O146" t="n">
        <v>65</v>
      </c>
      <c r="P146" t="n">
        <v>0.01822</v>
      </c>
      <c r="Q146" t="n">
        <v>-100</v>
      </c>
      <c r="R146" t="n">
        <v>0.0517</v>
      </c>
      <c r="S146">
        <f>IMAGE("https://mitra.stanford.edu/kundaje/oak/projects/neuro-variants/variant_position/credible/roussos_2024/variant_figures/roussos_2024.adolescence.GLU/rs11210163_count_position.png",4,220,900)</f>
        <v/>
      </c>
      <c r="T146">
        <f>IMAGE("https://mitra.stanford.edu/kundaje/oak/projects/neuro-variants/variant_position/credible/roussos_2024/variant_figures/roussos_2024.adolescence.GLU/rs11210163_profile_position.png",4,220,900)</f>
        <v/>
      </c>
    </row>
    <row r="147">
      <c r="A147" t="inlineStr">
        <is>
          <t>chr1</t>
        </is>
      </c>
      <c r="B147" t="n">
        <v>73170489</v>
      </c>
      <c r="C147" t="inlineStr">
        <is>
          <t>C</t>
        </is>
      </c>
      <c r="D147" t="inlineStr">
        <is>
          <t>A</t>
        </is>
      </c>
      <c r="E147" t="inlineStr">
        <is>
          <t>rs4492565</t>
        </is>
      </c>
      <c r="F147" t="n">
        <v>-0.0175257518</v>
      </c>
      <c r="G147" t="n">
        <v>0.3520846167750481</v>
      </c>
      <c r="H147" t="n">
        <v>0.0130193555289833</v>
      </c>
      <c r="I147" t="n">
        <v>0.2754950958058192</v>
      </c>
      <c r="J147" t="n">
        <v>0.0647234069914481</v>
      </c>
      <c r="K147" t="n">
        <v>0.6568307079017459</v>
      </c>
      <c r="L147" t="b">
        <v>0</v>
      </c>
      <c r="M147" t="b">
        <v>0</v>
      </c>
      <c r="N147" t="inlineStr">
        <is>
          <t>ref</t>
        </is>
      </c>
      <c r="O147" t="n">
        <v>-100</v>
      </c>
      <c r="P147" t="n">
        <v>0.00289</v>
      </c>
      <c r="Q147" t="n">
        <v>-100</v>
      </c>
      <c r="R147" t="n">
        <v>0.03564</v>
      </c>
      <c r="S147">
        <f>IMAGE("https://mitra.stanford.edu/kundaje/oak/projects/neuro-variants/variant_position/credible/roussos_2024/variant_figures/roussos_2024.adolescence.GLU/rs4492565_count_position.png",4,220,900)</f>
        <v/>
      </c>
      <c r="T147">
        <f>IMAGE("https://mitra.stanford.edu/kundaje/oak/projects/neuro-variants/variant_position/credible/roussos_2024/variant_figures/roussos_2024.adolescence.GLU/rs4492565_profile_position.png",4,220,900)</f>
        <v/>
      </c>
    </row>
    <row r="148">
      <c r="A148" t="inlineStr">
        <is>
          <t>chr1</t>
        </is>
      </c>
      <c r="B148" t="n">
        <v>73172117</v>
      </c>
      <c r="C148" t="inlineStr">
        <is>
          <t>C</t>
        </is>
      </c>
      <c r="D148" t="inlineStr">
        <is>
          <t>A</t>
        </is>
      </c>
      <c r="E148" t="inlineStr">
        <is>
          <t>rs4650196</t>
        </is>
      </c>
      <c r="F148" t="n">
        <v>0.0099750258599999</v>
      </c>
      <c r="G148" t="n">
        <v>0.5035375150058715</v>
      </c>
      <c r="H148" t="n">
        <v>0.0186705016763568</v>
      </c>
      <c r="I148" t="n">
        <v>0.0744649478644008</v>
      </c>
      <c r="J148" t="n">
        <v>0.0680569546548927</v>
      </c>
      <c r="K148" t="n">
        <v>0.6515948804142517</v>
      </c>
      <c r="L148" t="b">
        <v>0</v>
      </c>
      <c r="M148" t="b">
        <v>0</v>
      </c>
      <c r="N148" t="inlineStr">
        <is>
          <t>alt</t>
        </is>
      </c>
      <c r="O148" t="n">
        <v>100</v>
      </c>
      <c r="P148" t="n">
        <v>0.001671</v>
      </c>
      <c r="Q148" t="n">
        <v>-100</v>
      </c>
      <c r="R148" t="n">
        <v>0.06476</v>
      </c>
      <c r="S148">
        <f>IMAGE("https://mitra.stanford.edu/kundaje/oak/projects/neuro-variants/variant_position/credible/roussos_2024/variant_figures/roussos_2024.adolescence.GLU/rs4650196_count_position.png",4,220,900)</f>
        <v/>
      </c>
      <c r="T148">
        <f>IMAGE("https://mitra.stanford.edu/kundaje/oak/projects/neuro-variants/variant_position/credible/roussos_2024/variant_figures/roussos_2024.adolescence.GLU/rs4650196_profile_position.png",4,220,900)</f>
        <v/>
      </c>
    </row>
    <row r="149">
      <c r="A149" t="inlineStr">
        <is>
          <t>chr1</t>
        </is>
      </c>
      <c r="B149" t="n">
        <v>73173151</v>
      </c>
      <c r="C149" t="inlineStr">
        <is>
          <t>A</t>
        </is>
      </c>
      <c r="D149" t="inlineStr">
        <is>
          <t>C</t>
        </is>
      </c>
      <c r="E149" t="inlineStr">
        <is>
          <t>rs6695455</t>
        </is>
      </c>
      <c r="F149" t="n">
        <v>0.0181292016</v>
      </c>
      <c r="G149" t="n">
        <v>0.3077844007898845</v>
      </c>
      <c r="H149" t="n">
        <v>0.009489645143874501</v>
      </c>
      <c r="I149" t="n">
        <v>0.5827730966648823</v>
      </c>
      <c r="J149" t="n">
        <v>0.0406284158861478</v>
      </c>
      <c r="K149" t="n">
        <v>0.7361867812342524</v>
      </c>
      <c r="L149" t="b">
        <v>0</v>
      </c>
      <c r="M149" t="b">
        <v>0</v>
      </c>
      <c r="N149" t="inlineStr">
        <is>
          <t>alt</t>
        </is>
      </c>
      <c r="O149" t="n">
        <v>90</v>
      </c>
      <c r="P149" t="n">
        <v>0.006157</v>
      </c>
      <c r="Q149" t="n">
        <v>-25</v>
      </c>
      <c r="R149" t="n">
        <v>0.02637</v>
      </c>
      <c r="S149">
        <f>IMAGE("https://mitra.stanford.edu/kundaje/oak/projects/neuro-variants/variant_position/credible/roussos_2024/variant_figures/roussos_2024.adolescence.GLU/rs6695455_count_position.png",4,220,900)</f>
        <v/>
      </c>
      <c r="T149">
        <f>IMAGE("https://mitra.stanford.edu/kundaje/oak/projects/neuro-variants/variant_position/credible/roussos_2024/variant_figures/roussos_2024.adolescence.GLU/rs6695455_profile_position.png",4,220,900)</f>
        <v/>
      </c>
    </row>
    <row r="150">
      <c r="A150" t="inlineStr">
        <is>
          <t>chr1</t>
        </is>
      </c>
      <c r="B150" t="n">
        <v>73173633</v>
      </c>
      <c r="C150" t="inlineStr">
        <is>
          <t>T</t>
        </is>
      </c>
      <c r="D150" t="inlineStr">
        <is>
          <t>C</t>
        </is>
      </c>
      <c r="E150" t="inlineStr">
        <is>
          <t>rs6698500</t>
        </is>
      </c>
      <c r="F150" t="n">
        <v>0.014779329</v>
      </c>
      <c r="G150" t="n">
        <v>0.3795277816507532</v>
      </c>
      <c r="H150" t="n">
        <v>0.0097944550025863</v>
      </c>
      <c r="I150" t="n">
        <v>0.5654521872296735</v>
      </c>
      <c r="J150" t="n">
        <v>0.0851276335812418</v>
      </c>
      <c r="K150" t="n">
        <v>0.6144029385341883</v>
      </c>
      <c r="L150" t="b">
        <v>0</v>
      </c>
      <c r="M150" t="b">
        <v>0</v>
      </c>
      <c r="N150" t="inlineStr">
        <is>
          <t>alt</t>
        </is>
      </c>
      <c r="O150" t="n">
        <v>100</v>
      </c>
      <c r="P150" t="n">
        <v>0.03006</v>
      </c>
      <c r="Q150" t="n">
        <v>-70</v>
      </c>
      <c r="R150" t="n">
        <v>0.0626</v>
      </c>
      <c r="S150">
        <f>IMAGE("https://mitra.stanford.edu/kundaje/oak/projects/neuro-variants/variant_position/credible/roussos_2024/variant_figures/roussos_2024.adolescence.GLU/rs6698500_count_position.png",4,220,900)</f>
        <v/>
      </c>
      <c r="T150">
        <f>IMAGE("https://mitra.stanford.edu/kundaje/oak/projects/neuro-variants/variant_position/credible/roussos_2024/variant_figures/roussos_2024.adolescence.GLU/rs6698500_profile_position.png",4,220,900)</f>
        <v/>
      </c>
    </row>
    <row r="151">
      <c r="A151" t="inlineStr">
        <is>
          <t>chr1</t>
        </is>
      </c>
      <c r="B151" t="n">
        <v>73174844</v>
      </c>
      <c r="C151" t="inlineStr">
        <is>
          <t>A</t>
        </is>
      </c>
      <c r="D151" t="inlineStr">
        <is>
          <t>G</t>
        </is>
      </c>
      <c r="E151" t="inlineStr">
        <is>
          <t>rs12124553</t>
        </is>
      </c>
      <c r="F151" t="n">
        <v>0.0676111464</v>
      </c>
      <c r="G151" t="n">
        <v>0.0274093397126908</v>
      </c>
      <c r="H151" t="n">
        <v>0.0110617430843593</v>
      </c>
      <c r="I151" t="n">
        <v>0.425297598760027</v>
      </c>
      <c r="J151" t="n">
        <v>0.146687528130827</v>
      </c>
      <c r="K151" t="n">
        <v>0.4787704190042362</v>
      </c>
      <c r="L151" t="b">
        <v>0</v>
      </c>
      <c r="M151" t="b">
        <v>0</v>
      </c>
      <c r="N151" t="inlineStr">
        <is>
          <t>alt</t>
        </is>
      </c>
      <c r="O151" t="n">
        <v>100</v>
      </c>
      <c r="P151" t="n">
        <v>0.00974</v>
      </c>
      <c r="Q151" t="n">
        <v>40</v>
      </c>
      <c r="R151" t="n">
        <v>0.01404</v>
      </c>
      <c r="S151">
        <f>IMAGE("https://mitra.stanford.edu/kundaje/oak/projects/neuro-variants/variant_position/credible/roussos_2024/variant_figures/roussos_2024.adolescence.GLU/rs12124553_count_position.png",4,220,900)</f>
        <v/>
      </c>
      <c r="T151">
        <f>IMAGE("https://mitra.stanford.edu/kundaje/oak/projects/neuro-variants/variant_position/credible/roussos_2024/variant_figures/roussos_2024.adolescence.GLU/rs12124553_profile_position.png",4,220,900)</f>
        <v/>
      </c>
    </row>
    <row r="152">
      <c r="A152" t="inlineStr">
        <is>
          <t>chr1</t>
        </is>
      </c>
      <c r="B152" t="n">
        <v>73176803</v>
      </c>
      <c r="C152" t="inlineStr">
        <is>
          <t>A</t>
        </is>
      </c>
      <c r="D152" t="inlineStr">
        <is>
          <t>G</t>
        </is>
      </c>
      <c r="E152" t="inlineStr">
        <is>
          <t>rs12126688</t>
        </is>
      </c>
      <c r="F152" t="n">
        <v>0.0347074716</v>
      </c>
      <c r="G152" t="n">
        <v>0.1290373587414352</v>
      </c>
      <c r="H152" t="n">
        <v>0.0109254947780554</v>
      </c>
      <c r="I152" t="n">
        <v>0.4390384424718525</v>
      </c>
      <c r="J152" t="n">
        <v>0.1134635031542247</v>
      </c>
      <c r="K152" t="n">
        <v>0.5397802293004631</v>
      </c>
      <c r="L152" t="b">
        <v>0</v>
      </c>
      <c r="M152" t="b">
        <v>0</v>
      </c>
      <c r="N152" t="inlineStr">
        <is>
          <t>alt</t>
        </is>
      </c>
      <c r="O152" t="n">
        <v>-20</v>
      </c>
      <c r="P152" t="n">
        <v>0.005585</v>
      </c>
      <c r="Q152" t="n">
        <v>-40</v>
      </c>
      <c r="R152" t="n">
        <v>0.00354</v>
      </c>
      <c r="S152">
        <f>IMAGE("https://mitra.stanford.edu/kundaje/oak/projects/neuro-variants/variant_position/credible/roussos_2024/variant_figures/roussos_2024.adolescence.GLU/rs12126688_count_position.png",4,220,900)</f>
        <v/>
      </c>
      <c r="T152">
        <f>IMAGE("https://mitra.stanford.edu/kundaje/oak/projects/neuro-variants/variant_position/credible/roussos_2024/variant_figures/roussos_2024.adolescence.GLU/rs12126688_profile_position.png",4,220,900)</f>
        <v/>
      </c>
    </row>
    <row r="153">
      <c r="A153" t="inlineStr">
        <is>
          <t>chr1</t>
        </is>
      </c>
      <c r="B153" t="n">
        <v>73179104</v>
      </c>
      <c r="C153" t="inlineStr">
        <is>
          <t>C</t>
        </is>
      </c>
      <c r="D153" t="inlineStr">
        <is>
          <t>A</t>
        </is>
      </c>
      <c r="E153" t="inlineStr">
        <is>
          <t>rs4503305</t>
        </is>
      </c>
      <c r="F153" t="n">
        <v>0.00075178916</v>
      </c>
      <c r="G153" t="n">
        <v>0.7494962710411448</v>
      </c>
      <c r="H153" t="n">
        <v>0.0239137905539816</v>
      </c>
      <c r="I153" t="n">
        <v>0.0263700371635551</v>
      </c>
      <c r="J153" t="n">
        <v>0.1664787706024819</v>
      </c>
      <c r="K153" t="n">
        <v>0.4497692848752697</v>
      </c>
      <c r="L153" t="b">
        <v>0</v>
      </c>
      <c r="M153" t="b">
        <v>0</v>
      </c>
      <c r="N153" t="inlineStr">
        <is>
          <t>alt</t>
        </is>
      </c>
      <c r="O153" t="n">
        <v>75</v>
      </c>
      <c r="P153" t="n">
        <v>0.007732</v>
      </c>
      <c r="Q153" t="n">
        <v>45</v>
      </c>
      <c r="R153" t="n">
        <v>0.03244</v>
      </c>
      <c r="S153">
        <f>IMAGE("https://mitra.stanford.edu/kundaje/oak/projects/neuro-variants/variant_position/credible/roussos_2024/variant_figures/roussos_2024.adolescence.GLU/rs4503305_count_position.png",4,220,900)</f>
        <v/>
      </c>
      <c r="T153">
        <f>IMAGE("https://mitra.stanford.edu/kundaje/oak/projects/neuro-variants/variant_position/credible/roussos_2024/variant_figures/roussos_2024.adolescence.GLU/rs4503305_profile_position.png",4,220,900)</f>
        <v/>
      </c>
    </row>
    <row r="154">
      <c r="A154" t="inlineStr">
        <is>
          <t>chr1</t>
        </is>
      </c>
      <c r="B154" t="n">
        <v>73181248</v>
      </c>
      <c r="C154" t="inlineStr">
        <is>
          <t>C</t>
        </is>
      </c>
      <c r="D154" t="inlineStr">
        <is>
          <t>T</t>
        </is>
      </c>
      <c r="E154" t="inlineStr">
        <is>
          <t>rs4641264</t>
        </is>
      </c>
      <c r="F154" t="n">
        <v>-0.004370904768</v>
      </c>
      <c r="G154" t="n">
        <v>0.7346345078982047</v>
      </c>
      <c r="H154" t="n">
        <v>0.0078492567193174</v>
      </c>
      <c r="I154" t="n">
        <v>0.7922542408968816</v>
      </c>
      <c r="J154" t="n">
        <v>0.6106007673017981</v>
      </c>
      <c r="K154" t="n">
        <v>0.0346029872729205</v>
      </c>
      <c r="L154" t="b">
        <v>0</v>
      </c>
      <c r="M154" t="b">
        <v>0</v>
      </c>
      <c r="N154" t="inlineStr">
        <is>
          <t>ref</t>
        </is>
      </c>
      <c r="O154" t="n">
        <v>10</v>
      </c>
      <c r="P154" t="n">
        <v>0.0002937</v>
      </c>
      <c r="Q154" t="n">
        <v>55</v>
      </c>
      <c r="R154" t="n">
        <v>0.05957</v>
      </c>
      <c r="S154">
        <f>IMAGE("https://mitra.stanford.edu/kundaje/oak/projects/neuro-variants/variant_position/credible/roussos_2024/variant_figures/roussos_2024.adolescence.GLU/rs4641264_count_position.png",4,220,900)</f>
        <v/>
      </c>
      <c r="T154">
        <f>IMAGE("https://mitra.stanford.edu/kundaje/oak/projects/neuro-variants/variant_position/credible/roussos_2024/variant_figures/roussos_2024.adolescence.GLU/rs4641264_profile_position.png",4,220,900)</f>
        <v/>
      </c>
    </row>
    <row r="155">
      <c r="A155" t="inlineStr">
        <is>
          <t>chr1</t>
        </is>
      </c>
      <c r="B155" t="n">
        <v>73181316</v>
      </c>
      <c r="C155" t="inlineStr">
        <is>
          <t>G</t>
        </is>
      </c>
      <c r="D155" t="inlineStr">
        <is>
          <t>A</t>
        </is>
      </c>
      <c r="E155" t="inlineStr">
        <is>
          <t>rs4578169</t>
        </is>
      </c>
      <c r="F155" t="n">
        <v>-0.0537418598</v>
      </c>
      <c r="G155" t="n">
        <v>0.0591071999194785</v>
      </c>
      <c r="H155" t="n">
        <v>0.021249134811198</v>
      </c>
      <c r="I155" t="n">
        <v>0.0419119485528016</v>
      </c>
      <c r="J155" t="n">
        <v>0.5979824392195526</v>
      </c>
      <c r="K155" t="n">
        <v>0.0389814827881929</v>
      </c>
      <c r="L155" t="b">
        <v>0</v>
      </c>
      <c r="M155" t="b">
        <v>0</v>
      </c>
      <c r="N155" t="inlineStr">
        <is>
          <t>ref</t>
        </is>
      </c>
      <c r="O155" t="n">
        <v>-60</v>
      </c>
      <c r="P155" t="n">
        <v>0.002201</v>
      </c>
      <c r="Q155" t="n">
        <v>-15</v>
      </c>
      <c r="R155" t="n">
        <v>0.01318</v>
      </c>
      <c r="S155">
        <f>IMAGE("https://mitra.stanford.edu/kundaje/oak/projects/neuro-variants/variant_position/credible/roussos_2024/variant_figures/roussos_2024.adolescence.GLU/rs4578169_count_position.png",4,220,900)</f>
        <v/>
      </c>
      <c r="T155">
        <f>IMAGE("https://mitra.stanford.edu/kundaje/oak/projects/neuro-variants/variant_position/credible/roussos_2024/variant_figures/roussos_2024.adolescence.GLU/rs4578169_profile_position.png",4,220,900)</f>
        <v/>
      </c>
    </row>
    <row r="156">
      <c r="A156" t="inlineStr">
        <is>
          <t>chr1</t>
        </is>
      </c>
      <c r="B156" t="n">
        <v>73181365</v>
      </c>
      <c r="C156" t="inlineStr">
        <is>
          <t>T</t>
        </is>
      </c>
      <c r="D156" t="inlineStr">
        <is>
          <t>C</t>
        </is>
      </c>
      <c r="E156" t="inlineStr">
        <is>
          <t>rs7514409</t>
        </is>
      </c>
      <c r="F156" t="n">
        <v>0.0252544047</v>
      </c>
      <c r="G156" t="n">
        <v>0.2251385136690301</v>
      </c>
      <c r="H156" t="n">
        <v>0.0130359289844111</v>
      </c>
      <c r="I156" t="n">
        <v>0.2704906472351626</v>
      </c>
      <c r="J156" t="n">
        <v>0.5914382264897728</v>
      </c>
      <c r="K156" t="n">
        <v>0.0414583464371499</v>
      </c>
      <c r="L156" t="b">
        <v>0</v>
      </c>
      <c r="M156" t="b">
        <v>0</v>
      </c>
      <c r="N156" t="inlineStr">
        <is>
          <t>alt</t>
        </is>
      </c>
      <c r="O156" t="n">
        <v>-100</v>
      </c>
      <c r="P156" t="n">
        <v>0.005</v>
      </c>
      <c r="Q156" t="n">
        <v>-70</v>
      </c>
      <c r="R156" t="n">
        <v>0.02783</v>
      </c>
      <c r="S156">
        <f>IMAGE("https://mitra.stanford.edu/kundaje/oak/projects/neuro-variants/variant_position/credible/roussos_2024/variant_figures/roussos_2024.adolescence.GLU/rs7514409_count_position.png",4,220,900)</f>
        <v/>
      </c>
      <c r="T156">
        <f>IMAGE("https://mitra.stanford.edu/kundaje/oak/projects/neuro-variants/variant_position/credible/roussos_2024/variant_figures/roussos_2024.adolescence.GLU/rs7514409_profile_position.png",4,220,900)</f>
        <v/>
      </c>
    </row>
    <row r="157">
      <c r="A157" t="inlineStr">
        <is>
          <t>chr1</t>
        </is>
      </c>
      <c r="B157" t="n">
        <v>73256777</v>
      </c>
      <c r="C157" t="inlineStr">
        <is>
          <t>C</t>
        </is>
      </c>
      <c r="D157" t="inlineStr">
        <is>
          <t>G</t>
        </is>
      </c>
      <c r="E157" t="inlineStr">
        <is>
          <t>rs4074990</t>
        </is>
      </c>
      <c r="F157" t="n">
        <v>0.0295931335999999</v>
      </c>
      <c r="G157" t="n">
        <v>0.1727535409828233</v>
      </c>
      <c r="H157" t="n">
        <v>0.0130802383584875</v>
      </c>
      <c r="I157" t="n">
        <v>0.2665309018165042</v>
      </c>
      <c r="J157" t="n">
        <v>0.0281229683291538</v>
      </c>
      <c r="K157" t="n">
        <v>0.7801269799989641</v>
      </c>
      <c r="L157" t="b">
        <v>0</v>
      </c>
      <c r="M157" t="b">
        <v>0</v>
      </c>
      <c r="N157" t="inlineStr">
        <is>
          <t>alt</t>
        </is>
      </c>
      <c r="O157" t="n">
        <v>-80</v>
      </c>
      <c r="P157" t="n">
        <v>0.01152</v>
      </c>
      <c r="Q157" t="n">
        <v>100</v>
      </c>
      <c r="R157" t="n">
        <v>0.0849</v>
      </c>
      <c r="S157">
        <f>IMAGE("https://mitra.stanford.edu/kundaje/oak/projects/neuro-variants/variant_position/credible/roussos_2024/variant_figures/roussos_2024.adolescence.GLU/rs4074990_count_position.png",4,220,900)</f>
        <v/>
      </c>
      <c r="T157">
        <f>IMAGE("https://mitra.stanford.edu/kundaje/oak/projects/neuro-variants/variant_position/credible/roussos_2024/variant_figures/roussos_2024.adolescence.GLU/rs4074990_profile_position.png",4,220,900)</f>
        <v/>
      </c>
    </row>
    <row r="158">
      <c r="A158" t="inlineStr">
        <is>
          <t>chr1</t>
        </is>
      </c>
      <c r="B158" t="n">
        <v>73310990</v>
      </c>
      <c r="C158" t="inlineStr">
        <is>
          <t>G</t>
        </is>
      </c>
      <c r="D158" t="inlineStr">
        <is>
          <t>A</t>
        </is>
      </c>
      <c r="E158" t="inlineStr">
        <is>
          <t>rs6424546</t>
        </is>
      </c>
      <c r="F158" t="n">
        <v>0.0186815747</v>
      </c>
      <c r="G158" t="n">
        <v>0.3104818758778899</v>
      </c>
      <c r="H158" t="n">
        <v>0.0139665760337376</v>
      </c>
      <c r="I158" t="n">
        <v>0.2314106498946014</v>
      </c>
      <c r="J158" t="n">
        <v>0.1429353223167656</v>
      </c>
      <c r="K158" t="n">
        <v>0.4857144698448138</v>
      </c>
      <c r="L158" t="b">
        <v>0</v>
      </c>
      <c r="M158" t="b">
        <v>0</v>
      </c>
      <c r="N158" t="inlineStr">
        <is>
          <t>alt</t>
        </is>
      </c>
      <c r="O158" t="n">
        <v>-90</v>
      </c>
      <c r="P158" t="n">
        <v>0.00443</v>
      </c>
      <c r="Q158" t="n">
        <v>15</v>
      </c>
      <c r="R158" t="n">
        <v>0.02759</v>
      </c>
      <c r="S158">
        <f>IMAGE("https://mitra.stanford.edu/kundaje/oak/projects/neuro-variants/variant_position/credible/roussos_2024/variant_figures/roussos_2024.adolescence.GLU/rs6424546_count_position.png",4,220,900)</f>
        <v/>
      </c>
      <c r="T158">
        <f>IMAGE("https://mitra.stanford.edu/kundaje/oak/projects/neuro-variants/variant_position/credible/roussos_2024/variant_figures/roussos_2024.adolescence.GLU/rs6424546_profile_position.png",4,220,900)</f>
        <v/>
      </c>
    </row>
    <row r="159">
      <c r="A159" t="inlineStr">
        <is>
          <t>chr1</t>
        </is>
      </c>
      <c r="B159" t="n">
        <v>73317255</v>
      </c>
      <c r="C159" t="inlineStr">
        <is>
          <t>C</t>
        </is>
      </c>
      <c r="D159" t="inlineStr">
        <is>
          <t>T</t>
        </is>
      </c>
      <c r="E159" t="inlineStr">
        <is>
          <t>rs11210207</t>
        </is>
      </c>
      <c r="F159" t="n">
        <v>-0.0317476224</v>
      </c>
      <c r="G159" t="n">
        <v>0.168782720196259</v>
      </c>
      <c r="H159" t="n">
        <v>0.0117530415729671</v>
      </c>
      <c r="I159" t="n">
        <v>0.3518682214001815</v>
      </c>
      <c r="J159" t="n">
        <v>0.0181337562780861</v>
      </c>
      <c r="K159" t="n">
        <v>0.8433153059798788</v>
      </c>
      <c r="L159" t="b">
        <v>0</v>
      </c>
      <c r="M159" t="b">
        <v>0</v>
      </c>
      <c r="N159" t="inlineStr">
        <is>
          <t>ref</t>
        </is>
      </c>
      <c r="O159" t="n">
        <v>80</v>
      </c>
      <c r="P159" t="n">
        <v>0.001251</v>
      </c>
      <c r="Q159" t="n">
        <v>-65</v>
      </c>
      <c r="R159" t="n">
        <v>0.0818</v>
      </c>
      <c r="S159">
        <f>IMAGE("https://mitra.stanford.edu/kundaje/oak/projects/neuro-variants/variant_position/credible/roussos_2024/variant_figures/roussos_2024.adolescence.GLU/rs11210207_count_position.png",4,220,900)</f>
        <v/>
      </c>
      <c r="T159">
        <f>IMAGE("https://mitra.stanford.edu/kundaje/oak/projects/neuro-variants/variant_position/credible/roussos_2024/variant_figures/roussos_2024.adolescence.GLU/rs11210207_profile_position.png",4,220,900)</f>
        <v/>
      </c>
    </row>
    <row r="160">
      <c r="A160" t="inlineStr">
        <is>
          <t>chr1</t>
        </is>
      </c>
      <c r="B160" t="n">
        <v>73318394</v>
      </c>
      <c r="C160" t="inlineStr">
        <is>
          <t>A</t>
        </is>
      </c>
      <c r="D160" t="inlineStr">
        <is>
          <t>G</t>
        </is>
      </c>
      <c r="E160" t="inlineStr">
        <is>
          <t>rs7517355</t>
        </is>
      </c>
      <c r="F160" t="n">
        <v>-0.0195398122</v>
      </c>
      <c r="G160" t="n">
        <v>0.3327944917888525</v>
      </c>
      <c r="H160" t="n">
        <v>0.0202208327976711</v>
      </c>
      <c r="I160" t="n">
        <v>0.0661717520067228</v>
      </c>
      <c r="J160" t="n">
        <v>0.0147444827857198</v>
      </c>
      <c r="K160" t="n">
        <v>0.845633528414945</v>
      </c>
      <c r="L160" t="b">
        <v>0</v>
      </c>
      <c r="M160" t="b">
        <v>0</v>
      </c>
      <c r="N160" t="inlineStr">
        <is>
          <t>ref</t>
        </is>
      </c>
      <c r="O160" t="n">
        <v>-100</v>
      </c>
      <c r="P160" t="n">
        <v>0.005688</v>
      </c>
      <c r="Q160" t="n">
        <v>-60</v>
      </c>
      <c r="R160" t="n">
        <v>0.03464</v>
      </c>
      <c r="S160">
        <f>IMAGE("https://mitra.stanford.edu/kundaje/oak/projects/neuro-variants/variant_position/credible/roussos_2024/variant_figures/roussos_2024.adolescence.GLU/rs7517355_count_position.png",4,220,900)</f>
        <v/>
      </c>
      <c r="T160">
        <f>IMAGE("https://mitra.stanford.edu/kundaje/oak/projects/neuro-variants/variant_position/credible/roussos_2024/variant_figures/roussos_2024.adolescence.GLU/rs7517355_profile_position.png",4,220,900)</f>
        <v/>
      </c>
    </row>
    <row r="161">
      <c r="A161" t="inlineStr">
        <is>
          <t>chr1</t>
        </is>
      </c>
      <c r="B161" t="n">
        <v>73321175</v>
      </c>
      <c r="C161" t="inlineStr">
        <is>
          <t>G</t>
        </is>
      </c>
      <c r="D161" t="inlineStr">
        <is>
          <t>T</t>
        </is>
      </c>
      <c r="E161" t="inlineStr">
        <is>
          <t>rs10732841</t>
        </is>
      </c>
      <c r="F161" t="n">
        <v>-0.00383742644</v>
      </c>
      <c r="G161" t="n">
        <v>0.798830334220981</v>
      </c>
      <c r="H161" t="n">
        <v>0.0180072632839845</v>
      </c>
      <c r="I161" t="n">
        <v>0.08565523241919649</v>
      </c>
      <c r="J161" t="n">
        <v>0.0377278150474026</v>
      </c>
      <c r="K161" t="n">
        <v>0.7394726686975925</v>
      </c>
      <c r="L161" t="b">
        <v>0</v>
      </c>
      <c r="M161" t="b">
        <v>0</v>
      </c>
      <c r="N161" t="inlineStr">
        <is>
          <t>ref</t>
        </is>
      </c>
      <c r="O161" t="n">
        <v>5</v>
      </c>
      <c r="P161" t="n">
        <v>0.001076</v>
      </c>
      <c r="Q161" t="n">
        <v>-95</v>
      </c>
      <c r="R161" t="n">
        <v>0.07025000000000001</v>
      </c>
      <c r="S161">
        <f>IMAGE("https://mitra.stanford.edu/kundaje/oak/projects/neuro-variants/variant_position/credible/roussos_2024/variant_figures/roussos_2024.adolescence.GLU/rs10732841_count_position.png",4,220,900)</f>
        <v/>
      </c>
      <c r="T161">
        <f>IMAGE("https://mitra.stanford.edu/kundaje/oak/projects/neuro-variants/variant_position/credible/roussos_2024/variant_figures/roussos_2024.adolescence.GLU/rs10732841_profile_position.png",4,220,900)</f>
        <v/>
      </c>
    </row>
    <row r="162">
      <c r="A162" t="inlineStr">
        <is>
          <t>chr1</t>
        </is>
      </c>
      <c r="B162" t="n">
        <v>73327947</v>
      </c>
      <c r="C162" t="inlineStr">
        <is>
          <t>A</t>
        </is>
      </c>
      <c r="D162" t="inlineStr">
        <is>
          <t>G</t>
        </is>
      </c>
      <c r="E162" t="inlineStr">
        <is>
          <t>rs1885247</t>
        </is>
      </c>
      <c r="F162" t="n">
        <v>0.00207824672</v>
      </c>
      <c r="G162" t="n">
        <v>0.6291168658624137</v>
      </c>
      <c r="H162" t="n">
        <v>0.0074512640222444</v>
      </c>
      <c r="I162" t="n">
        <v>0.8724418852185358</v>
      </c>
      <c r="J162" t="n">
        <v>0.5389559265847925</v>
      </c>
      <c r="K162" t="n">
        <v>0.0665596409481219</v>
      </c>
      <c r="L162" t="b">
        <v>0</v>
      </c>
      <c r="M162" t="b">
        <v>0</v>
      </c>
      <c r="N162" t="inlineStr">
        <is>
          <t>alt</t>
        </is>
      </c>
      <c r="O162" t="n">
        <v>-100</v>
      </c>
      <c r="P162" t="n">
        <v>0.00856</v>
      </c>
      <c r="Q162" t="n">
        <v>-100</v>
      </c>
      <c r="R162" t="n">
        <v>0.1052</v>
      </c>
      <c r="S162">
        <f>IMAGE("https://mitra.stanford.edu/kundaje/oak/projects/neuro-variants/variant_position/credible/roussos_2024/variant_figures/roussos_2024.adolescence.GLU/rs1885247_count_position.png",4,220,900)</f>
        <v/>
      </c>
      <c r="T162">
        <f>IMAGE("https://mitra.stanford.edu/kundaje/oak/projects/neuro-variants/variant_position/credible/roussos_2024/variant_figures/roussos_2024.adolescence.GLU/rs1885247_profile_position.png",4,220,900)</f>
        <v/>
      </c>
    </row>
    <row r="163">
      <c r="A163" t="inlineStr">
        <is>
          <t>chr1</t>
        </is>
      </c>
      <c r="B163" t="n">
        <v>73344546</v>
      </c>
      <c r="C163" t="inlineStr">
        <is>
          <t>G</t>
        </is>
      </c>
      <c r="D163" t="inlineStr">
        <is>
          <t>A</t>
        </is>
      </c>
      <c r="E163" t="inlineStr">
        <is>
          <t>rs2208565</t>
        </is>
      </c>
      <c r="F163" t="n">
        <v>-0.0617787937999999</v>
      </c>
      <c r="G163" t="n">
        <v>0.0354896947932775</v>
      </c>
      <c r="H163" t="n">
        <v>0.0124136096318819</v>
      </c>
      <c r="I163" t="n">
        <v>0.2923995242740091</v>
      </c>
      <c r="J163" t="n">
        <v>0.2163462431503668</v>
      </c>
      <c r="K163" t="n">
        <v>0.3829324449151783</v>
      </c>
      <c r="L163" t="b">
        <v>0</v>
      </c>
      <c r="M163" t="b">
        <v>0</v>
      </c>
      <c r="N163" t="inlineStr">
        <is>
          <t>ref</t>
        </is>
      </c>
      <c r="O163" t="n">
        <v>-95</v>
      </c>
      <c r="P163" t="n">
        <v>0.00775</v>
      </c>
      <c r="Q163" t="n">
        <v>-50</v>
      </c>
      <c r="R163" t="n">
        <v>0.11206</v>
      </c>
      <c r="S163">
        <f>IMAGE("https://mitra.stanford.edu/kundaje/oak/projects/neuro-variants/variant_position/credible/roussos_2024/variant_figures/roussos_2024.adolescence.GLU/rs2208565_count_position.png",4,220,900)</f>
        <v/>
      </c>
      <c r="T163">
        <f>IMAGE("https://mitra.stanford.edu/kundaje/oak/projects/neuro-variants/variant_position/credible/roussos_2024/variant_figures/roussos_2024.adolescence.GLU/rs2208565_profile_position.png",4,220,900)</f>
        <v/>
      </c>
    </row>
    <row r="164">
      <c r="A164" t="inlineStr">
        <is>
          <t>chr1</t>
        </is>
      </c>
      <c r="B164" t="n">
        <v>73355410</v>
      </c>
      <c r="C164" t="inlineStr">
        <is>
          <t>T</t>
        </is>
      </c>
      <c r="D164" t="inlineStr">
        <is>
          <t>C</t>
        </is>
      </c>
      <c r="E164" t="inlineStr">
        <is>
          <t>rs2340399</t>
        </is>
      </c>
      <c r="F164" t="n">
        <v>0.0799764651999999</v>
      </c>
      <c r="G164" t="n">
        <v>0.0179581542126793</v>
      </c>
      <c r="H164" t="n">
        <v>0.0139276663202177</v>
      </c>
      <c r="I164" t="n">
        <v>0.2079168017228882</v>
      </c>
      <c r="J164" t="n">
        <v>0.0141815090268698</v>
      </c>
      <c r="K164" t="n">
        <v>0.857071647646126</v>
      </c>
      <c r="L164" t="b">
        <v>1</v>
      </c>
      <c r="M164" t="b">
        <v>0</v>
      </c>
      <c r="N164" t="inlineStr">
        <is>
          <t>alt</t>
        </is>
      </c>
      <c r="O164" t="n">
        <v>-80</v>
      </c>
      <c r="P164" t="n">
        <v>0.02011</v>
      </c>
      <c r="Q164" t="n">
        <v>-40</v>
      </c>
      <c r="R164" t="n">
        <v>0.02075</v>
      </c>
      <c r="S164">
        <f>IMAGE("https://mitra.stanford.edu/kundaje/oak/projects/neuro-variants/variant_position/credible/roussos_2024/variant_figures/roussos_2024.adolescence.GLU/rs2340399_count_position.png",4,220,900)</f>
        <v/>
      </c>
      <c r="T164">
        <f>IMAGE("https://mitra.stanford.edu/kundaje/oak/projects/neuro-variants/variant_position/credible/roussos_2024/variant_figures/roussos_2024.adolescence.GLU/rs2340399_profile_position.png",4,220,900)</f>
        <v/>
      </c>
    </row>
    <row r="165">
      <c r="A165" t="inlineStr">
        <is>
          <t>chr1</t>
        </is>
      </c>
      <c r="B165" t="n">
        <v>73358596</v>
      </c>
      <c r="C165" t="inlineStr">
        <is>
          <t>G</t>
        </is>
      </c>
      <c r="D165" t="inlineStr">
        <is>
          <t>A</t>
        </is>
      </c>
      <c r="E165" t="inlineStr">
        <is>
          <t>rs10890034</t>
        </is>
      </c>
      <c r="F165" t="n">
        <v>-0.07599436579999989</v>
      </c>
      <c r="G165" t="n">
        <v>0.0195994217182861</v>
      </c>
      <c r="H165" t="n">
        <v>0.0129513915976874</v>
      </c>
      <c r="I165" t="n">
        <v>0.2711499441858344</v>
      </c>
      <c r="J165" t="n">
        <v>0.0195826278300504</v>
      </c>
      <c r="K165" t="n">
        <v>0.8249834279495855</v>
      </c>
      <c r="L165" t="b">
        <v>1</v>
      </c>
      <c r="M165" t="b">
        <v>0</v>
      </c>
      <c r="N165" t="inlineStr">
        <is>
          <t>ref</t>
        </is>
      </c>
      <c r="O165" t="n">
        <v>-100</v>
      </c>
      <c r="P165" t="n">
        <v>0.03378</v>
      </c>
      <c r="Q165" t="n">
        <v>15</v>
      </c>
      <c r="R165" t="n">
        <v>0.008059999999999999</v>
      </c>
      <c r="S165">
        <f>IMAGE("https://mitra.stanford.edu/kundaje/oak/projects/neuro-variants/variant_position/credible/roussos_2024/variant_figures/roussos_2024.adolescence.GLU/rs10890034_count_position.png",4,220,900)</f>
        <v/>
      </c>
      <c r="T165">
        <f>IMAGE("https://mitra.stanford.edu/kundaje/oak/projects/neuro-variants/variant_position/credible/roussos_2024/variant_figures/roussos_2024.adolescence.GLU/rs10890034_profile_position.png",4,220,900)</f>
        <v/>
      </c>
    </row>
    <row r="166">
      <c r="A166" t="inlineStr">
        <is>
          <t>chr1</t>
        </is>
      </c>
      <c r="B166" t="n">
        <v>73363940</v>
      </c>
      <c r="C166" t="inlineStr">
        <is>
          <t>G</t>
        </is>
      </c>
      <c r="D166" t="inlineStr">
        <is>
          <t>C</t>
        </is>
      </c>
      <c r="E166" t="inlineStr">
        <is>
          <t>rs6689032</t>
        </is>
      </c>
      <c r="F166" t="n">
        <v>-0.00138993656</v>
      </c>
      <c r="G166" t="n">
        <v>0.7830710429954281</v>
      </c>
      <c r="H166" t="n">
        <v>0.0065863974412911</v>
      </c>
      <c r="I166" t="n">
        <v>0.9239673471029118</v>
      </c>
      <c r="J166" t="n">
        <v>0.0033578384093847</v>
      </c>
      <c r="K166" t="n">
        <v>0.9368351884921858</v>
      </c>
      <c r="L166" t="b">
        <v>0</v>
      </c>
      <c r="M166" t="b">
        <v>0</v>
      </c>
      <c r="N166" t="inlineStr">
        <is>
          <t>ref</t>
        </is>
      </c>
      <c r="O166" t="n">
        <v>85</v>
      </c>
      <c r="P166" t="n">
        <v>0.00957</v>
      </c>
      <c r="Q166" t="n">
        <v>-100</v>
      </c>
      <c r="R166" t="n">
        <v>0.03043</v>
      </c>
      <c r="S166">
        <f>IMAGE("https://mitra.stanford.edu/kundaje/oak/projects/neuro-variants/variant_position/credible/roussos_2024/variant_figures/roussos_2024.adolescence.GLU/rs6689032_count_position.png",4,220,900)</f>
        <v/>
      </c>
      <c r="T166">
        <f>IMAGE("https://mitra.stanford.edu/kundaje/oak/projects/neuro-variants/variant_position/credible/roussos_2024/variant_figures/roussos_2024.adolescence.GLU/rs6689032_profile_position.png",4,220,900)</f>
        <v/>
      </c>
    </row>
    <row r="167">
      <c r="A167" t="inlineStr">
        <is>
          <t>chr1</t>
        </is>
      </c>
      <c r="B167" t="n">
        <v>73384090</v>
      </c>
      <c r="C167" t="inlineStr">
        <is>
          <t>T</t>
        </is>
      </c>
      <c r="D167" t="inlineStr">
        <is>
          <t>A</t>
        </is>
      </c>
      <c r="E167" t="inlineStr">
        <is>
          <t>rs1923228</t>
        </is>
      </c>
      <c r="F167" t="n">
        <v>0.00836609674</v>
      </c>
      <c r="G167" t="n">
        <v>0.5739756113220462</v>
      </c>
      <c r="H167" t="n">
        <v>0.0234110871627819</v>
      </c>
      <c r="I167" t="n">
        <v>0.0269390650412354</v>
      </c>
      <c r="J167" t="n">
        <v>0.0880668138400096</v>
      </c>
      <c r="K167" t="n">
        <v>0.5912776482258276</v>
      </c>
      <c r="L167" t="b">
        <v>0</v>
      </c>
      <c r="M167" t="b">
        <v>0</v>
      </c>
      <c r="N167" t="inlineStr">
        <is>
          <t>alt</t>
        </is>
      </c>
      <c r="O167" t="n">
        <v>-35</v>
      </c>
      <c r="P167" t="n">
        <v>0.0338</v>
      </c>
      <c r="Q167" t="n">
        <v>-30</v>
      </c>
      <c r="R167" t="n">
        <v>0.2595</v>
      </c>
      <c r="S167">
        <f>IMAGE("https://mitra.stanford.edu/kundaje/oak/projects/neuro-variants/variant_position/credible/roussos_2024/variant_figures/roussos_2024.adolescence.GLU/rs1923228_count_position.png",4,220,900)</f>
        <v/>
      </c>
      <c r="T167">
        <f>IMAGE("https://mitra.stanford.edu/kundaje/oak/projects/neuro-variants/variant_position/credible/roussos_2024/variant_figures/roussos_2024.adolescence.GLU/rs1923228_profile_position.png",4,220,900)</f>
        <v/>
      </c>
    </row>
    <row r="168">
      <c r="A168" t="inlineStr">
        <is>
          <t>chr1</t>
        </is>
      </c>
      <c r="B168" t="n">
        <v>73389332</v>
      </c>
      <c r="C168" t="inlineStr">
        <is>
          <t>C</t>
        </is>
      </c>
      <c r="D168" t="inlineStr">
        <is>
          <t>A</t>
        </is>
      </c>
      <c r="E168" t="inlineStr">
        <is>
          <t>rs11210227</t>
        </is>
      </c>
      <c r="F168" t="n">
        <v>-0.0111684651</v>
      </c>
      <c r="G168" t="n">
        <v>0.4877558546195217</v>
      </c>
      <c r="H168" t="n">
        <v>0.0140595594048612</v>
      </c>
      <c r="I168" t="n">
        <v>0.2040628304507891</v>
      </c>
      <c r="J168" t="n">
        <v>0.0237963578169763</v>
      </c>
      <c r="K168" t="n">
        <v>0.8031070904954799</v>
      </c>
      <c r="L168" t="b">
        <v>0</v>
      </c>
      <c r="M168" t="b">
        <v>0</v>
      </c>
      <c r="N168" t="inlineStr">
        <is>
          <t>ref</t>
        </is>
      </c>
      <c r="O168" t="n">
        <v>-30</v>
      </c>
      <c r="P168" t="n">
        <v>0.00659</v>
      </c>
      <c r="Q168" t="n">
        <v>75</v>
      </c>
      <c r="R168" t="n">
        <v>0.0564</v>
      </c>
      <c r="S168">
        <f>IMAGE("https://mitra.stanford.edu/kundaje/oak/projects/neuro-variants/variant_position/credible/roussos_2024/variant_figures/roussos_2024.adolescence.GLU/rs11210227_count_position.png",4,220,900)</f>
        <v/>
      </c>
      <c r="T168">
        <f>IMAGE("https://mitra.stanford.edu/kundaje/oak/projects/neuro-variants/variant_position/credible/roussos_2024/variant_figures/roussos_2024.adolescence.GLU/rs11210227_profile_position.png",4,220,900)</f>
        <v/>
      </c>
    </row>
    <row r="169">
      <c r="A169" t="inlineStr">
        <is>
          <t>chr1</t>
        </is>
      </c>
      <c r="B169" t="n">
        <v>73390408</v>
      </c>
      <c r="C169" t="inlineStr">
        <is>
          <t>A</t>
        </is>
      </c>
      <c r="D169" t="inlineStr">
        <is>
          <t>C</t>
        </is>
      </c>
      <c r="E169" t="inlineStr">
        <is>
          <t>rs55994666</t>
        </is>
      </c>
      <c r="F169" t="n">
        <v>0.00216341334</v>
      </c>
      <c r="G169" t="n">
        <v>0.767109427097571</v>
      </c>
      <c r="H169" t="n">
        <v>0.0331843649740407</v>
      </c>
      <c r="I169" t="n">
        <v>0.0060814667774303</v>
      </c>
      <c r="J169" t="n">
        <v>0.06971872745068609</v>
      </c>
      <c r="K169" t="n">
        <v>0.6427331924536072</v>
      </c>
      <c r="L169" t="b">
        <v>1</v>
      </c>
      <c r="M169" t="b">
        <v>1</v>
      </c>
      <c r="N169" t="inlineStr">
        <is>
          <t>alt</t>
        </is>
      </c>
      <c r="O169" t="n">
        <v>100</v>
      </c>
      <c r="P169" t="n">
        <v>0.01164</v>
      </c>
      <c r="Q169" t="n">
        <v>85</v>
      </c>
      <c r="R169" t="n">
        <v>0.05243</v>
      </c>
      <c r="S169">
        <f>IMAGE("https://mitra.stanford.edu/kundaje/oak/projects/neuro-variants/variant_position/credible/roussos_2024/variant_figures/roussos_2024.adolescence.GLU/rs55994666_count_position.png",4,220,900)</f>
        <v/>
      </c>
      <c r="T169">
        <f>IMAGE("https://mitra.stanford.edu/kundaje/oak/projects/neuro-variants/variant_position/credible/roussos_2024/variant_figures/roussos_2024.adolescence.GLU/rs55994666_profile_position.png",4,220,900)</f>
        <v/>
      </c>
    </row>
    <row r="170">
      <c r="A170" t="inlineStr">
        <is>
          <t>chr1</t>
        </is>
      </c>
      <c r="B170" t="n">
        <v>73469042</v>
      </c>
      <c r="C170" t="inlineStr">
        <is>
          <t>T</t>
        </is>
      </c>
      <c r="D170" t="inlineStr">
        <is>
          <t>A</t>
        </is>
      </c>
      <c r="E170" t="inlineStr">
        <is>
          <t>rs11210258</t>
        </is>
      </c>
      <c r="F170" t="n">
        <v>0.00728589654</v>
      </c>
      <c r="G170" t="n">
        <v>0.6123113104586988</v>
      </c>
      <c r="H170" t="n">
        <v>0.0167933035059936</v>
      </c>
      <c r="I170" t="n">
        <v>0.1229365157101756</v>
      </c>
      <c r="J170" t="n">
        <v>0.1008380307349378</v>
      </c>
      <c r="K170" t="n">
        <v>0.569305463745389</v>
      </c>
      <c r="L170" t="b">
        <v>0</v>
      </c>
      <c r="M170" t="b">
        <v>0</v>
      </c>
      <c r="N170" t="inlineStr">
        <is>
          <t>alt</t>
        </is>
      </c>
      <c r="O170" t="n">
        <v>-60</v>
      </c>
      <c r="P170" t="n">
        <v>0.004883</v>
      </c>
      <c r="Q170" t="n">
        <v>100</v>
      </c>
      <c r="R170" t="n">
        <v>0.04868</v>
      </c>
      <c r="S170">
        <f>IMAGE("https://mitra.stanford.edu/kundaje/oak/projects/neuro-variants/variant_position/credible/roussos_2024/variant_figures/roussos_2024.adolescence.GLU/rs11210258_count_position.png",4,220,900)</f>
        <v/>
      </c>
      <c r="T170">
        <f>IMAGE("https://mitra.stanford.edu/kundaje/oak/projects/neuro-variants/variant_position/credible/roussos_2024/variant_figures/roussos_2024.adolescence.GLU/rs11210258_profile_position.png",4,220,900)</f>
        <v/>
      </c>
    </row>
    <row r="171">
      <c r="A171" t="inlineStr">
        <is>
          <t>chr1</t>
        </is>
      </c>
      <c r="B171" t="n">
        <v>73495142</v>
      </c>
      <c r="C171" t="inlineStr">
        <is>
          <t>A</t>
        </is>
      </c>
      <c r="D171" t="inlineStr">
        <is>
          <t>G</t>
        </is>
      </c>
      <c r="E171" t="inlineStr">
        <is>
          <t>rs1546271</t>
        </is>
      </c>
      <c r="F171" t="n">
        <v>0.0034086618399999</v>
      </c>
      <c r="G171" t="n">
        <v>0.6641781056397598</v>
      </c>
      <c r="H171" t="n">
        <v>0.0185627852152369</v>
      </c>
      <c r="I171" t="n">
        <v>0.0763060281808806</v>
      </c>
      <c r="J171" t="n">
        <v>0.0178108322438218</v>
      </c>
      <c r="K171" t="n">
        <v>0.8271925823738987</v>
      </c>
      <c r="L171" t="b">
        <v>0</v>
      </c>
      <c r="M171" t="b">
        <v>0</v>
      </c>
      <c r="N171" t="inlineStr">
        <is>
          <t>alt</t>
        </is>
      </c>
      <c r="O171" t="n">
        <v>-45</v>
      </c>
      <c r="P171" t="n">
        <v>0.003479</v>
      </c>
      <c r="Q171" t="n">
        <v>-55</v>
      </c>
      <c r="R171" t="n">
        <v>0.00708</v>
      </c>
      <c r="S171">
        <f>IMAGE("https://mitra.stanford.edu/kundaje/oak/projects/neuro-variants/variant_position/credible/roussos_2024/variant_figures/roussos_2024.adolescence.GLU/rs1546271_count_position.png",4,220,900)</f>
        <v/>
      </c>
      <c r="T171">
        <f>IMAGE("https://mitra.stanford.edu/kundaje/oak/projects/neuro-variants/variant_position/credible/roussos_2024/variant_figures/roussos_2024.adolescence.GLU/rs1546271_profile_position.png",4,220,900)</f>
        <v/>
      </c>
    </row>
    <row r="172">
      <c r="A172" t="inlineStr">
        <is>
          <t>chr1</t>
        </is>
      </c>
      <c r="B172" t="n">
        <v>73517390</v>
      </c>
      <c r="C172" t="inlineStr">
        <is>
          <t>G</t>
        </is>
      </c>
      <c r="D172" t="inlineStr">
        <is>
          <t>T</t>
        </is>
      </c>
      <c r="E172" t="inlineStr">
        <is>
          <t>rs11210274</t>
        </is>
      </c>
      <c r="F172" t="n">
        <v>-0.1160299894</v>
      </c>
      <c r="G172" t="n">
        <v>0.0118597872485663</v>
      </c>
      <c r="H172" t="n">
        <v>0.0507002892955189</v>
      </c>
      <c r="I172" t="n">
        <v>0.0031858448415621</v>
      </c>
      <c r="J172" t="n">
        <v>0.0597880989633566</v>
      </c>
      <c r="K172" t="n">
        <v>0.6665021185023167</v>
      </c>
      <c r="L172" t="b">
        <v>1</v>
      </c>
      <c r="M172" t="b">
        <v>1</v>
      </c>
      <c r="N172" t="inlineStr">
        <is>
          <t>ref</t>
        </is>
      </c>
      <c r="O172" t="n">
        <v>30</v>
      </c>
      <c r="P172" t="n">
        <v>0.006042</v>
      </c>
      <c r="Q172" t="n">
        <v>30</v>
      </c>
      <c r="R172" t="n">
        <v>0.0393</v>
      </c>
      <c r="S172">
        <f>IMAGE("https://mitra.stanford.edu/kundaje/oak/projects/neuro-variants/variant_position/credible/roussos_2024/variant_figures/roussos_2024.adolescence.GLU/rs11210274_count_position.png",4,220,900)</f>
        <v/>
      </c>
      <c r="T172">
        <f>IMAGE("https://mitra.stanford.edu/kundaje/oak/projects/neuro-variants/variant_position/credible/roussos_2024/variant_figures/roussos_2024.adolescence.GLU/rs11210274_profile_position.png",4,220,900)</f>
        <v/>
      </c>
    </row>
    <row r="173">
      <c r="A173" t="inlineStr">
        <is>
          <t>chr1</t>
        </is>
      </c>
      <c r="B173" t="n">
        <v>73522466</v>
      </c>
      <c r="C173" t="inlineStr">
        <is>
          <t>C</t>
        </is>
      </c>
      <c r="D173" t="inlineStr">
        <is>
          <t>T</t>
        </is>
      </c>
      <c r="E173" t="inlineStr">
        <is>
          <t>rs12042444</t>
        </is>
      </c>
      <c r="F173" t="n">
        <v>-0.00498084004</v>
      </c>
      <c r="G173" t="n">
        <v>0.648292666564778</v>
      </c>
      <c r="H173" t="n">
        <v>0.0170429010057168</v>
      </c>
      <c r="I173" t="n">
        <v>0.103375112488478</v>
      </c>
      <c r="J173" t="n">
        <v>0.0309935629523257</v>
      </c>
      <c r="K173" t="n">
        <v>0.7660218209967081</v>
      </c>
      <c r="L173" t="b">
        <v>0</v>
      </c>
      <c r="M173" t="b">
        <v>0</v>
      </c>
      <c r="N173" t="inlineStr">
        <is>
          <t>ref</t>
        </is>
      </c>
      <c r="O173" t="n">
        <v>-100</v>
      </c>
      <c r="P173" t="n">
        <v>0.03836</v>
      </c>
      <c r="Q173" t="n">
        <v>-60</v>
      </c>
      <c r="R173" t="n">
        <v>0.01149</v>
      </c>
      <c r="S173">
        <f>IMAGE("https://mitra.stanford.edu/kundaje/oak/projects/neuro-variants/variant_position/credible/roussos_2024/variant_figures/roussos_2024.adolescence.GLU/rs12042444_count_position.png",4,220,900)</f>
        <v/>
      </c>
      <c r="T173">
        <f>IMAGE("https://mitra.stanford.edu/kundaje/oak/projects/neuro-variants/variant_position/credible/roussos_2024/variant_figures/roussos_2024.adolescence.GLU/rs12042444_profile_position.png",4,220,900)</f>
        <v/>
      </c>
    </row>
    <row r="174">
      <c r="A174" t="inlineStr">
        <is>
          <t>chr1</t>
        </is>
      </c>
      <c r="B174" t="n">
        <v>83724992</v>
      </c>
      <c r="C174" t="inlineStr">
        <is>
          <t>A</t>
        </is>
      </c>
      <c r="D174" t="inlineStr">
        <is>
          <t>G</t>
        </is>
      </c>
      <c r="E174" t="inlineStr">
        <is>
          <t>rs5006353</t>
        </is>
      </c>
      <c r="F174" t="n">
        <v>0.051942897</v>
      </c>
      <c r="G174" t="n">
        <v>0.0517593563626778</v>
      </c>
      <c r="H174" t="n">
        <v>0.0126910486946521</v>
      </c>
      <c r="I174" t="n">
        <v>0.2830667288626846</v>
      </c>
      <c r="J174" t="n">
        <v>0.1110572904387336</v>
      </c>
      <c r="K174" t="n">
        <v>0.5488983129466148</v>
      </c>
      <c r="L174" t="b">
        <v>0</v>
      </c>
      <c r="M174" t="b">
        <v>0</v>
      </c>
      <c r="N174" t="inlineStr">
        <is>
          <t>alt</t>
        </is>
      </c>
      <c r="O174" t="n">
        <v>-60</v>
      </c>
      <c r="P174" t="n">
        <v>0.004562</v>
      </c>
      <c r="Q174" t="n">
        <v>-65</v>
      </c>
      <c r="R174" t="n">
        <v>0.1273</v>
      </c>
      <c r="S174">
        <f>IMAGE("https://mitra.stanford.edu/kundaje/oak/projects/neuro-variants/variant_position/credible/roussos_2024/variant_figures/roussos_2024.adolescence.GLU/rs5006353_count_position.png",4,220,900)</f>
        <v/>
      </c>
      <c r="T174">
        <f>IMAGE("https://mitra.stanford.edu/kundaje/oak/projects/neuro-variants/variant_position/credible/roussos_2024/variant_figures/roussos_2024.adolescence.GLU/rs5006353_profile_position.png",4,220,900)</f>
        <v/>
      </c>
    </row>
    <row r="175">
      <c r="A175" t="inlineStr">
        <is>
          <t>chr1</t>
        </is>
      </c>
      <c r="B175" t="n">
        <v>83753003</v>
      </c>
      <c r="C175" t="inlineStr">
        <is>
          <t>G</t>
        </is>
      </c>
      <c r="D175" t="inlineStr">
        <is>
          <t>T</t>
        </is>
      </c>
      <c r="E175" t="inlineStr">
        <is>
          <t>rs17577938</t>
        </is>
      </c>
      <c r="F175" t="n">
        <v>-0.0156916792</v>
      </c>
      <c r="G175" t="n">
        <v>0.3756994493100909</v>
      </c>
      <c r="H175" t="n">
        <v>0.0207239905695856</v>
      </c>
      <c r="I175" t="n">
        <v>0.0504154060553854</v>
      </c>
      <c r="J175" t="n">
        <v>0.07322659693793709</v>
      </c>
      <c r="K175" t="n">
        <v>0.634092462367186</v>
      </c>
      <c r="L175" t="b">
        <v>0</v>
      </c>
      <c r="M175" t="b">
        <v>0</v>
      </c>
      <c r="N175" t="inlineStr">
        <is>
          <t>ref</t>
        </is>
      </c>
      <c r="O175" t="n">
        <v>-80</v>
      </c>
      <c r="P175" t="n">
        <v>0.012535</v>
      </c>
      <c r="Q175" t="n">
        <v>-100</v>
      </c>
      <c r="R175" t="n">
        <v>0.08057</v>
      </c>
      <c r="S175">
        <f>IMAGE("https://mitra.stanford.edu/kundaje/oak/projects/neuro-variants/variant_position/credible/roussos_2024/variant_figures/roussos_2024.adolescence.GLU/rs17577938_count_position.png",4,220,900)</f>
        <v/>
      </c>
      <c r="T175">
        <f>IMAGE("https://mitra.stanford.edu/kundaje/oak/projects/neuro-variants/variant_position/credible/roussos_2024/variant_figures/roussos_2024.adolescence.GLU/rs17577938_profile_position.png",4,220,900)</f>
        <v/>
      </c>
    </row>
    <row r="176">
      <c r="A176" t="inlineStr">
        <is>
          <t>chr1</t>
        </is>
      </c>
      <c r="B176" t="n">
        <v>83801500</v>
      </c>
      <c r="C176" t="inlineStr">
        <is>
          <t>C</t>
        </is>
      </c>
      <c r="D176" t="inlineStr">
        <is>
          <t>G</t>
        </is>
      </c>
      <c r="E176" t="inlineStr">
        <is>
          <t>rs761406</t>
        </is>
      </c>
      <c r="F176" t="n">
        <v>-0.01040116096</v>
      </c>
      <c r="G176" t="n">
        <v>0.5173696430795397</v>
      </c>
      <c r="H176" t="n">
        <v>0.008902028535239</v>
      </c>
      <c r="I176" t="n">
        <v>0.6655337964847602</v>
      </c>
      <c r="J176" t="n">
        <v>0.0240164033978466</v>
      </c>
      <c r="K176" t="n">
        <v>0.799277902381876</v>
      </c>
      <c r="L176" t="b">
        <v>0</v>
      </c>
      <c r="M176" t="b">
        <v>0</v>
      </c>
      <c r="N176" t="inlineStr">
        <is>
          <t>ref</t>
        </is>
      </c>
      <c r="O176" t="n">
        <v>-30</v>
      </c>
      <c r="P176" t="n">
        <v>0.005577</v>
      </c>
      <c r="Q176" t="n">
        <v>90</v>
      </c>
      <c r="R176" t="n">
        <v>0.07294</v>
      </c>
      <c r="S176">
        <f>IMAGE("https://mitra.stanford.edu/kundaje/oak/projects/neuro-variants/variant_position/credible/roussos_2024/variant_figures/roussos_2024.adolescence.GLU/rs761406_count_position.png",4,220,900)</f>
        <v/>
      </c>
      <c r="T176">
        <f>IMAGE("https://mitra.stanford.edu/kundaje/oak/projects/neuro-variants/variant_position/credible/roussos_2024/variant_figures/roussos_2024.adolescence.GLU/rs761406_profile_position.png",4,220,900)</f>
        <v/>
      </c>
    </row>
    <row r="177">
      <c r="A177" t="inlineStr">
        <is>
          <t>chr1</t>
        </is>
      </c>
      <c r="B177" t="n">
        <v>96439584</v>
      </c>
      <c r="C177" t="inlineStr">
        <is>
          <t>A</t>
        </is>
      </c>
      <c r="D177" t="inlineStr">
        <is>
          <t>G</t>
        </is>
      </c>
      <c r="E177" t="inlineStr">
        <is>
          <t>rs12756558</t>
        </is>
      </c>
      <c r="F177" t="n">
        <v>0.0546932372</v>
      </c>
      <c r="G177" t="n">
        <v>0.0469680479023154</v>
      </c>
      <c r="H177" t="n">
        <v>0.0112016843010858</v>
      </c>
      <c r="I177" t="n">
        <v>0.3980990034472465</v>
      </c>
      <c r="J177" t="n">
        <v>0.3058790749512399</v>
      </c>
      <c r="K177" t="n">
        <v>0.2649235297943177</v>
      </c>
      <c r="L177" t="b">
        <v>0</v>
      </c>
      <c r="M177" t="b">
        <v>0</v>
      </c>
      <c r="N177" t="inlineStr">
        <is>
          <t>alt</t>
        </is>
      </c>
      <c r="O177" t="n">
        <v>100</v>
      </c>
      <c r="P177" t="n">
        <v>0.001255</v>
      </c>
      <c r="Q177" t="n">
        <v>-100</v>
      </c>
      <c r="R177" t="n">
        <v>0.08636000000000001</v>
      </c>
      <c r="S177">
        <f>IMAGE("https://mitra.stanford.edu/kundaje/oak/projects/neuro-variants/variant_position/credible/roussos_2024/variant_figures/roussos_2024.adolescence.GLU/rs12756558_count_position.png",4,220,900)</f>
        <v/>
      </c>
      <c r="T177">
        <f>IMAGE("https://mitra.stanford.edu/kundaje/oak/projects/neuro-variants/variant_position/credible/roussos_2024/variant_figures/roussos_2024.adolescence.GLU/rs12756558_profile_position.png",4,220,900)</f>
        <v/>
      </c>
    </row>
    <row r="178">
      <c r="A178" t="inlineStr">
        <is>
          <t>chr1</t>
        </is>
      </c>
      <c r="B178" t="n">
        <v>96648359</v>
      </c>
      <c r="C178" t="inlineStr">
        <is>
          <t>T</t>
        </is>
      </c>
      <c r="D178" t="inlineStr">
        <is>
          <t>G</t>
        </is>
      </c>
      <c r="E178" t="inlineStr">
        <is>
          <t>rs12071951</t>
        </is>
      </c>
      <c r="F178" t="n">
        <v>0.0368964976</v>
      </c>
      <c r="G178" t="n">
        <v>0.118455981825467</v>
      </c>
      <c r="H178" t="n">
        <v>0.0162640271496938</v>
      </c>
      <c r="I178" t="n">
        <v>0.1382111737200167</v>
      </c>
      <c r="J178" t="n">
        <v>0.0442434504290173</v>
      </c>
      <c r="K178" t="n">
        <v>0.7151345190366615</v>
      </c>
      <c r="L178" t="b">
        <v>0</v>
      </c>
      <c r="M178" t="b">
        <v>0</v>
      </c>
      <c r="N178" t="inlineStr">
        <is>
          <t>alt</t>
        </is>
      </c>
      <c r="O178" t="n">
        <v>-100</v>
      </c>
      <c r="P178" t="n">
        <v>0.01137</v>
      </c>
      <c r="Q178" t="n">
        <v>-50</v>
      </c>
      <c r="R178" t="n">
        <v>0.1042</v>
      </c>
      <c r="S178">
        <f>IMAGE("https://mitra.stanford.edu/kundaje/oak/projects/neuro-variants/variant_position/credible/roussos_2024/variant_figures/roussos_2024.adolescence.GLU/rs12071951_count_position.png",4,220,900)</f>
        <v/>
      </c>
      <c r="T178">
        <f>IMAGE("https://mitra.stanford.edu/kundaje/oak/projects/neuro-variants/variant_position/credible/roussos_2024/variant_figures/roussos_2024.adolescence.GLU/rs12071951_profile_position.png",4,220,900)</f>
        <v/>
      </c>
    </row>
    <row r="179">
      <c r="A179" t="inlineStr">
        <is>
          <t>chr1</t>
        </is>
      </c>
      <c r="B179" t="n">
        <v>96650059</v>
      </c>
      <c r="C179" t="inlineStr">
        <is>
          <t>G</t>
        </is>
      </c>
      <c r="D179" t="inlineStr">
        <is>
          <t>T</t>
        </is>
      </c>
      <c r="E179" t="inlineStr">
        <is>
          <t>rs7528506</t>
        </is>
      </c>
      <c r="F179" t="n">
        <v>-0.00275079974</v>
      </c>
      <c r="G179" t="n">
        <v>0.7397654793870555</v>
      </c>
      <c r="H179" t="n">
        <v>0.0085538425472202</v>
      </c>
      <c r="I179" t="n">
        <v>0.7223475654746011</v>
      </c>
      <c r="J179" t="n">
        <v>0.0568131970193825</v>
      </c>
      <c r="K179" t="n">
        <v>0.6831565251709351</v>
      </c>
      <c r="L179" t="b">
        <v>0</v>
      </c>
      <c r="M179" t="b">
        <v>0</v>
      </c>
      <c r="N179" t="inlineStr">
        <is>
          <t>ref</t>
        </is>
      </c>
      <c r="O179" t="n">
        <v>-95</v>
      </c>
      <c r="P179" t="n">
        <v>0.01415</v>
      </c>
      <c r="Q179" t="n">
        <v>-95</v>
      </c>
      <c r="R179" t="n">
        <v>0.0877</v>
      </c>
      <c r="S179">
        <f>IMAGE("https://mitra.stanford.edu/kundaje/oak/projects/neuro-variants/variant_position/credible/roussos_2024/variant_figures/roussos_2024.adolescence.GLU/rs7528506_count_position.png",4,220,900)</f>
        <v/>
      </c>
      <c r="T179">
        <f>IMAGE("https://mitra.stanford.edu/kundaje/oak/projects/neuro-variants/variant_position/credible/roussos_2024/variant_figures/roussos_2024.adolescence.GLU/rs7528506_profile_position.png",4,220,900)</f>
        <v/>
      </c>
    </row>
    <row r="180">
      <c r="A180" t="inlineStr">
        <is>
          <t>chr1</t>
        </is>
      </c>
      <c r="B180" t="n">
        <v>96650984</v>
      </c>
      <c r="C180" t="inlineStr">
        <is>
          <t>T</t>
        </is>
      </c>
      <c r="D180" t="inlineStr">
        <is>
          <t>G</t>
        </is>
      </c>
      <c r="E180" t="inlineStr">
        <is>
          <t>rs59012322</t>
        </is>
      </c>
      <c r="F180" t="n">
        <v>-0.0230166107999999</v>
      </c>
      <c r="G180" t="n">
        <v>0.2635830086895638</v>
      </c>
      <c r="H180" t="n">
        <v>0.0224126215964834</v>
      </c>
      <c r="I180" t="n">
        <v>0.0383495781985507</v>
      </c>
      <c r="J180" t="n">
        <v>0.2045666602367633</v>
      </c>
      <c r="K180" t="n">
        <v>0.3957817477611542</v>
      </c>
      <c r="L180" t="b">
        <v>0</v>
      </c>
      <c r="M180" t="b">
        <v>0</v>
      </c>
      <c r="N180" t="inlineStr">
        <is>
          <t>ref</t>
        </is>
      </c>
      <c r="O180" t="n">
        <v>-65</v>
      </c>
      <c r="P180" t="n">
        <v>0.002892</v>
      </c>
      <c r="Q180" t="n">
        <v>75</v>
      </c>
      <c r="R180" t="n">
        <v>0.10974</v>
      </c>
      <c r="S180">
        <f>IMAGE("https://mitra.stanford.edu/kundaje/oak/projects/neuro-variants/variant_position/credible/roussos_2024/variant_figures/roussos_2024.adolescence.GLU/rs59012322_count_position.png",4,220,900)</f>
        <v/>
      </c>
      <c r="T180">
        <f>IMAGE("https://mitra.stanford.edu/kundaje/oak/projects/neuro-variants/variant_position/credible/roussos_2024/variant_figures/roussos_2024.adolescence.GLU/rs59012322_profile_position.png",4,220,900)</f>
        <v/>
      </c>
    </row>
    <row r="181">
      <c r="A181" t="inlineStr">
        <is>
          <t>chr1</t>
        </is>
      </c>
      <c r="B181" t="n">
        <v>96652079</v>
      </c>
      <c r="C181" t="inlineStr">
        <is>
          <t>C</t>
        </is>
      </c>
      <c r="D181" t="inlineStr">
        <is>
          <t>T</t>
        </is>
      </c>
      <c r="E181" t="inlineStr">
        <is>
          <t>rs6659919</t>
        </is>
      </c>
      <c r="F181" t="n">
        <v>0.0115963707</v>
      </c>
      <c r="G181" t="n">
        <v>0.470711476007068</v>
      </c>
      <c r="H181" t="n">
        <v>0.0151136510463671</v>
      </c>
      <c r="I181" t="n">
        <v>0.1693692659537378</v>
      </c>
      <c r="J181" t="n">
        <v>0.3000635845996671</v>
      </c>
      <c r="K181" t="n">
        <v>0.2714974585195118</v>
      </c>
      <c r="L181" t="b">
        <v>0</v>
      </c>
      <c r="M181" t="b">
        <v>0</v>
      </c>
      <c r="N181" t="inlineStr">
        <is>
          <t>alt</t>
        </is>
      </c>
      <c r="O181" t="n">
        <v>-20</v>
      </c>
      <c r="P181" t="n">
        <v>0.001755</v>
      </c>
      <c r="Q181" t="n">
        <v>-85</v>
      </c>
      <c r="R181" t="n">
        <v>0.09296</v>
      </c>
      <c r="S181">
        <f>IMAGE("https://mitra.stanford.edu/kundaje/oak/projects/neuro-variants/variant_position/credible/roussos_2024/variant_figures/roussos_2024.adolescence.GLU/rs6659919_count_position.png",4,220,900)</f>
        <v/>
      </c>
      <c r="T181">
        <f>IMAGE("https://mitra.stanford.edu/kundaje/oak/projects/neuro-variants/variant_position/credible/roussos_2024/variant_figures/roussos_2024.adolescence.GLU/rs6659919_profile_position.png",4,220,900)</f>
        <v/>
      </c>
    </row>
    <row r="182">
      <c r="A182" t="inlineStr">
        <is>
          <t>chr1</t>
        </is>
      </c>
      <c r="B182" t="n">
        <v>96664630</v>
      </c>
      <c r="C182" t="inlineStr">
        <is>
          <t>A</t>
        </is>
      </c>
      <c r="D182" t="inlineStr">
        <is>
          <t>G</t>
        </is>
      </c>
      <c r="E182" t="inlineStr">
        <is>
          <t>rs12042074</t>
        </is>
      </c>
      <c r="F182" t="n">
        <v>0.027484121</v>
      </c>
      <c r="G182" t="n">
        <v>0.2030726068109822</v>
      </c>
      <c r="H182" t="n">
        <v>0.0135299679266221</v>
      </c>
      <c r="I182" t="n">
        <v>0.2461799332527844</v>
      </c>
      <c r="J182" t="n">
        <v>0.0019775524930163</v>
      </c>
      <c r="K182" t="n">
        <v>0.9591578348992428</v>
      </c>
      <c r="L182" t="b">
        <v>0</v>
      </c>
      <c r="M182" t="b">
        <v>0</v>
      </c>
      <c r="N182" t="inlineStr">
        <is>
          <t>alt</t>
        </is>
      </c>
      <c r="O182" t="n">
        <v>-25</v>
      </c>
      <c r="P182" t="n">
        <v>0.002254</v>
      </c>
      <c r="Q182" t="n">
        <v>45</v>
      </c>
      <c r="R182" t="n">
        <v>0.02608</v>
      </c>
      <c r="S182">
        <f>IMAGE("https://mitra.stanford.edu/kundaje/oak/projects/neuro-variants/variant_position/credible/roussos_2024/variant_figures/roussos_2024.adolescence.GLU/rs12042074_count_position.png",4,220,900)</f>
        <v/>
      </c>
      <c r="T182">
        <f>IMAGE("https://mitra.stanford.edu/kundaje/oak/projects/neuro-variants/variant_position/credible/roussos_2024/variant_figures/roussos_2024.adolescence.GLU/rs12042074_profile_position.png",4,220,900)</f>
        <v/>
      </c>
    </row>
    <row r="183">
      <c r="A183" t="inlineStr">
        <is>
          <t>chr1</t>
        </is>
      </c>
      <c r="B183" t="n">
        <v>96667513</v>
      </c>
      <c r="C183" t="inlineStr">
        <is>
          <t>A</t>
        </is>
      </c>
      <c r="D183" t="inlineStr">
        <is>
          <t>G</t>
        </is>
      </c>
      <c r="E183" t="inlineStr">
        <is>
          <t>rs6688086</t>
        </is>
      </c>
      <c r="F183" t="n">
        <v>0.0041513444999999</v>
      </c>
      <c r="G183" t="n">
        <v>0.7365605031040882</v>
      </c>
      <c r="H183" t="n">
        <v>0.0091879840848362</v>
      </c>
      <c r="I183" t="n">
        <v>0.62466514643196</v>
      </c>
      <c r="J183" t="n">
        <v>0.0045109344078415</v>
      </c>
      <c r="K183" t="n">
        <v>0.9224617207803441</v>
      </c>
      <c r="L183" t="b">
        <v>0</v>
      </c>
      <c r="M183" t="b">
        <v>0</v>
      </c>
      <c r="N183" t="inlineStr">
        <is>
          <t>alt</t>
        </is>
      </c>
      <c r="O183" t="n">
        <v>-20</v>
      </c>
      <c r="P183" t="n">
        <v>0.002617</v>
      </c>
      <c r="Q183" t="n">
        <v>25</v>
      </c>
      <c r="R183" t="n">
        <v>0.00759</v>
      </c>
      <c r="S183">
        <f>IMAGE("https://mitra.stanford.edu/kundaje/oak/projects/neuro-variants/variant_position/credible/roussos_2024/variant_figures/roussos_2024.adolescence.GLU/rs6688086_count_position.png",4,220,900)</f>
        <v/>
      </c>
      <c r="T183">
        <f>IMAGE("https://mitra.stanford.edu/kundaje/oak/projects/neuro-variants/variant_position/credible/roussos_2024/variant_figures/roussos_2024.adolescence.GLU/rs6688086_profile_position.png",4,220,900)</f>
        <v/>
      </c>
    </row>
    <row r="184">
      <c r="A184" t="inlineStr">
        <is>
          <t>chr1</t>
        </is>
      </c>
      <c r="B184" t="n">
        <v>96678583</v>
      </c>
      <c r="C184" t="inlineStr">
        <is>
          <t>C</t>
        </is>
      </c>
      <c r="D184" t="inlineStr">
        <is>
          <t>T</t>
        </is>
      </c>
      <c r="E184" t="inlineStr">
        <is>
          <t>rs12027165</t>
        </is>
      </c>
      <c r="F184" t="n">
        <v>-0.045415124</v>
      </c>
      <c r="G184" t="n">
        <v>0.08688349038345999</v>
      </c>
      <c r="H184" t="n">
        <v>0.0098712096301875</v>
      </c>
      <c r="I184" t="n">
        <v>0.5533243305079703</v>
      </c>
      <c r="J184" t="n">
        <v>0.1815418908202413</v>
      </c>
      <c r="K184" t="n">
        <v>0.4250984135431126</v>
      </c>
      <c r="L184" t="b">
        <v>0</v>
      </c>
      <c r="M184" t="b">
        <v>0</v>
      </c>
      <c r="N184" t="inlineStr">
        <is>
          <t>ref</t>
        </is>
      </c>
      <c r="O184" t="n">
        <v>100</v>
      </c>
      <c r="P184" t="n">
        <v>0.00531</v>
      </c>
      <c r="Q184" t="n">
        <v>-40</v>
      </c>
      <c r="R184" t="n">
        <v>0.01782</v>
      </c>
      <c r="S184">
        <f>IMAGE("https://mitra.stanford.edu/kundaje/oak/projects/neuro-variants/variant_position/credible/roussos_2024/variant_figures/roussos_2024.adolescence.GLU/rs12027165_count_position.png",4,220,900)</f>
        <v/>
      </c>
      <c r="T184">
        <f>IMAGE("https://mitra.stanford.edu/kundaje/oak/projects/neuro-variants/variant_position/credible/roussos_2024/variant_figures/roussos_2024.adolescence.GLU/rs12027165_profile_position.png",4,220,900)</f>
        <v/>
      </c>
    </row>
    <row r="185">
      <c r="A185" t="inlineStr">
        <is>
          <t>chr1</t>
        </is>
      </c>
      <c r="B185" t="n">
        <v>96687003</v>
      </c>
      <c r="C185" t="inlineStr">
        <is>
          <t>T</t>
        </is>
      </c>
      <c r="D185" t="inlineStr">
        <is>
          <t>C</t>
        </is>
      </c>
      <c r="E185" t="inlineStr">
        <is>
          <t>rs1496116</t>
        </is>
      </c>
      <c r="F185" t="n">
        <v>0.0411907778</v>
      </c>
      <c r="G185" t="n">
        <v>0.1005113425073573</v>
      </c>
      <c r="H185" t="n">
        <v>0.0122481652207997</v>
      </c>
      <c r="I185" t="n">
        <v>0.3151004427343467</v>
      </c>
      <c r="J185" t="n">
        <v>0.0591079580770302</v>
      </c>
      <c r="K185" t="n">
        <v>0.6700996559597199</v>
      </c>
      <c r="L185" t="b">
        <v>0</v>
      </c>
      <c r="M185" t="b">
        <v>0</v>
      </c>
      <c r="N185" t="inlineStr">
        <is>
          <t>alt</t>
        </is>
      </c>
      <c r="O185" t="n">
        <v>-100</v>
      </c>
      <c r="P185" t="n">
        <v>0.006813</v>
      </c>
      <c r="Q185" t="n">
        <v>-15</v>
      </c>
      <c r="R185" t="n">
        <v>0.01245</v>
      </c>
      <c r="S185">
        <f>IMAGE("https://mitra.stanford.edu/kundaje/oak/projects/neuro-variants/variant_position/credible/roussos_2024/variant_figures/roussos_2024.adolescence.GLU/rs1496116_count_position.png",4,220,900)</f>
        <v/>
      </c>
      <c r="T185">
        <f>IMAGE("https://mitra.stanford.edu/kundaje/oak/projects/neuro-variants/variant_position/credible/roussos_2024/variant_figures/roussos_2024.adolescence.GLU/rs1496116_profile_position.png",4,220,900)</f>
        <v/>
      </c>
    </row>
    <row r="186">
      <c r="A186" t="inlineStr">
        <is>
          <t>chr1</t>
        </is>
      </c>
      <c r="B186" t="n">
        <v>96708350</v>
      </c>
      <c r="C186" t="inlineStr">
        <is>
          <t>T</t>
        </is>
      </c>
      <c r="D186" t="inlineStr">
        <is>
          <t>C</t>
        </is>
      </c>
      <c r="E186" t="inlineStr">
        <is>
          <t>rs12031518</t>
        </is>
      </c>
      <c r="F186" t="n">
        <v>0.07079816899999999</v>
      </c>
      <c r="G186" t="n">
        <v>0.0250809436142224</v>
      </c>
      <c r="H186" t="n">
        <v>0.0173211003428777</v>
      </c>
      <c r="I186" t="n">
        <v>0.1059473501562347</v>
      </c>
      <c r="J186" t="n">
        <v>0.2123668474183937</v>
      </c>
      <c r="K186" t="n">
        <v>0.3805289225935607</v>
      </c>
      <c r="L186" t="b">
        <v>0</v>
      </c>
      <c r="M186" t="b">
        <v>0</v>
      </c>
      <c r="N186" t="inlineStr">
        <is>
          <t>alt</t>
        </is>
      </c>
      <c r="O186" t="n">
        <v>-40</v>
      </c>
      <c r="P186" t="n">
        <v>0.0002232</v>
      </c>
      <c r="Q186" t="n">
        <v>-40</v>
      </c>
      <c r="R186" t="n">
        <v>0.04126</v>
      </c>
      <c r="S186">
        <f>IMAGE("https://mitra.stanford.edu/kundaje/oak/projects/neuro-variants/variant_position/credible/roussos_2024/variant_figures/roussos_2024.adolescence.GLU/rs12031518_count_position.png",4,220,900)</f>
        <v/>
      </c>
      <c r="T186">
        <f>IMAGE("https://mitra.stanford.edu/kundaje/oak/projects/neuro-variants/variant_position/credible/roussos_2024/variant_figures/roussos_2024.adolescence.GLU/rs12031518_profile_position.png",4,220,900)</f>
        <v/>
      </c>
    </row>
    <row r="187">
      <c r="A187" t="inlineStr">
        <is>
          <t>chr1</t>
        </is>
      </c>
      <c r="B187" t="n">
        <v>96713505</v>
      </c>
      <c r="C187" t="inlineStr">
        <is>
          <t>T</t>
        </is>
      </c>
      <c r="D187" t="inlineStr">
        <is>
          <t>G</t>
        </is>
      </c>
      <c r="E187" t="inlineStr">
        <is>
          <t>rs2132427</t>
        </is>
      </c>
      <c r="F187" t="n">
        <v>0.008771470999999999</v>
      </c>
      <c r="G187" t="n">
        <v>0.5553689132586961</v>
      </c>
      <c r="H187" t="n">
        <v>0.0185280911469366</v>
      </c>
      <c r="I187" t="n">
        <v>0.0756116006752317</v>
      </c>
      <c r="J187" t="n">
        <v>0.0307206492773502</v>
      </c>
      <c r="K187" t="n">
        <v>0.7685227897701042</v>
      </c>
      <c r="L187" t="b">
        <v>0</v>
      </c>
      <c r="M187" t="b">
        <v>0</v>
      </c>
      <c r="N187" t="inlineStr">
        <is>
          <t>alt</t>
        </is>
      </c>
      <c r="O187" t="n">
        <v>65</v>
      </c>
      <c r="P187" t="n">
        <v>0.00346</v>
      </c>
      <c r="Q187" t="n">
        <v>80</v>
      </c>
      <c r="R187" t="n">
        <v>0.0849</v>
      </c>
      <c r="S187">
        <f>IMAGE("https://mitra.stanford.edu/kundaje/oak/projects/neuro-variants/variant_position/credible/roussos_2024/variant_figures/roussos_2024.adolescence.GLU/rs2132427_count_position.png",4,220,900)</f>
        <v/>
      </c>
      <c r="T187">
        <f>IMAGE("https://mitra.stanford.edu/kundaje/oak/projects/neuro-variants/variant_position/credible/roussos_2024/variant_figures/roussos_2024.adolescence.GLU/rs2132427_profile_position.png",4,220,900)</f>
        <v/>
      </c>
    </row>
    <row r="188">
      <c r="A188" t="inlineStr">
        <is>
          <t>chr1</t>
        </is>
      </c>
      <c r="B188" t="n">
        <v>96818940</v>
      </c>
      <c r="C188" t="inlineStr">
        <is>
          <t>C</t>
        </is>
      </c>
      <c r="D188" t="inlineStr">
        <is>
          <t>A</t>
        </is>
      </c>
      <c r="E188" t="inlineStr">
        <is>
          <t>rs10875035</t>
        </is>
      </c>
      <c r="F188" t="n">
        <v>-0.0161211177</v>
      </c>
      <c r="G188" t="n">
        <v>0.3690930040868543</v>
      </c>
      <c r="H188" t="n">
        <v>0.0094453116128902</v>
      </c>
      <c r="I188" t="n">
        <v>0.599436584937342</v>
      </c>
      <c r="J188" t="n">
        <v>0.008025948232133699</v>
      </c>
      <c r="K188" t="n">
        <v>0.8923836820857791</v>
      </c>
      <c r="L188" t="b">
        <v>0</v>
      </c>
      <c r="M188" t="b">
        <v>0</v>
      </c>
      <c r="N188" t="inlineStr">
        <is>
          <t>ref</t>
        </is>
      </c>
      <c r="O188" t="n">
        <v>-100</v>
      </c>
      <c r="P188" t="n">
        <v>0.01915</v>
      </c>
      <c r="Q188" t="n">
        <v>-100</v>
      </c>
      <c r="R188" t="n">
        <v>0.04016</v>
      </c>
      <c r="S188">
        <f>IMAGE("https://mitra.stanford.edu/kundaje/oak/projects/neuro-variants/variant_position/credible/roussos_2024/variant_figures/roussos_2024.adolescence.GLU/rs10875035_count_position.png",4,220,900)</f>
        <v/>
      </c>
      <c r="T188">
        <f>IMAGE("https://mitra.stanford.edu/kundaje/oak/projects/neuro-variants/variant_position/credible/roussos_2024/variant_figures/roussos_2024.adolescence.GLU/rs10875035_profile_position.png",4,220,900)</f>
        <v/>
      </c>
    </row>
    <row r="189">
      <c r="A189" t="inlineStr">
        <is>
          <t>chr1</t>
        </is>
      </c>
      <c r="B189" t="n">
        <v>97332630</v>
      </c>
      <c r="C189" t="inlineStr">
        <is>
          <t>A</t>
        </is>
      </c>
      <c r="D189" t="inlineStr">
        <is>
          <t>G</t>
        </is>
      </c>
      <c r="E189" t="inlineStr">
        <is>
          <t>rs12407539</t>
        </is>
      </c>
      <c r="F189" t="n">
        <v>0.0324382507399999</v>
      </c>
      <c r="G189" t="n">
        <v>0.1860883107269331</v>
      </c>
      <c r="H189" t="n">
        <v>0.0156778611984531</v>
      </c>
      <c r="I189" t="n">
        <v>0.1811446182329821</v>
      </c>
      <c r="J189" t="n">
        <v>0.0841159954562016</v>
      </c>
      <c r="K189" t="n">
        <v>0.602295032555257</v>
      </c>
      <c r="L189" t="b">
        <v>0</v>
      </c>
      <c r="M189" t="b">
        <v>0</v>
      </c>
      <c r="N189" t="inlineStr">
        <is>
          <t>alt</t>
        </is>
      </c>
      <c r="O189" t="n">
        <v>55</v>
      </c>
      <c r="P189" t="n">
        <v>0.001427</v>
      </c>
      <c r="Q189" t="n">
        <v>-60</v>
      </c>
      <c r="R189" t="n">
        <v>0.03943</v>
      </c>
      <c r="S189">
        <f>IMAGE("https://mitra.stanford.edu/kundaje/oak/projects/neuro-variants/variant_position/credible/roussos_2024/variant_figures/roussos_2024.adolescence.GLU/rs12407539_count_position.png",4,220,900)</f>
        <v/>
      </c>
      <c r="T189">
        <f>IMAGE("https://mitra.stanford.edu/kundaje/oak/projects/neuro-variants/variant_position/credible/roussos_2024/variant_figures/roussos_2024.adolescence.GLU/rs12407539_profile_position.png",4,220,900)</f>
        <v/>
      </c>
    </row>
    <row r="190">
      <c r="A190" t="inlineStr">
        <is>
          <t>chr1</t>
        </is>
      </c>
      <c r="B190" t="n">
        <v>97337068</v>
      </c>
      <c r="C190" t="inlineStr">
        <is>
          <t>A</t>
        </is>
      </c>
      <c r="D190" t="inlineStr">
        <is>
          <t>G</t>
        </is>
      </c>
      <c r="E190" t="inlineStr">
        <is>
          <t>rs36025579</t>
        </is>
      </c>
      <c r="F190" t="n">
        <v>-0.00207746364</v>
      </c>
      <c r="G190" t="n">
        <v>0.5872793745546897</v>
      </c>
      <c r="H190" t="n">
        <v>0.0234041909182024</v>
      </c>
      <c r="I190" t="n">
        <v>0.0283021308901071</v>
      </c>
      <c r="J190" t="n">
        <v>0.1612376849490251</v>
      </c>
      <c r="K190" t="n">
        <v>0.4582707687305394</v>
      </c>
      <c r="L190" t="b">
        <v>0</v>
      </c>
      <c r="M190" t="b">
        <v>0</v>
      </c>
      <c r="N190" t="inlineStr">
        <is>
          <t>ref</t>
        </is>
      </c>
      <c r="O190" t="n">
        <v>95</v>
      </c>
      <c r="P190" t="n">
        <v>0.01381</v>
      </c>
      <c r="Q190" t="n">
        <v>80</v>
      </c>
      <c r="R190" t="n">
        <v>0.05966</v>
      </c>
      <c r="S190">
        <f>IMAGE("https://mitra.stanford.edu/kundaje/oak/projects/neuro-variants/variant_position/credible/roussos_2024/variant_figures/roussos_2024.adolescence.GLU/rs36025579_count_position.png",4,220,900)</f>
        <v/>
      </c>
      <c r="T190">
        <f>IMAGE("https://mitra.stanford.edu/kundaje/oak/projects/neuro-variants/variant_position/credible/roussos_2024/variant_figures/roussos_2024.adolescence.GLU/rs36025579_profile_position.png",4,220,900)</f>
        <v/>
      </c>
    </row>
    <row r="191">
      <c r="A191" t="inlineStr">
        <is>
          <t>chr1</t>
        </is>
      </c>
      <c r="B191" t="n">
        <v>97358196</v>
      </c>
      <c r="C191" t="inlineStr">
        <is>
          <t>T</t>
        </is>
      </c>
      <c r="D191" t="inlineStr">
        <is>
          <t>C</t>
        </is>
      </c>
      <c r="E191" t="inlineStr">
        <is>
          <t>rs10875073</t>
        </is>
      </c>
      <c r="F191" t="n">
        <v>0.0689662412</v>
      </c>
      <c r="G191" t="n">
        <v>0.0234633178533757</v>
      </c>
      <c r="H191" t="n">
        <v>0.0130707161333242</v>
      </c>
      <c r="I191" t="n">
        <v>0.2606811906460871</v>
      </c>
      <c r="J191" t="n">
        <v>0.3737231283623036</v>
      </c>
      <c r="K191" t="n">
        <v>0.1914289165105891</v>
      </c>
      <c r="L191" t="b">
        <v>0</v>
      </c>
      <c r="M191" t="b">
        <v>0</v>
      </c>
      <c r="N191" t="inlineStr">
        <is>
          <t>alt</t>
        </is>
      </c>
      <c r="O191" t="n">
        <v>15</v>
      </c>
      <c r="P191" t="n">
        <v>0.002552</v>
      </c>
      <c r="Q191" t="n">
        <v>80</v>
      </c>
      <c r="R191" t="n">
        <v>0.02942</v>
      </c>
      <c r="S191">
        <f>IMAGE("https://mitra.stanford.edu/kundaje/oak/projects/neuro-variants/variant_position/credible/roussos_2024/variant_figures/roussos_2024.adolescence.GLU/rs10875073_count_position.png",4,220,900)</f>
        <v/>
      </c>
      <c r="T191">
        <f>IMAGE("https://mitra.stanford.edu/kundaje/oak/projects/neuro-variants/variant_position/credible/roussos_2024/variant_figures/roussos_2024.adolescence.GLU/rs10875073_profile_position.png",4,220,900)</f>
        <v/>
      </c>
    </row>
    <row r="192">
      <c r="A192" t="inlineStr">
        <is>
          <t>chr1</t>
        </is>
      </c>
      <c r="B192" t="n">
        <v>97368472</v>
      </c>
      <c r="C192" t="inlineStr">
        <is>
          <t>G</t>
        </is>
      </c>
      <c r="D192" t="inlineStr">
        <is>
          <t>A</t>
        </is>
      </c>
      <c r="E192" t="inlineStr">
        <is>
          <t>rs72728414</t>
        </is>
      </c>
      <c r="F192" t="n">
        <v>0.0066137848599999</v>
      </c>
      <c r="G192" t="n">
        <v>0.3624928258444448</v>
      </c>
      <c r="H192" t="n">
        <v>0.0229657683180259</v>
      </c>
      <c r="I192" t="n">
        <v>0.0312435403786305</v>
      </c>
      <c r="J192" t="n">
        <v>0.0735052260825456</v>
      </c>
      <c r="K192" t="n">
        <v>0.637142514468214</v>
      </c>
      <c r="L192" t="b">
        <v>0</v>
      </c>
      <c r="M192" t="b">
        <v>0</v>
      </c>
      <c r="N192" t="inlineStr">
        <is>
          <t>alt</t>
        </is>
      </c>
      <c r="O192" t="n">
        <v>-100</v>
      </c>
      <c r="P192" t="n">
        <v>0.00267</v>
      </c>
      <c r="Q192" t="n">
        <v>-95</v>
      </c>
      <c r="R192" t="n">
        <v>0.012024</v>
      </c>
      <c r="S192">
        <f>IMAGE("https://mitra.stanford.edu/kundaje/oak/projects/neuro-variants/variant_position/credible/roussos_2024/variant_figures/roussos_2024.adolescence.GLU/rs72728414_count_position.png",4,220,900)</f>
        <v/>
      </c>
      <c r="T192">
        <f>IMAGE("https://mitra.stanford.edu/kundaje/oak/projects/neuro-variants/variant_position/credible/roussos_2024/variant_figures/roussos_2024.adolescence.GLU/rs72728414_profile_position.png",4,220,900)</f>
        <v/>
      </c>
    </row>
    <row r="193">
      <c r="A193" t="inlineStr">
        <is>
          <t>chr1</t>
        </is>
      </c>
      <c r="B193" t="n">
        <v>97384504</v>
      </c>
      <c r="C193" t="inlineStr">
        <is>
          <t>T</t>
        </is>
      </c>
      <c r="D193" t="inlineStr">
        <is>
          <t>C</t>
        </is>
      </c>
      <c r="E193" t="inlineStr">
        <is>
          <t>rs74105186</t>
        </is>
      </c>
      <c r="F193" t="n">
        <v>0.0201089838</v>
      </c>
      <c r="G193" t="n">
        <v>0.2774656044599263</v>
      </c>
      <c r="H193" t="n">
        <v>0.0114013998556023</v>
      </c>
      <c r="I193" t="n">
        <v>0.3787855036551097</v>
      </c>
      <c r="J193" t="n">
        <v>0.1296825771052575</v>
      </c>
      <c r="K193" t="n">
        <v>0.5069787114189204</v>
      </c>
      <c r="L193" t="b">
        <v>0</v>
      </c>
      <c r="M193" t="b">
        <v>0</v>
      </c>
      <c r="N193" t="inlineStr">
        <is>
          <t>alt</t>
        </is>
      </c>
      <c r="O193" t="n">
        <v>-35</v>
      </c>
      <c r="P193" t="n">
        <v>0.004173</v>
      </c>
      <c r="Q193" t="n">
        <v>5</v>
      </c>
      <c r="R193" t="n">
        <v>0.002808</v>
      </c>
      <c r="S193">
        <f>IMAGE("https://mitra.stanford.edu/kundaje/oak/projects/neuro-variants/variant_position/credible/roussos_2024/variant_figures/roussos_2024.adolescence.GLU/rs74105186_count_position.png",4,220,900)</f>
        <v/>
      </c>
      <c r="T193">
        <f>IMAGE("https://mitra.stanford.edu/kundaje/oak/projects/neuro-variants/variant_position/credible/roussos_2024/variant_figures/roussos_2024.adolescence.GLU/rs74105186_profile_position.png",4,220,900)</f>
        <v/>
      </c>
    </row>
    <row r="194">
      <c r="A194" t="inlineStr">
        <is>
          <t>chr1</t>
        </is>
      </c>
      <c r="B194" t="n">
        <v>97385141</v>
      </c>
      <c r="C194" t="inlineStr">
        <is>
          <t>C</t>
        </is>
      </c>
      <c r="D194" t="inlineStr">
        <is>
          <t>T</t>
        </is>
      </c>
      <c r="E194" t="inlineStr">
        <is>
          <t>rs1112314</t>
        </is>
      </c>
      <c r="F194" t="n">
        <v>-0.07428063</v>
      </c>
      <c r="G194" t="n">
        <v>0.0200780715685436</v>
      </c>
      <c r="H194" t="n">
        <v>0.0135202173324625</v>
      </c>
      <c r="I194" t="n">
        <v>0.2274561618268623</v>
      </c>
      <c r="J194" t="n">
        <v>0.1303327117760107</v>
      </c>
      <c r="K194" t="n">
        <v>0.5103818746554627</v>
      </c>
      <c r="L194" t="b">
        <v>1</v>
      </c>
      <c r="M194" t="b">
        <v>0</v>
      </c>
      <c r="N194" t="inlineStr">
        <is>
          <t>ref</t>
        </is>
      </c>
      <c r="O194" t="n">
        <v>50</v>
      </c>
      <c r="P194" t="n">
        <v>0.245</v>
      </c>
      <c r="Q194" t="n">
        <v>-55</v>
      </c>
      <c r="R194" t="n">
        <v>0.03732</v>
      </c>
      <c r="S194">
        <f>IMAGE("https://mitra.stanford.edu/kundaje/oak/projects/neuro-variants/variant_position/credible/roussos_2024/variant_figures/roussos_2024.adolescence.GLU/rs1112314_count_position.png",4,220,900)</f>
        <v/>
      </c>
      <c r="T194">
        <f>IMAGE("https://mitra.stanford.edu/kundaje/oak/projects/neuro-variants/variant_position/credible/roussos_2024/variant_figures/roussos_2024.adolescence.GLU/rs1112314_profile_position.png",4,220,900)</f>
        <v/>
      </c>
    </row>
    <row r="195">
      <c r="A195" t="inlineStr">
        <is>
          <t>chr1</t>
        </is>
      </c>
      <c r="B195" t="n">
        <v>97388977</v>
      </c>
      <c r="C195" t="inlineStr">
        <is>
          <t>C</t>
        </is>
      </c>
      <c r="D195" t="inlineStr">
        <is>
          <t>A</t>
        </is>
      </c>
      <c r="E195" t="inlineStr">
        <is>
          <t>rs12047563</t>
        </is>
      </c>
      <c r="F195" t="n">
        <v>0.01607756652</v>
      </c>
      <c r="G195" t="n">
        <v>0.3641226871510895</v>
      </c>
      <c r="H195" t="n">
        <v>0.0253260998804235</v>
      </c>
      <c r="I195" t="n">
        <v>0.0206879645008788</v>
      </c>
      <c r="J195" t="n">
        <v>0.0213344192725635</v>
      </c>
      <c r="K195" t="n">
        <v>0.8171622656385641</v>
      </c>
      <c r="L195" t="b">
        <v>0</v>
      </c>
      <c r="M195" t="b">
        <v>0</v>
      </c>
      <c r="N195" t="inlineStr">
        <is>
          <t>alt</t>
        </is>
      </c>
      <c r="O195" t="n">
        <v>-25</v>
      </c>
      <c r="P195" t="n">
        <v>0.003555</v>
      </c>
      <c r="Q195" t="n">
        <v>-90</v>
      </c>
      <c r="R195" t="n">
        <v>0.02966</v>
      </c>
      <c r="S195">
        <f>IMAGE("https://mitra.stanford.edu/kundaje/oak/projects/neuro-variants/variant_position/credible/roussos_2024/variant_figures/roussos_2024.adolescence.GLU/rs12047563_count_position.png",4,220,900)</f>
        <v/>
      </c>
      <c r="T195">
        <f>IMAGE("https://mitra.stanford.edu/kundaje/oak/projects/neuro-variants/variant_position/credible/roussos_2024/variant_figures/roussos_2024.adolescence.GLU/rs12047563_profile_position.png",4,220,900)</f>
        <v/>
      </c>
    </row>
    <row r="196">
      <c r="A196" t="inlineStr">
        <is>
          <t>chr1</t>
        </is>
      </c>
      <c r="B196" t="n">
        <v>97390265</v>
      </c>
      <c r="C196" t="inlineStr">
        <is>
          <t>G</t>
        </is>
      </c>
      <c r="D196" t="inlineStr">
        <is>
          <t>A</t>
        </is>
      </c>
      <c r="E196" t="inlineStr">
        <is>
          <t>rs4503384</t>
        </is>
      </c>
      <c r="F196" t="n">
        <v>-0.0562583666</v>
      </c>
      <c r="G196" t="n">
        <v>0.0527426691741042</v>
      </c>
      <c r="H196" t="n">
        <v>0.0173572876016349</v>
      </c>
      <c r="I196" t="n">
        <v>0.1127602330961847</v>
      </c>
      <c r="J196" t="n">
        <v>0.000798736881211</v>
      </c>
      <c r="K196" t="n">
        <v>0.9744091085418556</v>
      </c>
      <c r="L196" t="b">
        <v>0</v>
      </c>
      <c r="M196" t="b">
        <v>0</v>
      </c>
      <c r="N196" t="inlineStr">
        <is>
          <t>ref</t>
        </is>
      </c>
      <c r="O196" t="n">
        <v>35</v>
      </c>
      <c r="P196" t="n">
        <v>0.002869</v>
      </c>
      <c r="Q196" t="n">
        <v>-60</v>
      </c>
      <c r="R196" t="n">
        <v>0.01584</v>
      </c>
      <c r="S196">
        <f>IMAGE("https://mitra.stanford.edu/kundaje/oak/projects/neuro-variants/variant_position/credible/roussos_2024/variant_figures/roussos_2024.adolescence.GLU/rs4503384_count_position.png",4,220,900)</f>
        <v/>
      </c>
      <c r="T196">
        <f>IMAGE("https://mitra.stanford.edu/kundaje/oak/projects/neuro-variants/variant_position/credible/roussos_2024/variant_figures/roussos_2024.adolescence.GLU/rs4503384_profile_position.png",4,220,900)</f>
        <v/>
      </c>
    </row>
    <row r="197">
      <c r="A197" t="inlineStr">
        <is>
          <t>chr1</t>
        </is>
      </c>
      <c r="B197" t="n">
        <v>97391983</v>
      </c>
      <c r="C197" t="inlineStr">
        <is>
          <t>A</t>
        </is>
      </c>
      <c r="D197" t="inlineStr">
        <is>
          <t>C</t>
        </is>
      </c>
      <c r="E197" t="inlineStr">
        <is>
          <t>rs56682383</t>
        </is>
      </c>
      <c r="F197" t="n">
        <v>0.00667507374</v>
      </c>
      <c r="G197" t="n">
        <v>0.626397690995545</v>
      </c>
      <c r="H197" t="n">
        <v>0.0139757881100235</v>
      </c>
      <c r="I197" t="n">
        <v>0.2029619794744203</v>
      </c>
      <c r="J197" t="n">
        <v>0.0510448592922819</v>
      </c>
      <c r="K197" t="n">
        <v>0.6967813145311628</v>
      </c>
      <c r="L197" t="b">
        <v>0</v>
      </c>
      <c r="M197" t="b">
        <v>0</v>
      </c>
      <c r="N197" t="inlineStr">
        <is>
          <t>alt</t>
        </is>
      </c>
      <c r="O197" t="n">
        <v>100</v>
      </c>
      <c r="P197" t="n">
        <v>0.007286</v>
      </c>
      <c r="Q197" t="n">
        <v>-30</v>
      </c>
      <c r="R197" t="n">
        <v>0.0195</v>
      </c>
      <c r="S197">
        <f>IMAGE("https://mitra.stanford.edu/kundaje/oak/projects/neuro-variants/variant_position/credible/roussos_2024/variant_figures/roussos_2024.adolescence.GLU/rs56682383_count_position.png",4,220,900)</f>
        <v/>
      </c>
      <c r="T197">
        <f>IMAGE("https://mitra.stanford.edu/kundaje/oak/projects/neuro-variants/variant_position/credible/roussos_2024/variant_figures/roussos_2024.adolescence.GLU/rs56682383_profile_position.png",4,220,900)</f>
        <v/>
      </c>
    </row>
    <row r="198">
      <c r="A198" t="inlineStr">
        <is>
          <t>chr1</t>
        </is>
      </c>
      <c r="B198" t="n">
        <v>97393508</v>
      </c>
      <c r="C198" t="inlineStr">
        <is>
          <t>T</t>
        </is>
      </c>
      <c r="D198" t="inlineStr">
        <is>
          <t>C</t>
        </is>
      </c>
      <c r="E198" t="inlineStr">
        <is>
          <t>rs9727787</t>
        </is>
      </c>
      <c r="F198" t="n">
        <v>0.023487036</v>
      </c>
      <c r="G198" t="n">
        <v>0.2450439241573096</v>
      </c>
      <c r="H198" t="n">
        <v>0.0086490744587992</v>
      </c>
      <c r="I198" t="n">
        <v>0.710288226001331</v>
      </c>
      <c r="J198" t="n">
        <v>0.0246808267426823</v>
      </c>
      <c r="K198" t="n">
        <v>0.7946715642675842</v>
      </c>
      <c r="L198" t="b">
        <v>0</v>
      </c>
      <c r="M198" t="b">
        <v>0</v>
      </c>
      <c r="N198" t="inlineStr">
        <is>
          <t>alt</t>
        </is>
      </c>
      <c r="O198" t="n">
        <v>-100</v>
      </c>
      <c r="P198" t="n">
        <v>0.01926</v>
      </c>
      <c r="Q198" t="n">
        <v>10</v>
      </c>
      <c r="R198" t="n">
        <v>0.002441</v>
      </c>
      <c r="S198">
        <f>IMAGE("https://mitra.stanford.edu/kundaje/oak/projects/neuro-variants/variant_position/credible/roussos_2024/variant_figures/roussos_2024.adolescence.GLU/rs9727787_count_position.png",4,220,900)</f>
        <v/>
      </c>
      <c r="T198">
        <f>IMAGE("https://mitra.stanford.edu/kundaje/oak/projects/neuro-variants/variant_position/credible/roussos_2024/variant_figures/roussos_2024.adolescence.GLU/rs9727787_profile_position.png",4,220,900)</f>
        <v/>
      </c>
    </row>
    <row r="199">
      <c r="A199" t="inlineStr">
        <is>
          <t>chr1</t>
        </is>
      </c>
      <c r="B199" t="n">
        <v>97395772</v>
      </c>
      <c r="C199" t="inlineStr">
        <is>
          <t>C</t>
        </is>
      </c>
      <c r="D199" t="inlineStr">
        <is>
          <t>A</t>
        </is>
      </c>
      <c r="E199" t="inlineStr">
        <is>
          <t>rs55824522</t>
        </is>
      </c>
      <c r="F199" t="n">
        <v>-0.0008332475799999</v>
      </c>
      <c r="G199" t="n">
        <v>0.7402563758921858</v>
      </c>
      <c r="H199" t="n">
        <v>0.0067164161643054</v>
      </c>
      <c r="I199" t="n">
        <v>0.9360740592347792</v>
      </c>
      <c r="J199" t="n">
        <v>0.0260839745375827</v>
      </c>
      <c r="K199" t="n">
        <v>0.7895445266562853</v>
      </c>
      <c r="L199" t="b">
        <v>0</v>
      </c>
      <c r="M199" t="b">
        <v>0</v>
      </c>
      <c r="N199" t="inlineStr">
        <is>
          <t>ref</t>
        </is>
      </c>
      <c r="O199" t="n">
        <v>80</v>
      </c>
      <c r="P199" t="n">
        <v>0.007595</v>
      </c>
      <c r="Q199" t="n">
        <v>-40</v>
      </c>
      <c r="R199" t="n">
        <v>0.0365</v>
      </c>
      <c r="S199">
        <f>IMAGE("https://mitra.stanford.edu/kundaje/oak/projects/neuro-variants/variant_position/credible/roussos_2024/variant_figures/roussos_2024.adolescence.GLU/rs55824522_count_position.png",4,220,900)</f>
        <v/>
      </c>
      <c r="T199">
        <f>IMAGE("https://mitra.stanford.edu/kundaje/oak/projects/neuro-variants/variant_position/credible/roussos_2024/variant_figures/roussos_2024.adolescence.GLU/rs55824522_profile_position.png",4,220,900)</f>
        <v/>
      </c>
    </row>
    <row r="200">
      <c r="A200" t="inlineStr">
        <is>
          <t>chr1</t>
        </is>
      </c>
      <c r="B200" t="n">
        <v>97397169</v>
      </c>
      <c r="C200" t="inlineStr">
        <is>
          <t>G</t>
        </is>
      </c>
      <c r="D200" t="inlineStr">
        <is>
          <t>T</t>
        </is>
      </c>
      <c r="E200" t="inlineStr">
        <is>
          <t>rs12043021</t>
        </is>
      </c>
      <c r="F200" t="n">
        <v>0.002444651792</v>
      </c>
      <c r="G200" t="n">
        <v>0.7686872018286924</v>
      </c>
      <c r="H200" t="n">
        <v>0.0233777405564927</v>
      </c>
      <c r="I200" t="n">
        <v>0.0286905048543564</v>
      </c>
      <c r="J200" t="n">
        <v>0.1298554700616555</v>
      </c>
      <c r="K200" t="n">
        <v>0.5076556145646224</v>
      </c>
      <c r="L200" t="b">
        <v>0</v>
      </c>
      <c r="M200" t="b">
        <v>0</v>
      </c>
      <c r="N200" t="inlineStr">
        <is>
          <t>alt</t>
        </is>
      </c>
      <c r="O200" t="n">
        <v>50</v>
      </c>
      <c r="P200" t="n">
        <v>0.001816</v>
      </c>
      <c r="Q200" t="n">
        <v>25</v>
      </c>
      <c r="R200" t="n">
        <v>0.01776</v>
      </c>
      <c r="S200">
        <f>IMAGE("https://mitra.stanford.edu/kundaje/oak/projects/neuro-variants/variant_position/credible/roussos_2024/variant_figures/roussos_2024.adolescence.GLU/rs12043021_count_position.png",4,220,900)</f>
        <v/>
      </c>
      <c r="T200">
        <f>IMAGE("https://mitra.stanford.edu/kundaje/oak/projects/neuro-variants/variant_position/credible/roussos_2024/variant_figures/roussos_2024.adolescence.GLU/rs12043021_profile_position.png",4,220,900)</f>
        <v/>
      </c>
    </row>
    <row r="201">
      <c r="A201" t="inlineStr">
        <is>
          <t>chr1</t>
        </is>
      </c>
      <c r="B201" t="n">
        <v>97397272</v>
      </c>
      <c r="C201" t="inlineStr">
        <is>
          <t>T</t>
        </is>
      </c>
      <c r="D201" t="inlineStr">
        <is>
          <t>C</t>
        </is>
      </c>
      <c r="E201" t="inlineStr">
        <is>
          <t>rs12040699</t>
        </is>
      </c>
      <c r="F201" t="n">
        <v>0.110545708</v>
      </c>
      <c r="G201" t="n">
        <v>0.0056139593641735</v>
      </c>
      <c r="H201" t="n">
        <v>0.0184842393122682</v>
      </c>
      <c r="I201" t="n">
        <v>0.09054343103327819</v>
      </c>
      <c r="J201" t="n">
        <v>0.1587771752720205</v>
      </c>
      <c r="K201" t="n">
        <v>0.4605274711465027</v>
      </c>
      <c r="L201" t="b">
        <v>1</v>
      </c>
      <c r="M201" t="b">
        <v>1</v>
      </c>
      <c r="N201" t="inlineStr">
        <is>
          <t>alt</t>
        </is>
      </c>
      <c r="O201" t="n">
        <v>-50</v>
      </c>
      <c r="P201" t="n">
        <v>0.01356</v>
      </c>
      <c r="Q201" t="n">
        <v>-75</v>
      </c>
      <c r="R201" t="n">
        <v>0.0476</v>
      </c>
      <c r="S201">
        <f>IMAGE("https://mitra.stanford.edu/kundaje/oak/projects/neuro-variants/variant_position/credible/roussos_2024/variant_figures/roussos_2024.adolescence.GLU/rs12040699_count_position.png",4,220,900)</f>
        <v/>
      </c>
      <c r="T201">
        <f>IMAGE("https://mitra.stanford.edu/kundaje/oak/projects/neuro-variants/variant_position/credible/roussos_2024/variant_figures/roussos_2024.adolescence.GLU/rs12040699_profile_position.png",4,220,900)</f>
        <v/>
      </c>
    </row>
    <row r="202">
      <c r="A202" t="inlineStr">
        <is>
          <t>chr1</t>
        </is>
      </c>
      <c r="B202" t="n">
        <v>97401301</v>
      </c>
      <c r="C202" t="inlineStr">
        <is>
          <t>C</t>
        </is>
      </c>
      <c r="D202" t="inlineStr">
        <is>
          <t>T</t>
        </is>
      </c>
      <c r="E202" t="inlineStr">
        <is>
          <t>rs12026223</t>
        </is>
      </c>
      <c r="F202" t="n">
        <v>-0.0825326344</v>
      </c>
      <c r="G202" t="n">
        <v>0.0144066435502993</v>
      </c>
      <c r="H202" t="n">
        <v>0.0154166107503572</v>
      </c>
      <c r="I202" t="n">
        <v>0.1452725694919341</v>
      </c>
      <c r="J202" t="n">
        <v>0.0554914946667523</v>
      </c>
      <c r="K202" t="n">
        <v>0.6855400287031925</v>
      </c>
      <c r="L202" t="b">
        <v>1</v>
      </c>
      <c r="M202" t="b">
        <v>0</v>
      </c>
      <c r="N202" t="inlineStr">
        <is>
          <t>ref</t>
        </is>
      </c>
      <c r="O202" t="n">
        <v>60</v>
      </c>
      <c r="P202" t="n">
        <v>0.001907</v>
      </c>
      <c r="Q202" t="n">
        <v>-15</v>
      </c>
      <c r="R202" t="n">
        <v>0.015015</v>
      </c>
      <c r="S202">
        <f>IMAGE("https://mitra.stanford.edu/kundaje/oak/projects/neuro-variants/variant_position/credible/roussos_2024/variant_figures/roussos_2024.adolescence.GLU/rs12026223_count_position.png",4,220,900)</f>
        <v/>
      </c>
      <c r="T202">
        <f>IMAGE("https://mitra.stanford.edu/kundaje/oak/projects/neuro-variants/variant_position/credible/roussos_2024/variant_figures/roussos_2024.adolescence.GLU/rs12026223_profile_position.png",4,220,900)</f>
        <v/>
      </c>
    </row>
    <row r="203">
      <c r="A203" t="inlineStr">
        <is>
          <t>chr1</t>
        </is>
      </c>
      <c r="B203" t="n">
        <v>97412905</v>
      </c>
      <c r="C203" t="inlineStr">
        <is>
          <t>G</t>
        </is>
      </c>
      <c r="D203" t="inlineStr">
        <is>
          <t>A</t>
        </is>
      </c>
      <c r="E203" t="inlineStr">
        <is>
          <t>rs6687374</t>
        </is>
      </c>
      <c r="F203" t="n">
        <v>-0.0484554482</v>
      </c>
      <c r="G203" t="n">
        <v>0.0784907342843511</v>
      </c>
      <c r="H203" t="n">
        <v>0.0137916938476351</v>
      </c>
      <c r="I203" t="n">
        <v>0.2552924621496087</v>
      </c>
      <c r="J203" t="n">
        <v>0.040692714919519</v>
      </c>
      <c r="K203" t="n">
        <v>0.7316451222976184</v>
      </c>
      <c r="L203" t="b">
        <v>0</v>
      </c>
      <c r="M203" t="b">
        <v>0</v>
      </c>
      <c r="N203" t="inlineStr">
        <is>
          <t>ref</t>
        </is>
      </c>
      <c r="O203" t="n">
        <v>-40</v>
      </c>
      <c r="P203" t="n">
        <v>0.002537</v>
      </c>
      <c r="Q203" t="n">
        <v>-75</v>
      </c>
      <c r="R203" t="n">
        <v>0.04434</v>
      </c>
      <c r="S203">
        <f>IMAGE("https://mitra.stanford.edu/kundaje/oak/projects/neuro-variants/variant_position/credible/roussos_2024/variant_figures/roussos_2024.adolescence.GLU/rs6687374_count_position.png",4,220,900)</f>
        <v/>
      </c>
      <c r="T203">
        <f>IMAGE("https://mitra.stanford.edu/kundaje/oak/projects/neuro-variants/variant_position/credible/roussos_2024/variant_figures/roussos_2024.adolescence.GLU/rs6687374_profile_position.png",4,220,900)</f>
        <v/>
      </c>
    </row>
    <row r="204">
      <c r="A204" t="inlineStr">
        <is>
          <t>chr1</t>
        </is>
      </c>
      <c r="B204" t="n">
        <v>97417845</v>
      </c>
      <c r="C204" t="inlineStr">
        <is>
          <t>C</t>
        </is>
      </c>
      <c r="D204" t="inlineStr">
        <is>
          <t>T</t>
        </is>
      </c>
      <c r="E204" t="inlineStr">
        <is>
          <t>rs58941846</t>
        </is>
      </c>
      <c r="F204" t="n">
        <v>0.027716418232</v>
      </c>
      <c r="G204" t="n">
        <v>0.2195948534178922</v>
      </c>
      <c r="H204" t="n">
        <v>0.0124492978007788</v>
      </c>
      <c r="I204" t="n">
        <v>0.3402156007687061</v>
      </c>
      <c r="J204" t="n">
        <v>0.011346636088904</v>
      </c>
      <c r="K204" t="n">
        <v>0.8727395983060141</v>
      </c>
      <c r="L204" t="b">
        <v>0</v>
      </c>
      <c r="M204" t="b">
        <v>0</v>
      </c>
      <c r="N204" t="inlineStr">
        <is>
          <t>alt</t>
        </is>
      </c>
      <c r="O204" t="n">
        <v>-100</v>
      </c>
      <c r="P204" t="n">
        <v>0.02571</v>
      </c>
      <c r="Q204" t="n">
        <v>25</v>
      </c>
      <c r="R204" t="n">
        <v>0.0163</v>
      </c>
      <c r="S204">
        <f>IMAGE("https://mitra.stanford.edu/kundaje/oak/projects/neuro-variants/variant_position/credible/roussos_2024/variant_figures/roussos_2024.adolescence.GLU/rs58941846_count_position.png",4,220,900)</f>
        <v/>
      </c>
      <c r="T204">
        <f>IMAGE("https://mitra.stanford.edu/kundaje/oak/projects/neuro-variants/variant_position/credible/roussos_2024/variant_figures/roussos_2024.adolescence.GLU/rs58941846_profile_position.png",4,220,900)</f>
        <v/>
      </c>
    </row>
    <row r="205">
      <c r="A205" t="inlineStr">
        <is>
          <t>chr1</t>
        </is>
      </c>
      <c r="B205" t="n">
        <v>97434996</v>
      </c>
      <c r="C205" t="inlineStr">
        <is>
          <t>A</t>
        </is>
      </c>
      <c r="D205" t="inlineStr">
        <is>
          <t>T</t>
        </is>
      </c>
      <c r="E205" t="inlineStr">
        <is>
          <t>rs12129397</t>
        </is>
      </c>
      <c r="F205" t="n">
        <v>0.00142506376</v>
      </c>
      <c r="G205" t="n">
        <v>0.7545454151311302</v>
      </c>
      <c r="H205" t="n">
        <v>0.0154912282689113</v>
      </c>
      <c r="I205" t="n">
        <v>0.1448021757772958</v>
      </c>
      <c r="J205" t="n">
        <v>0.0025505283237241</v>
      </c>
      <c r="K205" t="n">
        <v>0.9471611138314396</v>
      </c>
      <c r="L205" t="b">
        <v>0</v>
      </c>
      <c r="M205" t="b">
        <v>0</v>
      </c>
      <c r="N205" t="inlineStr">
        <is>
          <t>alt</t>
        </is>
      </c>
      <c r="O205" t="n">
        <v>-100</v>
      </c>
      <c r="P205" t="n">
        <v>0.005066</v>
      </c>
      <c r="Q205" t="n">
        <v>35</v>
      </c>
      <c r="R205" t="n">
        <v>0.02423</v>
      </c>
      <c r="S205">
        <f>IMAGE("https://mitra.stanford.edu/kundaje/oak/projects/neuro-variants/variant_position/credible/roussos_2024/variant_figures/roussos_2024.adolescence.GLU/rs12129397_count_position.png",4,220,900)</f>
        <v/>
      </c>
      <c r="T205">
        <f>IMAGE("https://mitra.stanford.edu/kundaje/oak/projects/neuro-variants/variant_position/credible/roussos_2024/variant_figures/roussos_2024.adolescence.GLU/rs12129397_profile_position.png",4,220,900)</f>
        <v/>
      </c>
    </row>
    <row r="206">
      <c r="A206" t="inlineStr">
        <is>
          <t>chr1</t>
        </is>
      </c>
      <c r="B206" t="n">
        <v>97437034</v>
      </c>
      <c r="C206" t="inlineStr">
        <is>
          <t>T</t>
        </is>
      </c>
      <c r="D206" t="inlineStr">
        <is>
          <t>G</t>
        </is>
      </c>
      <c r="E206" t="inlineStr">
        <is>
          <t>rs11165872</t>
        </is>
      </c>
      <c r="F206" t="n">
        <v>0.0013931358926</v>
      </c>
      <c r="G206" t="n">
        <v>0.8723942751846104</v>
      </c>
      <c r="H206" t="n">
        <v>0.0145017686748282</v>
      </c>
      <c r="I206" t="n">
        <v>0.18208323996221</v>
      </c>
      <c r="J206" t="n">
        <v>0.0015231726571932</v>
      </c>
      <c r="K206" t="n">
        <v>0.964485466989504</v>
      </c>
      <c r="L206" t="b">
        <v>0</v>
      </c>
      <c r="M206" t="b">
        <v>0</v>
      </c>
      <c r="N206" t="inlineStr">
        <is>
          <t>alt</t>
        </is>
      </c>
      <c r="O206" t="n">
        <v>50</v>
      </c>
      <c r="P206" t="n">
        <v>0.00747</v>
      </c>
      <c r="Q206" t="n">
        <v>-100</v>
      </c>
      <c r="R206" t="n">
        <v>0.1196</v>
      </c>
      <c r="S206">
        <f>IMAGE("https://mitra.stanford.edu/kundaje/oak/projects/neuro-variants/variant_position/credible/roussos_2024/variant_figures/roussos_2024.adolescence.GLU/rs11165872_count_position.png",4,220,900)</f>
        <v/>
      </c>
      <c r="T206">
        <f>IMAGE("https://mitra.stanford.edu/kundaje/oak/projects/neuro-variants/variant_position/credible/roussos_2024/variant_figures/roussos_2024.adolescence.GLU/rs11165872_profile_position.png",4,220,900)</f>
        <v/>
      </c>
    </row>
    <row r="207">
      <c r="A207" t="inlineStr">
        <is>
          <t>chr1</t>
        </is>
      </c>
      <c r="B207" t="n">
        <v>97455400</v>
      </c>
      <c r="C207" t="inlineStr">
        <is>
          <t>T</t>
        </is>
      </c>
      <c r="D207" t="inlineStr">
        <is>
          <t>C</t>
        </is>
      </c>
      <c r="E207" t="inlineStr">
        <is>
          <t>rs12354219</t>
        </is>
      </c>
      <c r="F207" t="n">
        <v>0.028400202</v>
      </c>
      <c r="G207" t="n">
        <v>0.1857439733924389</v>
      </c>
      <c r="H207" t="n">
        <v>0.0187260536826797</v>
      </c>
      <c r="I207" t="n">
        <v>0.068212558595675</v>
      </c>
      <c r="J207" t="n">
        <v>0.0054211229468961</v>
      </c>
      <c r="K207" t="n">
        <v>0.9170436888505882</v>
      </c>
      <c r="L207" t="b">
        <v>0</v>
      </c>
      <c r="M207" t="b">
        <v>0</v>
      </c>
      <c r="N207" t="inlineStr">
        <is>
          <t>alt</t>
        </is>
      </c>
      <c r="O207" t="n">
        <v>-10</v>
      </c>
      <c r="P207" t="n">
        <v>0.0003242</v>
      </c>
      <c r="Q207" t="n">
        <v>-100</v>
      </c>
      <c r="R207" t="n">
        <v>0.07969999999999999</v>
      </c>
      <c r="S207">
        <f>IMAGE("https://mitra.stanford.edu/kundaje/oak/projects/neuro-variants/variant_position/credible/roussos_2024/variant_figures/roussos_2024.adolescence.GLU/rs12354219_count_position.png",4,220,900)</f>
        <v/>
      </c>
      <c r="T207">
        <f>IMAGE("https://mitra.stanford.edu/kundaje/oak/projects/neuro-variants/variant_position/credible/roussos_2024/variant_figures/roussos_2024.adolescence.GLU/rs12354219_profile_position.png",4,220,900)</f>
        <v/>
      </c>
    </row>
    <row r="208">
      <c r="A208" t="inlineStr">
        <is>
          <t>chr1</t>
        </is>
      </c>
      <c r="B208" t="n">
        <v>97573370</v>
      </c>
      <c r="C208" t="inlineStr">
        <is>
          <t>T</t>
        </is>
      </c>
      <c r="D208" t="inlineStr">
        <is>
          <t>C</t>
        </is>
      </c>
      <c r="E208" t="inlineStr">
        <is>
          <t>rs79917705</t>
        </is>
      </c>
      <c r="F208" t="n">
        <v>0.00671676682</v>
      </c>
      <c r="G208" t="n">
        <v>0.6183630877836057</v>
      </c>
      <c r="H208" t="n">
        <v>0.0149742441784767</v>
      </c>
      <c r="I208" t="n">
        <v>0.1613957312441808</v>
      </c>
      <c r="J208" t="n">
        <v>0.0170349572411427</v>
      </c>
      <c r="K208" t="n">
        <v>0.8326420242546552</v>
      </c>
      <c r="L208" t="b">
        <v>0</v>
      </c>
      <c r="M208" t="b">
        <v>0</v>
      </c>
      <c r="N208" t="inlineStr">
        <is>
          <t>alt</t>
        </is>
      </c>
      <c r="O208" t="n">
        <v>-80</v>
      </c>
      <c r="P208" t="n">
        <v>0.01048</v>
      </c>
      <c r="Q208" t="n">
        <v>75</v>
      </c>
      <c r="R208" t="n">
        <v>0.01993</v>
      </c>
      <c r="S208">
        <f>IMAGE("https://mitra.stanford.edu/kundaje/oak/projects/neuro-variants/variant_position/credible/roussos_2024/variant_figures/roussos_2024.adolescence.GLU/rs79917705_count_position.png",4,220,900)</f>
        <v/>
      </c>
      <c r="T208">
        <f>IMAGE("https://mitra.stanford.edu/kundaje/oak/projects/neuro-variants/variant_position/credible/roussos_2024/variant_figures/roussos_2024.adolescence.GLU/rs79917705_profile_position.png",4,220,900)</f>
        <v/>
      </c>
    </row>
    <row r="209">
      <c r="A209" t="inlineStr">
        <is>
          <t>chr1</t>
        </is>
      </c>
      <c r="B209" t="n">
        <v>97580440</v>
      </c>
      <c r="C209" t="inlineStr">
        <is>
          <t>G</t>
        </is>
      </c>
      <c r="D209" t="inlineStr">
        <is>
          <t>C</t>
        </is>
      </c>
      <c r="E209" t="inlineStr">
        <is>
          <t>rs10783069</t>
        </is>
      </c>
      <c r="F209" t="n">
        <v>-0.0539960692</v>
      </c>
      <c r="G209" t="n">
        <v>0.0533304688809785</v>
      </c>
      <c r="H209" t="n">
        <v>0.0133248114326149</v>
      </c>
      <c r="I209" t="n">
        <v>0.2420884639574463</v>
      </c>
      <c r="J209" t="n">
        <v>0.0167163198091032</v>
      </c>
      <c r="K209" t="n">
        <v>0.8424384136915768</v>
      </c>
      <c r="L209" t="b">
        <v>0</v>
      </c>
      <c r="M209" t="b">
        <v>0</v>
      </c>
      <c r="N209" t="inlineStr">
        <is>
          <t>ref</t>
        </is>
      </c>
      <c r="O209" t="n">
        <v>-15</v>
      </c>
      <c r="P209" t="n">
        <v>0.001314</v>
      </c>
      <c r="Q209" t="n">
        <v>95</v>
      </c>
      <c r="R209" t="n">
        <v>0.04547</v>
      </c>
      <c r="S209">
        <f>IMAGE("https://mitra.stanford.edu/kundaje/oak/projects/neuro-variants/variant_position/credible/roussos_2024/variant_figures/roussos_2024.adolescence.GLU/rs10783069_count_position.png",4,220,900)</f>
        <v/>
      </c>
      <c r="T209">
        <f>IMAGE("https://mitra.stanford.edu/kundaje/oak/projects/neuro-variants/variant_position/credible/roussos_2024/variant_figures/roussos_2024.adolescence.GLU/rs10783069_profile_position.png",4,220,900)</f>
        <v/>
      </c>
    </row>
    <row r="210">
      <c r="A210" t="inlineStr">
        <is>
          <t>chr1</t>
        </is>
      </c>
      <c r="B210" t="n">
        <v>97590907</v>
      </c>
      <c r="C210" t="inlineStr">
        <is>
          <t>A</t>
        </is>
      </c>
      <c r="D210" t="inlineStr">
        <is>
          <t>G</t>
        </is>
      </c>
      <c r="E210" t="inlineStr">
        <is>
          <t>rs7537165</t>
        </is>
      </c>
      <c r="F210" t="n">
        <v>0.0511869404</v>
      </c>
      <c r="G210" t="n">
        <v>0.0560960864247909</v>
      </c>
      <c r="H210" t="n">
        <v>0.0119322951767039</v>
      </c>
      <c r="I210" t="n">
        <v>0.3432524992253045</v>
      </c>
      <c r="J210" t="n">
        <v>0.0504018689585699</v>
      </c>
      <c r="K210" t="n">
        <v>0.7052663713350276</v>
      </c>
      <c r="L210" t="b">
        <v>0</v>
      </c>
      <c r="M210" t="b">
        <v>0</v>
      </c>
      <c r="N210" t="inlineStr">
        <is>
          <t>alt</t>
        </is>
      </c>
      <c r="O210" t="n">
        <v>-80</v>
      </c>
      <c r="P210" t="n">
        <v>0.007248</v>
      </c>
      <c r="Q210" t="n">
        <v>25</v>
      </c>
      <c r="R210" t="n">
        <v>0.0221</v>
      </c>
      <c r="S210">
        <f>IMAGE("https://mitra.stanford.edu/kundaje/oak/projects/neuro-variants/variant_position/credible/roussos_2024/variant_figures/roussos_2024.adolescence.GLU/rs7537165_count_position.png",4,220,900)</f>
        <v/>
      </c>
      <c r="T210">
        <f>IMAGE("https://mitra.stanford.edu/kundaje/oak/projects/neuro-variants/variant_position/credible/roussos_2024/variant_figures/roussos_2024.adolescence.GLU/rs7537165_profile_position.png",4,220,900)</f>
        <v/>
      </c>
    </row>
    <row r="211">
      <c r="A211" t="inlineStr">
        <is>
          <t>chr1</t>
        </is>
      </c>
      <c r="B211" t="n">
        <v>97594925</v>
      </c>
      <c r="C211" t="inlineStr">
        <is>
          <t>A</t>
        </is>
      </c>
      <c r="D211" t="inlineStr">
        <is>
          <t>C</t>
        </is>
      </c>
      <c r="E211" t="inlineStr">
        <is>
          <t>rs2811202</t>
        </is>
      </c>
      <c r="F211" t="n">
        <v>0.004159865232</v>
      </c>
      <c r="G211" t="n">
        <v>0.7301170556975584</v>
      </c>
      <c r="H211" t="n">
        <v>0.0178800215893947</v>
      </c>
      <c r="I211" t="n">
        <v>0.0934946822109906</v>
      </c>
      <c r="J211" t="n">
        <v>0.0076701602474797</v>
      </c>
      <c r="K211" t="n">
        <v>0.8939356443455989</v>
      </c>
      <c r="L211" t="b">
        <v>0</v>
      </c>
      <c r="M211" t="b">
        <v>0</v>
      </c>
      <c r="N211" t="inlineStr">
        <is>
          <t>alt</t>
        </is>
      </c>
      <c r="O211" t="n">
        <v>-55</v>
      </c>
      <c r="P211" t="n">
        <v>0.003262</v>
      </c>
      <c r="Q211" t="n">
        <v>-90</v>
      </c>
      <c r="R211" t="n">
        <v>0.06519999999999999</v>
      </c>
      <c r="S211">
        <f>IMAGE("https://mitra.stanford.edu/kundaje/oak/projects/neuro-variants/variant_position/credible/roussos_2024/variant_figures/roussos_2024.adolescence.GLU/rs2811202_count_position.png",4,220,900)</f>
        <v/>
      </c>
      <c r="T211">
        <f>IMAGE("https://mitra.stanford.edu/kundaje/oak/projects/neuro-variants/variant_position/credible/roussos_2024/variant_figures/roussos_2024.adolescence.GLU/rs2811202_profile_position.png",4,220,900)</f>
        <v/>
      </c>
    </row>
    <row r="212">
      <c r="A212" t="inlineStr">
        <is>
          <t>chr1</t>
        </is>
      </c>
      <c r="B212" t="n">
        <v>97611109</v>
      </c>
      <c r="C212" t="inlineStr">
        <is>
          <t>C</t>
        </is>
      </c>
      <c r="D212" t="inlineStr">
        <is>
          <t>T</t>
        </is>
      </c>
      <c r="E212" t="inlineStr">
        <is>
          <t>rs2811197</t>
        </is>
      </c>
      <c r="F212" t="n">
        <v>-0.009065998400000001</v>
      </c>
      <c r="G212" t="n">
        <v>0.4973345724894943</v>
      </c>
      <c r="H212" t="n">
        <v>0.0172952770787036</v>
      </c>
      <c r="I212" t="n">
        <v>0.09560226275948409</v>
      </c>
      <c r="J212" t="n">
        <v>0.1508998292503446</v>
      </c>
      <c r="K212" t="n">
        <v>0.4767651219892213</v>
      </c>
      <c r="L212" t="b">
        <v>0</v>
      </c>
      <c r="M212" t="b">
        <v>0</v>
      </c>
      <c r="N212" t="inlineStr">
        <is>
          <t>ref</t>
        </is>
      </c>
      <c r="O212" t="n">
        <v>-95</v>
      </c>
      <c r="P212" t="n">
        <v>0.004654</v>
      </c>
      <c r="Q212" t="n">
        <v>100</v>
      </c>
      <c r="R212" t="n">
        <v>0.0362</v>
      </c>
      <c r="S212">
        <f>IMAGE("https://mitra.stanford.edu/kundaje/oak/projects/neuro-variants/variant_position/credible/roussos_2024/variant_figures/roussos_2024.adolescence.GLU/rs2811197_count_position.png",4,220,900)</f>
        <v/>
      </c>
      <c r="T212">
        <f>IMAGE("https://mitra.stanford.edu/kundaje/oak/projects/neuro-variants/variant_position/credible/roussos_2024/variant_figures/roussos_2024.adolescence.GLU/rs2811197_profile_position.png",4,220,900)</f>
        <v/>
      </c>
    </row>
    <row r="213">
      <c r="A213" t="inlineStr">
        <is>
          <t>chr1</t>
        </is>
      </c>
      <c r="B213" t="n">
        <v>97639882</v>
      </c>
      <c r="C213" t="inlineStr">
        <is>
          <t>A</t>
        </is>
      </c>
      <c r="D213" t="inlineStr">
        <is>
          <t>C</t>
        </is>
      </c>
      <c r="E213" t="inlineStr">
        <is>
          <t>rs6663670</t>
        </is>
      </c>
      <c r="F213" t="n">
        <v>0.03183708016</v>
      </c>
      <c r="G213" t="n">
        <v>0.1725987243866463</v>
      </c>
      <c r="H213" t="n">
        <v>0.0120496554834935</v>
      </c>
      <c r="I213" t="n">
        <v>0.2898996152973026</v>
      </c>
      <c r="J213" t="n">
        <v>0.0212858377806831</v>
      </c>
      <c r="K213" t="n">
        <v>0.8152917536374914</v>
      </c>
      <c r="L213" t="b">
        <v>0</v>
      </c>
      <c r="M213" t="b">
        <v>0</v>
      </c>
      <c r="N213" t="inlineStr">
        <is>
          <t>alt</t>
        </is>
      </c>
      <c r="O213" t="n">
        <v>-90</v>
      </c>
      <c r="P213" t="n">
        <v>0.00594</v>
      </c>
      <c r="Q213" t="n">
        <v>95</v>
      </c>
      <c r="R213" t="n">
        <v>0.02283</v>
      </c>
      <c r="S213">
        <f>IMAGE("https://mitra.stanford.edu/kundaje/oak/projects/neuro-variants/variant_position/credible/roussos_2024/variant_figures/roussos_2024.adolescence.GLU/rs6663670_count_position.png",4,220,900)</f>
        <v/>
      </c>
      <c r="T213">
        <f>IMAGE("https://mitra.stanford.edu/kundaje/oak/projects/neuro-variants/variant_position/credible/roussos_2024/variant_figures/roussos_2024.adolescence.GLU/rs6663670_profile_position.png",4,220,900)</f>
        <v/>
      </c>
    </row>
    <row r="214">
      <c r="A214" t="inlineStr">
        <is>
          <t>chr1</t>
        </is>
      </c>
      <c r="B214" t="n">
        <v>97665524</v>
      </c>
      <c r="C214" t="inlineStr">
        <is>
          <t>A</t>
        </is>
      </c>
      <c r="D214" t="inlineStr">
        <is>
          <t>T</t>
        </is>
      </c>
      <c r="E214" t="inlineStr">
        <is>
          <t>rs72975785</t>
        </is>
      </c>
      <c r="F214" t="n">
        <v>0.00236674696</v>
      </c>
      <c r="G214" t="n">
        <v>0.73862279068244</v>
      </c>
      <c r="H214" t="n">
        <v>0.0184502103542253</v>
      </c>
      <c r="I214" t="n">
        <v>0.0731576376761475</v>
      </c>
      <c r="J214" t="n">
        <v>0.0015246015246014</v>
      </c>
      <c r="K214" t="n">
        <v>0.963244286930098</v>
      </c>
      <c r="L214" t="b">
        <v>0</v>
      </c>
      <c r="M214" t="b">
        <v>0</v>
      </c>
      <c r="N214" t="inlineStr">
        <is>
          <t>alt</t>
        </is>
      </c>
      <c r="O214" t="n">
        <v>75</v>
      </c>
      <c r="P214" t="n">
        <v>0.0004883</v>
      </c>
      <c r="Q214" t="n">
        <v>20</v>
      </c>
      <c r="R214" t="n">
        <v>0.00757</v>
      </c>
      <c r="S214">
        <f>IMAGE("https://mitra.stanford.edu/kundaje/oak/projects/neuro-variants/variant_position/credible/roussos_2024/variant_figures/roussos_2024.adolescence.GLU/rs72975785_count_position.png",4,220,900)</f>
        <v/>
      </c>
      <c r="T214">
        <f>IMAGE("https://mitra.stanford.edu/kundaje/oak/projects/neuro-variants/variant_position/credible/roussos_2024/variant_figures/roussos_2024.adolescence.GLU/rs72975785_profile_position.png",4,220,900)</f>
        <v/>
      </c>
    </row>
    <row r="215">
      <c r="A215" t="inlineStr">
        <is>
          <t>chr1</t>
        </is>
      </c>
      <c r="B215" t="n">
        <v>97867312</v>
      </c>
      <c r="C215" t="inlineStr">
        <is>
          <t>C</t>
        </is>
      </c>
      <c r="D215" t="inlineStr">
        <is>
          <t>T</t>
        </is>
      </c>
      <c r="E215" t="inlineStr">
        <is>
          <t>rs11590802</t>
        </is>
      </c>
      <c r="F215" t="n">
        <v>-0.01918544714</v>
      </c>
      <c r="G215" t="n">
        <v>0.3001717589284473</v>
      </c>
      <c r="H215" t="n">
        <v>0.0092913804540213</v>
      </c>
      <c r="I215" t="n">
        <v>0.6292733152838763</v>
      </c>
      <c r="J215" t="n">
        <v>0.0452836659022225</v>
      </c>
      <c r="K215" t="n">
        <v>0.7157299278484738</v>
      </c>
      <c r="L215" t="b">
        <v>0</v>
      </c>
      <c r="M215" t="b">
        <v>0</v>
      </c>
      <c r="N215" t="inlineStr">
        <is>
          <t>ref</t>
        </is>
      </c>
      <c r="O215" t="n">
        <v>75</v>
      </c>
      <c r="P215" t="n">
        <v>0.0054</v>
      </c>
      <c r="Q215" t="n">
        <v>15</v>
      </c>
      <c r="R215" t="n">
        <v>0.01587</v>
      </c>
      <c r="S215">
        <f>IMAGE("https://mitra.stanford.edu/kundaje/oak/projects/neuro-variants/variant_position/credible/roussos_2024/variant_figures/roussos_2024.adolescence.GLU/rs11590802_count_position.png",4,220,900)</f>
        <v/>
      </c>
      <c r="T215">
        <f>IMAGE("https://mitra.stanford.edu/kundaje/oak/projects/neuro-variants/variant_position/credible/roussos_2024/variant_figures/roussos_2024.adolescence.GLU/rs11590802_profile_position.png",4,220,900)</f>
        <v/>
      </c>
    </row>
    <row r="216">
      <c r="A216" t="inlineStr">
        <is>
          <t>chr1</t>
        </is>
      </c>
      <c r="B216" t="n">
        <v>97887860</v>
      </c>
      <c r="C216" t="inlineStr">
        <is>
          <t>A</t>
        </is>
      </c>
      <c r="D216" t="inlineStr">
        <is>
          <t>G</t>
        </is>
      </c>
      <c r="E216" t="inlineStr">
        <is>
          <t>rs4970723</t>
        </is>
      </c>
      <c r="F216" t="n">
        <v>0.05842195</v>
      </c>
      <c r="G216" t="n">
        <v>0.0427833085580868</v>
      </c>
      <c r="H216" t="n">
        <v>0.0113586424330696</v>
      </c>
      <c r="I216" t="n">
        <v>0.3631344730795139</v>
      </c>
      <c r="J216" t="n">
        <v>0.2128012231105014</v>
      </c>
      <c r="K216" t="n">
        <v>0.3755308314570287</v>
      </c>
      <c r="L216" t="b">
        <v>0</v>
      </c>
      <c r="M216" t="b">
        <v>0</v>
      </c>
      <c r="N216" t="inlineStr">
        <is>
          <t>alt</t>
        </is>
      </c>
      <c r="O216" t="n">
        <v>-100</v>
      </c>
      <c r="P216" t="n">
        <v>0.009445</v>
      </c>
      <c r="Q216" t="n">
        <v>100</v>
      </c>
      <c r="R216" t="n">
        <v>0.08875</v>
      </c>
      <c r="S216">
        <f>IMAGE("https://mitra.stanford.edu/kundaje/oak/projects/neuro-variants/variant_position/credible/roussos_2024/variant_figures/roussos_2024.adolescence.GLU/rs4970723_count_position.png",4,220,900)</f>
        <v/>
      </c>
      <c r="T216">
        <f>IMAGE("https://mitra.stanford.edu/kundaje/oak/projects/neuro-variants/variant_position/credible/roussos_2024/variant_figures/roussos_2024.adolescence.GLU/rs4970723_profile_position.png",4,220,900)</f>
        <v/>
      </c>
    </row>
    <row r="217">
      <c r="A217" t="inlineStr">
        <is>
          <t>chr1</t>
        </is>
      </c>
      <c r="B217" t="n">
        <v>97946313</v>
      </c>
      <c r="C217" t="inlineStr">
        <is>
          <t>G</t>
        </is>
      </c>
      <c r="D217" t="inlineStr">
        <is>
          <t>A</t>
        </is>
      </c>
      <c r="E217" t="inlineStr">
        <is>
          <t>rs12044989</t>
        </is>
      </c>
      <c r="F217" t="n">
        <v>-0.0012018579899999</v>
      </c>
      <c r="G217" t="n">
        <v>0.6407944925132566</v>
      </c>
      <c r="H217" t="n">
        <v>0.0442806445701987</v>
      </c>
      <c r="I217" t="n">
        <v>0.0021184391744825</v>
      </c>
      <c r="J217" t="n">
        <v>0.0623872087789613</v>
      </c>
      <c r="K217" t="n">
        <v>0.6642193317252818</v>
      </c>
      <c r="L217" t="b">
        <v>1</v>
      </c>
      <c r="M217" t="b">
        <v>1</v>
      </c>
      <c r="N217" t="inlineStr">
        <is>
          <t>ref</t>
        </is>
      </c>
      <c r="O217" t="n">
        <v>-50</v>
      </c>
      <c r="P217" t="n">
        <v>0.04248</v>
      </c>
      <c r="Q217" t="n">
        <v>-20</v>
      </c>
      <c r="R217" t="n">
        <v>0.04694</v>
      </c>
      <c r="S217">
        <f>IMAGE("https://mitra.stanford.edu/kundaje/oak/projects/neuro-variants/variant_position/credible/roussos_2024/variant_figures/roussos_2024.adolescence.GLU/rs12044989_count_position.png",4,220,900)</f>
        <v/>
      </c>
      <c r="T217">
        <f>IMAGE("https://mitra.stanford.edu/kundaje/oak/projects/neuro-variants/variant_position/credible/roussos_2024/variant_figures/roussos_2024.adolescence.GLU/rs12044989_profile_position.png",4,220,900)</f>
        <v/>
      </c>
    </row>
    <row r="218">
      <c r="A218" t="inlineStr">
        <is>
          <t>chr1</t>
        </is>
      </c>
      <c r="B218" t="n">
        <v>97958696</v>
      </c>
      <c r="C218" t="inlineStr">
        <is>
          <t>G</t>
        </is>
      </c>
      <c r="D218" t="inlineStr">
        <is>
          <t>A</t>
        </is>
      </c>
      <c r="E218" t="inlineStr">
        <is>
          <t>rs56732321</t>
        </is>
      </c>
      <c r="F218" t="n">
        <v>-0.0392512918</v>
      </c>
      <c r="G218" t="n">
        <v>0.1158350138047341</v>
      </c>
      <c r="H218" t="n">
        <v>0.0085232926504874</v>
      </c>
      <c r="I218" t="n">
        <v>0.7238364646393363</v>
      </c>
      <c r="J218" t="n">
        <v>0.0018689585699894</v>
      </c>
      <c r="K218" t="n">
        <v>0.9561086907643106</v>
      </c>
      <c r="L218" t="b">
        <v>0</v>
      </c>
      <c r="M218" t="b">
        <v>0</v>
      </c>
      <c r="N218" t="inlineStr">
        <is>
          <t>ref</t>
        </is>
      </c>
      <c r="O218" t="n">
        <v>-100</v>
      </c>
      <c r="P218" t="n">
        <v>0.01173</v>
      </c>
      <c r="Q218" t="n">
        <v>-100</v>
      </c>
      <c r="R218" t="n">
        <v>0.08160000000000001</v>
      </c>
      <c r="S218">
        <f>IMAGE("https://mitra.stanford.edu/kundaje/oak/projects/neuro-variants/variant_position/credible/roussos_2024/variant_figures/roussos_2024.adolescence.GLU/rs56732321_count_position.png",4,220,900)</f>
        <v/>
      </c>
      <c r="T218">
        <f>IMAGE("https://mitra.stanford.edu/kundaje/oak/projects/neuro-variants/variant_position/credible/roussos_2024/variant_figures/roussos_2024.adolescence.GLU/rs56732321_profile_position.png",4,220,900)</f>
        <v/>
      </c>
    </row>
    <row r="219">
      <c r="A219" t="inlineStr">
        <is>
          <t>chr1</t>
        </is>
      </c>
      <c r="B219" t="n">
        <v>97977953</v>
      </c>
      <c r="C219" t="inlineStr">
        <is>
          <t>C</t>
        </is>
      </c>
      <c r="D219" t="inlineStr">
        <is>
          <t>T</t>
        </is>
      </c>
      <c r="E219" t="inlineStr">
        <is>
          <t>rs11165939</t>
        </is>
      </c>
      <c r="F219" t="n">
        <v>-0.0254728786</v>
      </c>
      <c r="G219" t="n">
        <v>0.2380963822911704</v>
      </c>
      <c r="H219" t="n">
        <v>0.0116916280068597</v>
      </c>
      <c r="I219" t="n">
        <v>0.3718348744709391</v>
      </c>
      <c r="J219" t="n">
        <v>0.1410563616749183</v>
      </c>
      <c r="K219" t="n">
        <v>0.4930781848457499</v>
      </c>
      <c r="L219" t="b">
        <v>0</v>
      </c>
      <c r="M219" t="b">
        <v>0</v>
      </c>
      <c r="N219" t="inlineStr">
        <is>
          <t>ref</t>
        </is>
      </c>
      <c r="O219" t="n">
        <v>-100</v>
      </c>
      <c r="P219" t="n">
        <v>0.02414</v>
      </c>
      <c r="Q219" t="n">
        <v>-20</v>
      </c>
      <c r="R219" t="n">
        <v>0.02397</v>
      </c>
      <c r="S219">
        <f>IMAGE("https://mitra.stanford.edu/kundaje/oak/projects/neuro-variants/variant_position/credible/roussos_2024/variant_figures/roussos_2024.adolescence.GLU/rs11165939_count_position.png",4,220,900)</f>
        <v/>
      </c>
      <c r="T219">
        <f>IMAGE("https://mitra.stanford.edu/kundaje/oak/projects/neuro-variants/variant_position/credible/roussos_2024/variant_figures/roussos_2024.adolescence.GLU/rs11165939_profile_position.png",4,220,900)</f>
        <v/>
      </c>
    </row>
    <row r="220">
      <c r="A220" t="inlineStr">
        <is>
          <t>chr1</t>
        </is>
      </c>
      <c r="B220" t="n">
        <v>97980638</v>
      </c>
      <c r="C220" t="inlineStr">
        <is>
          <t>G</t>
        </is>
      </c>
      <c r="D220" t="inlineStr">
        <is>
          <t>C</t>
        </is>
      </c>
      <c r="E220" t="inlineStr">
        <is>
          <t>rs12077962</t>
        </is>
      </c>
      <c r="F220" t="n">
        <v>-0.0066069623</v>
      </c>
      <c r="G220" t="n">
        <v>0.660495033835355</v>
      </c>
      <c r="H220" t="n">
        <v>0.0090469637736334</v>
      </c>
      <c r="I220" t="n">
        <v>0.6285348661039161</v>
      </c>
      <c r="J220" t="n">
        <v>0.0052796650734794</v>
      </c>
      <c r="K220" t="n">
        <v>0.9238412281734328</v>
      </c>
      <c r="L220" t="b">
        <v>0</v>
      </c>
      <c r="M220" t="b">
        <v>0</v>
      </c>
      <c r="N220" t="inlineStr">
        <is>
          <t>ref</t>
        </is>
      </c>
      <c r="O220" t="n">
        <v>100</v>
      </c>
      <c r="P220" t="n">
        <v>0.04846</v>
      </c>
      <c r="Q220" t="n">
        <v>95</v>
      </c>
      <c r="R220" t="n">
        <v>0.10236</v>
      </c>
      <c r="S220">
        <f>IMAGE("https://mitra.stanford.edu/kundaje/oak/projects/neuro-variants/variant_position/credible/roussos_2024/variant_figures/roussos_2024.adolescence.GLU/rs12077962_count_position.png",4,220,900)</f>
        <v/>
      </c>
      <c r="T220">
        <f>IMAGE("https://mitra.stanford.edu/kundaje/oak/projects/neuro-variants/variant_position/credible/roussos_2024/variant_figures/roussos_2024.adolescence.GLU/rs12077962_profile_position.png",4,220,900)</f>
        <v/>
      </c>
    </row>
    <row r="221">
      <c r="A221" t="inlineStr">
        <is>
          <t>chr1</t>
        </is>
      </c>
      <c r="B221" t="n">
        <v>98031620</v>
      </c>
      <c r="C221" t="inlineStr">
        <is>
          <t>A</t>
        </is>
      </c>
      <c r="D221" t="inlineStr">
        <is>
          <t>C</t>
        </is>
      </c>
      <c r="E221" t="inlineStr">
        <is>
          <t>rs1198572</t>
        </is>
      </c>
      <c r="F221" t="n">
        <v>-0.0026414447799999</v>
      </c>
      <c r="G221" t="n">
        <v>0.7862479265933163</v>
      </c>
      <c r="H221" t="n">
        <v>0.0272251768231322</v>
      </c>
      <c r="I221" t="n">
        <v>0.0136310790668387</v>
      </c>
      <c r="J221" t="n">
        <v>0.0075487065177786</v>
      </c>
      <c r="K221" t="n">
        <v>0.8976567194369238</v>
      </c>
      <c r="L221" t="b">
        <v>0</v>
      </c>
      <c r="M221" t="b">
        <v>0</v>
      </c>
      <c r="N221" t="inlineStr">
        <is>
          <t>ref</t>
        </is>
      </c>
      <c r="O221" t="n">
        <v>90</v>
      </c>
      <c r="P221" t="n">
        <v>0.002426</v>
      </c>
      <c r="Q221" t="n">
        <v>90</v>
      </c>
      <c r="R221" t="n">
        <v>0.02748</v>
      </c>
      <c r="S221">
        <f>IMAGE("https://mitra.stanford.edu/kundaje/oak/projects/neuro-variants/variant_position/credible/roussos_2024/variant_figures/roussos_2024.adolescence.GLU/rs1198572_count_position.png",4,220,900)</f>
        <v/>
      </c>
      <c r="T221">
        <f>IMAGE("https://mitra.stanford.edu/kundaje/oak/projects/neuro-variants/variant_position/credible/roussos_2024/variant_figures/roussos_2024.adolescence.GLU/rs1198572_profile_position.png",4,220,900)</f>
        <v/>
      </c>
    </row>
    <row r="222">
      <c r="A222" t="inlineStr">
        <is>
          <t>chr1</t>
        </is>
      </c>
      <c r="B222" t="n">
        <v>98036428</v>
      </c>
      <c r="C222" t="inlineStr">
        <is>
          <t>T</t>
        </is>
      </c>
      <c r="D222" t="inlineStr">
        <is>
          <t>C</t>
        </is>
      </c>
      <c r="E222" t="inlineStr">
        <is>
          <t>rs1702294</t>
        </is>
      </c>
      <c r="F222" t="n">
        <v>0.0105768999999999</v>
      </c>
      <c r="G222" t="n">
        <v>0.4778005277360029</v>
      </c>
      <c r="H222" t="n">
        <v>0.0119448502223685</v>
      </c>
      <c r="I222" t="n">
        <v>0.331012508257976</v>
      </c>
      <c r="J222" t="n">
        <v>0.030972129941202</v>
      </c>
      <c r="K222" t="n">
        <v>0.7664818854774614</v>
      </c>
      <c r="L222" t="b">
        <v>0</v>
      </c>
      <c r="M222" t="b">
        <v>0</v>
      </c>
      <c r="N222" t="inlineStr">
        <is>
          <t>alt</t>
        </is>
      </c>
      <c r="O222" t="n">
        <v>-70</v>
      </c>
      <c r="P222" t="n">
        <v>0.02902</v>
      </c>
      <c r="Q222" t="n">
        <v>-100</v>
      </c>
      <c r="R222" t="n">
        <v>0.05206</v>
      </c>
      <c r="S222">
        <f>IMAGE("https://mitra.stanford.edu/kundaje/oak/projects/neuro-variants/variant_position/credible/roussos_2024/variant_figures/roussos_2024.adolescence.GLU/rs1702294_count_position.png",4,220,900)</f>
        <v/>
      </c>
      <c r="T222">
        <f>IMAGE("https://mitra.stanford.edu/kundaje/oak/projects/neuro-variants/variant_position/credible/roussos_2024/variant_figures/roussos_2024.adolescence.GLU/rs1702294_profile_position.png",4,220,900)</f>
        <v/>
      </c>
    </row>
    <row r="223">
      <c r="A223" t="inlineStr">
        <is>
          <t>chr1</t>
        </is>
      </c>
      <c r="B223" t="n">
        <v>98060611</v>
      </c>
      <c r="C223" t="inlineStr">
        <is>
          <t>T</t>
        </is>
      </c>
      <c r="D223" t="inlineStr">
        <is>
          <t>C</t>
        </is>
      </c>
      <c r="E223" t="inlineStr">
        <is>
          <t>rs1702291</t>
        </is>
      </c>
      <c r="F223" t="n">
        <v>0.0616439546</v>
      </c>
      <c r="G223" t="n">
        <v>0.0366490934900388</v>
      </c>
      <c r="H223" t="n">
        <v>0.016639884981687</v>
      </c>
      <c r="I223" t="n">
        <v>0.1153725160745811</v>
      </c>
      <c r="J223" t="n">
        <v>0.0406041251402075</v>
      </c>
      <c r="K223" t="n">
        <v>0.7340719847012843</v>
      </c>
      <c r="L223" t="b">
        <v>0</v>
      </c>
      <c r="M223" t="b">
        <v>0</v>
      </c>
      <c r="N223" t="inlineStr">
        <is>
          <t>alt</t>
        </is>
      </c>
      <c r="O223" t="n">
        <v>-50</v>
      </c>
      <c r="P223" t="n">
        <v>0.0008736</v>
      </c>
      <c r="Q223" t="n">
        <v>-50</v>
      </c>
      <c r="R223" t="n">
        <v>0.01642</v>
      </c>
      <c r="S223">
        <f>IMAGE("https://mitra.stanford.edu/kundaje/oak/projects/neuro-variants/variant_position/credible/roussos_2024/variant_figures/roussos_2024.adolescence.GLU/rs1702291_count_position.png",4,220,900)</f>
        <v/>
      </c>
      <c r="T223">
        <f>IMAGE("https://mitra.stanford.edu/kundaje/oak/projects/neuro-variants/variant_position/credible/roussos_2024/variant_figures/roussos_2024.adolescence.GLU/rs1702291_profile_position.png",4,220,900)</f>
        <v/>
      </c>
    </row>
    <row r="224">
      <c r="A224" t="inlineStr">
        <is>
          <t>chr1</t>
        </is>
      </c>
      <c r="B224" t="n">
        <v>98070109</v>
      </c>
      <c r="C224" t="inlineStr">
        <is>
          <t>A</t>
        </is>
      </c>
      <c r="D224" t="inlineStr">
        <is>
          <t>G</t>
        </is>
      </c>
      <c r="E224" t="inlineStr">
        <is>
          <t>rs11808051</t>
        </is>
      </c>
      <c r="F224" t="n">
        <v>0.0749503872</v>
      </c>
      <c r="G224" t="n">
        <v>0.0175150244339783</v>
      </c>
      <c r="H224" t="n">
        <v>0.011978661547716</v>
      </c>
      <c r="I224" t="n">
        <v>0.3367388545761208</v>
      </c>
      <c r="J224" t="n">
        <v>0.09622421787370231</v>
      </c>
      <c r="K224" t="n">
        <v>0.5805460131478473</v>
      </c>
      <c r="L224" t="b">
        <v>1</v>
      </c>
      <c r="M224" t="b">
        <v>0</v>
      </c>
      <c r="N224" t="inlineStr">
        <is>
          <t>alt</t>
        </is>
      </c>
      <c r="O224" t="n">
        <v>-100</v>
      </c>
      <c r="P224" t="n">
        <v>0.0009117</v>
      </c>
      <c r="Q224" t="n">
        <v>95</v>
      </c>
      <c r="R224" t="n">
        <v>0.04828</v>
      </c>
      <c r="S224">
        <f>IMAGE("https://mitra.stanford.edu/kundaje/oak/projects/neuro-variants/variant_position/credible/roussos_2024/variant_figures/roussos_2024.adolescence.GLU/rs11808051_count_position.png",4,220,900)</f>
        <v/>
      </c>
      <c r="T224">
        <f>IMAGE("https://mitra.stanford.edu/kundaje/oak/projects/neuro-variants/variant_position/credible/roussos_2024/variant_figures/roussos_2024.adolescence.GLU/rs11808051_profile_position.png",4,220,900)</f>
        <v/>
      </c>
    </row>
    <row r="225">
      <c r="A225" t="inlineStr">
        <is>
          <t>chr1</t>
        </is>
      </c>
      <c r="B225" t="n">
        <v>98101149</v>
      </c>
      <c r="C225" t="inlineStr">
        <is>
          <t>A</t>
        </is>
      </c>
      <c r="D225" t="inlineStr">
        <is>
          <t>G</t>
        </is>
      </c>
      <c r="E225" t="inlineStr">
        <is>
          <t>rs12027634</t>
        </is>
      </c>
      <c r="F225" t="n">
        <v>-0.0530456992</v>
      </c>
      <c r="G225" t="n">
        <v>0.0626783140399883</v>
      </c>
      <c r="H225" t="n">
        <v>0.022257127452298</v>
      </c>
      <c r="I225" t="n">
        <v>0.0376885949869191</v>
      </c>
      <c r="J225" t="n">
        <v>0.07993370055225719</v>
      </c>
      <c r="K225" t="n">
        <v>0.6237617005312417</v>
      </c>
      <c r="L225" t="b">
        <v>0</v>
      </c>
      <c r="M225" t="b">
        <v>0</v>
      </c>
      <c r="N225" t="inlineStr">
        <is>
          <t>ref</t>
        </is>
      </c>
      <c r="O225" t="n">
        <v>-65</v>
      </c>
      <c r="P225" t="n">
        <v>0.011</v>
      </c>
      <c r="Q225" t="n">
        <v>-100</v>
      </c>
      <c r="R225" t="n">
        <v>0.1677</v>
      </c>
      <c r="S225">
        <f>IMAGE("https://mitra.stanford.edu/kundaje/oak/projects/neuro-variants/variant_position/credible/roussos_2024/variant_figures/roussos_2024.adolescence.GLU/rs12027634_count_position.png",4,220,900)</f>
        <v/>
      </c>
      <c r="T225">
        <f>IMAGE("https://mitra.stanford.edu/kundaje/oak/projects/neuro-variants/variant_position/credible/roussos_2024/variant_figures/roussos_2024.adolescence.GLU/rs12027634_profile_position.png",4,220,900)</f>
        <v/>
      </c>
    </row>
    <row r="226">
      <c r="A226" t="inlineStr">
        <is>
          <t>chr1</t>
        </is>
      </c>
      <c r="B226" t="n">
        <v>98112221</v>
      </c>
      <c r="C226" t="inlineStr">
        <is>
          <t>A</t>
        </is>
      </c>
      <c r="D226" t="inlineStr">
        <is>
          <t>G</t>
        </is>
      </c>
      <c r="E226" t="inlineStr">
        <is>
          <t>rs4950095</t>
        </is>
      </c>
      <c r="F226" t="n">
        <v>0.019604874</v>
      </c>
      <c r="G226" t="n">
        <v>0.3041827238576637</v>
      </c>
      <c r="H226" t="n">
        <v>0.0099822595424183</v>
      </c>
      <c r="I226" t="n">
        <v>0.537248458821789</v>
      </c>
      <c r="J226" t="n">
        <v>0.101303841510027</v>
      </c>
      <c r="K226" t="n">
        <v>0.5673612996515169</v>
      </c>
      <c r="L226" t="b">
        <v>0</v>
      </c>
      <c r="M226" t="b">
        <v>0</v>
      </c>
      <c r="N226" t="inlineStr">
        <is>
          <t>alt</t>
        </is>
      </c>
      <c r="O226" t="n">
        <v>100</v>
      </c>
      <c r="P226" t="n">
        <v>0.2084</v>
      </c>
      <c r="Q226" t="n">
        <v>5</v>
      </c>
      <c r="R226" t="n">
        <v>0.001129</v>
      </c>
      <c r="S226">
        <f>IMAGE("https://mitra.stanford.edu/kundaje/oak/projects/neuro-variants/variant_position/credible/roussos_2024/variant_figures/roussos_2024.adolescence.GLU/rs4950095_count_position.png",4,220,900)</f>
        <v/>
      </c>
      <c r="T226">
        <f>IMAGE("https://mitra.stanford.edu/kundaje/oak/projects/neuro-variants/variant_position/credible/roussos_2024/variant_figures/roussos_2024.adolescence.GLU/rs4950095_profile_position.png",4,220,900)</f>
        <v/>
      </c>
    </row>
    <row r="227">
      <c r="A227" t="inlineStr">
        <is>
          <t>chr1</t>
        </is>
      </c>
      <c r="B227" t="n">
        <v>98129502</v>
      </c>
      <c r="C227" t="inlineStr">
        <is>
          <t>G</t>
        </is>
      </c>
      <c r="D227" t="inlineStr">
        <is>
          <t>A</t>
        </is>
      </c>
      <c r="E227" t="inlineStr">
        <is>
          <t>rs12567725</t>
        </is>
      </c>
      <c r="F227" t="n">
        <v>-0.001262065702</v>
      </c>
      <c r="G227" t="n">
        <v>0.8631203301410256</v>
      </c>
      <c r="H227" t="n">
        <v>0.0123072763843716</v>
      </c>
      <c r="I227" t="n">
        <v>0.2967425834719692</v>
      </c>
      <c r="J227" t="n">
        <v>0.0949282351344206</v>
      </c>
      <c r="K227" t="n">
        <v>0.5846040049554055</v>
      </c>
      <c r="L227" t="b">
        <v>0</v>
      </c>
      <c r="M227" t="b">
        <v>0</v>
      </c>
      <c r="N227" t="inlineStr">
        <is>
          <t>ref</t>
        </is>
      </c>
      <c r="O227" t="n">
        <v>-100</v>
      </c>
      <c r="P227" t="n">
        <v>0.00656</v>
      </c>
      <c r="Q227" t="n">
        <v>-100</v>
      </c>
      <c r="R227" t="n">
        <v>0.0624</v>
      </c>
      <c r="S227">
        <f>IMAGE("https://mitra.stanford.edu/kundaje/oak/projects/neuro-variants/variant_position/credible/roussos_2024/variant_figures/roussos_2024.adolescence.GLU/rs12567725_count_position.png",4,220,900)</f>
        <v/>
      </c>
      <c r="T227">
        <f>IMAGE("https://mitra.stanford.edu/kundaje/oak/projects/neuro-variants/variant_position/credible/roussos_2024/variant_figures/roussos_2024.adolescence.GLU/rs12567725_profile_position.png",4,220,900)</f>
        <v/>
      </c>
    </row>
    <row r="228">
      <c r="A228" t="inlineStr">
        <is>
          <t>chr1</t>
        </is>
      </c>
      <c r="B228" t="n">
        <v>98176374</v>
      </c>
      <c r="C228" t="inlineStr">
        <is>
          <t>A</t>
        </is>
      </c>
      <c r="D228" t="inlineStr">
        <is>
          <t>G</t>
        </is>
      </c>
      <c r="E228" t="inlineStr">
        <is>
          <t>rs2046585</t>
        </is>
      </c>
      <c r="F228" t="n">
        <v>0.00904372744</v>
      </c>
      <c r="G228" t="n">
        <v>0.5299235133891311</v>
      </c>
      <c r="H228" t="n">
        <v>0.0200931699004896</v>
      </c>
      <c r="I228" t="n">
        <v>0.0542319591168424</v>
      </c>
      <c r="J228" t="n">
        <v>0.0159375870716076</v>
      </c>
      <c r="K228" t="n">
        <v>0.8419143307919384</v>
      </c>
      <c r="L228" t="b">
        <v>0</v>
      </c>
      <c r="M228" t="b">
        <v>0</v>
      </c>
      <c r="N228" t="inlineStr">
        <is>
          <t>alt</t>
        </is>
      </c>
      <c r="O228" t="n">
        <v>-80</v>
      </c>
      <c r="P228" t="n">
        <v>0.01066</v>
      </c>
      <c r="Q228" t="n">
        <v>65</v>
      </c>
      <c r="R228" t="n">
        <v>0.00992</v>
      </c>
      <c r="S228">
        <f>IMAGE("https://mitra.stanford.edu/kundaje/oak/projects/neuro-variants/variant_position/credible/roussos_2024/variant_figures/roussos_2024.adolescence.GLU/rs2046585_count_position.png",4,220,900)</f>
        <v/>
      </c>
      <c r="T228">
        <f>IMAGE("https://mitra.stanford.edu/kundaje/oak/projects/neuro-variants/variant_position/credible/roussos_2024/variant_figures/roussos_2024.adolescence.GLU/rs2046585_profile_position.png",4,220,900)</f>
        <v/>
      </c>
    </row>
    <row r="229">
      <c r="A229" t="inlineStr">
        <is>
          <t>chr1</t>
        </is>
      </c>
      <c r="B229" t="n">
        <v>114966435</v>
      </c>
      <c r="C229" t="inlineStr">
        <is>
          <t>T</t>
        </is>
      </c>
      <c r="D229" t="inlineStr">
        <is>
          <t>C</t>
        </is>
      </c>
      <c r="E229" t="inlineStr">
        <is>
          <t>rs77509205</t>
        </is>
      </c>
      <c r="F229" t="n">
        <v>0.0143101764</v>
      </c>
      <c r="G229" t="n">
        <v>0.3881088032840657</v>
      </c>
      <c r="H229" t="n">
        <v>0.0094151139968447</v>
      </c>
      <c r="I229" t="n">
        <v>0.6173607194227508</v>
      </c>
      <c r="J229" t="n">
        <v>0.0662494373834579</v>
      </c>
      <c r="K229" t="n">
        <v>0.6540263833223412</v>
      </c>
      <c r="L229" t="b">
        <v>0</v>
      </c>
      <c r="M229" t="b">
        <v>0</v>
      </c>
      <c r="N229" t="inlineStr">
        <is>
          <t>alt</t>
        </is>
      </c>
      <c r="O229" t="n">
        <v>-30</v>
      </c>
      <c r="P229" t="n">
        <v>0.004955</v>
      </c>
      <c r="Q229" t="n">
        <v>-15</v>
      </c>
      <c r="R229" t="n">
        <v>0.0324</v>
      </c>
      <c r="S229">
        <f>IMAGE("https://mitra.stanford.edu/kundaje/oak/projects/neuro-variants/variant_position/credible/roussos_2024/variant_figures/roussos_2024.adolescence.GLU/rs77509205_count_position.png",4,220,900)</f>
        <v/>
      </c>
      <c r="T229">
        <f>IMAGE("https://mitra.stanford.edu/kundaje/oak/projects/neuro-variants/variant_position/credible/roussos_2024/variant_figures/roussos_2024.adolescence.GLU/rs77509205_profile_position.png",4,220,900)</f>
        <v/>
      </c>
    </row>
    <row r="230">
      <c r="A230" t="inlineStr">
        <is>
          <t>chr1</t>
        </is>
      </c>
      <c r="B230" t="n">
        <v>115059573</v>
      </c>
      <c r="C230" t="inlineStr">
        <is>
          <t>C</t>
        </is>
      </c>
      <c r="D230" t="inlineStr">
        <is>
          <t>T</t>
        </is>
      </c>
      <c r="E230" t="inlineStr">
        <is>
          <t>rs6537851</t>
        </is>
      </c>
      <c r="F230" t="n">
        <v>-0.0529471639999999</v>
      </c>
      <c r="G230" t="n">
        <v>0.0613037355650063</v>
      </c>
      <c r="H230" t="n">
        <v>0.0151181392195038</v>
      </c>
      <c r="I230" t="n">
        <v>0.1602973585196635</v>
      </c>
      <c r="J230" t="n">
        <v>0.1393445785198362</v>
      </c>
      <c r="K230" t="n">
        <v>0.5011024665503808</v>
      </c>
      <c r="L230" t="b">
        <v>0</v>
      </c>
      <c r="M230" t="b">
        <v>0</v>
      </c>
      <c r="N230" t="inlineStr">
        <is>
          <t>ref</t>
        </is>
      </c>
      <c r="O230" t="n">
        <v>-25</v>
      </c>
      <c r="P230" t="n">
        <v>0.001701</v>
      </c>
      <c r="Q230" t="n">
        <v>-25</v>
      </c>
      <c r="R230" t="n">
        <v>0.0249</v>
      </c>
      <c r="S230">
        <f>IMAGE("https://mitra.stanford.edu/kundaje/oak/projects/neuro-variants/variant_position/credible/roussos_2024/variant_figures/roussos_2024.adolescence.GLU/rs6537851_count_position.png",4,220,900)</f>
        <v/>
      </c>
      <c r="T230">
        <f>IMAGE("https://mitra.stanford.edu/kundaje/oak/projects/neuro-variants/variant_position/credible/roussos_2024/variant_figures/roussos_2024.adolescence.GLU/rs6537851_profile_position.png",4,220,900)</f>
        <v/>
      </c>
    </row>
    <row r="231">
      <c r="A231" t="inlineStr">
        <is>
          <t>chr1</t>
        </is>
      </c>
      <c r="B231" t="n">
        <v>115221028</v>
      </c>
      <c r="C231" t="inlineStr">
        <is>
          <t>C</t>
        </is>
      </c>
      <c r="D231" t="inlineStr">
        <is>
          <t>T</t>
        </is>
      </c>
      <c r="E231" t="inlineStr">
        <is>
          <t>rs11102896</t>
        </is>
      </c>
      <c r="F231" t="n">
        <v>-0.0581085472</v>
      </c>
      <c r="G231" t="n">
        <v>0.0460556539450453</v>
      </c>
      <c r="H231" t="n">
        <v>0.0124450718459045</v>
      </c>
      <c r="I231" t="n">
        <v>0.2946594512819672</v>
      </c>
      <c r="J231" t="n">
        <v>0.472174950525466</v>
      </c>
      <c r="K231" t="n">
        <v>0.1085512576653089</v>
      </c>
      <c r="L231" t="b">
        <v>0</v>
      </c>
      <c r="M231" t="b">
        <v>0</v>
      </c>
      <c r="N231" t="inlineStr">
        <is>
          <t>ref</t>
        </is>
      </c>
      <c r="O231" t="n">
        <v>-5</v>
      </c>
      <c r="P231" t="n">
        <v>0.0004272</v>
      </c>
      <c r="Q231" t="n">
        <v>-80</v>
      </c>
      <c r="R231" t="n">
        <v>0.03723</v>
      </c>
      <c r="S231">
        <f>IMAGE("https://mitra.stanford.edu/kundaje/oak/projects/neuro-variants/variant_position/credible/roussos_2024/variant_figures/roussos_2024.adolescence.GLU/rs11102896_count_position.png",4,220,900)</f>
        <v/>
      </c>
      <c r="T231">
        <f>IMAGE("https://mitra.stanford.edu/kundaje/oak/projects/neuro-variants/variant_position/credible/roussos_2024/variant_figures/roussos_2024.adolescence.GLU/rs11102896_profile_position.png",4,220,900)</f>
        <v/>
      </c>
    </row>
    <row r="232">
      <c r="A232" t="inlineStr">
        <is>
          <t>chr1</t>
        </is>
      </c>
      <c r="B232" t="n">
        <v>115255892</v>
      </c>
      <c r="C232" t="inlineStr">
        <is>
          <t>G</t>
        </is>
      </c>
      <c r="D232" t="inlineStr">
        <is>
          <t>T</t>
        </is>
      </c>
      <c r="E232" t="inlineStr">
        <is>
          <t>rs2223926</t>
        </is>
      </c>
      <c r="F232" t="n">
        <v>0.008937017079999899</v>
      </c>
      <c r="G232" t="n">
        <v>0.3110738237892306</v>
      </c>
      <c r="H232" t="n">
        <v>0.0220181147266331</v>
      </c>
      <c r="I232" t="n">
        <v>0.0427234843745901</v>
      </c>
      <c r="J232" t="n">
        <v>0.1835051546391752</v>
      </c>
      <c r="K232" t="n">
        <v>0.4272165468479882</v>
      </c>
      <c r="L232" t="b">
        <v>0</v>
      </c>
      <c r="M232" t="b">
        <v>0</v>
      </c>
      <c r="N232" t="inlineStr">
        <is>
          <t>alt</t>
        </is>
      </c>
      <c r="O232" t="n">
        <v>100</v>
      </c>
      <c r="P232" t="n">
        <v>0.00425</v>
      </c>
      <c r="Q232" t="n">
        <v>-80</v>
      </c>
      <c r="R232" t="n">
        <v>0.0166</v>
      </c>
      <c r="S232">
        <f>IMAGE("https://mitra.stanford.edu/kundaje/oak/projects/neuro-variants/variant_position/credible/roussos_2024/variant_figures/roussos_2024.adolescence.GLU/rs2223926_count_position.png",4,220,900)</f>
        <v/>
      </c>
      <c r="T232">
        <f>IMAGE("https://mitra.stanford.edu/kundaje/oak/projects/neuro-variants/variant_position/credible/roussos_2024/variant_figures/roussos_2024.adolescence.GLU/rs2223926_profile_position.png",4,220,900)</f>
        <v/>
      </c>
    </row>
    <row r="233">
      <c r="A233" t="inlineStr">
        <is>
          <t>chr1</t>
        </is>
      </c>
      <c r="B233" t="n">
        <v>115256641</v>
      </c>
      <c r="C233" t="inlineStr">
        <is>
          <t>T</t>
        </is>
      </c>
      <c r="D233" t="inlineStr">
        <is>
          <t>A</t>
        </is>
      </c>
      <c r="E233" t="inlineStr">
        <is>
          <t>rs12745199</t>
        </is>
      </c>
      <c r="F233" t="n">
        <v>-0.0075373196</v>
      </c>
      <c r="G233" t="n">
        <v>0.6232089116495478</v>
      </c>
      <c r="H233" t="n">
        <v>0.0266085583914957</v>
      </c>
      <c r="I233" t="n">
        <v>0.0159354760543522</v>
      </c>
      <c r="J233" t="n">
        <v>0.0979402876310092</v>
      </c>
      <c r="K233" t="n">
        <v>0.5765026490003167</v>
      </c>
      <c r="L233" t="b">
        <v>1</v>
      </c>
      <c r="M233" t="b">
        <v>0</v>
      </c>
      <c r="N233" t="inlineStr">
        <is>
          <t>ref</t>
        </is>
      </c>
      <c r="O233" t="n">
        <v>-95</v>
      </c>
      <c r="P233" t="n">
        <v>0.00351</v>
      </c>
      <c r="Q233" t="n">
        <v>100</v>
      </c>
      <c r="R233" t="n">
        <v>0.05453</v>
      </c>
      <c r="S233">
        <f>IMAGE("https://mitra.stanford.edu/kundaje/oak/projects/neuro-variants/variant_position/credible/roussos_2024/variant_figures/roussos_2024.adolescence.GLU/rs12745199_count_position.png",4,220,900)</f>
        <v/>
      </c>
      <c r="T233">
        <f>IMAGE("https://mitra.stanford.edu/kundaje/oak/projects/neuro-variants/variant_position/credible/roussos_2024/variant_figures/roussos_2024.adolescence.GLU/rs12745199_profile_position.png",4,220,900)</f>
        <v/>
      </c>
    </row>
    <row r="234">
      <c r="A234" t="inlineStr">
        <is>
          <t>chr1</t>
        </is>
      </c>
      <c r="B234" t="n">
        <v>150027806</v>
      </c>
      <c r="C234" t="inlineStr">
        <is>
          <t>T</t>
        </is>
      </c>
      <c r="D234" t="inlineStr">
        <is>
          <t>A</t>
        </is>
      </c>
      <c r="E234" t="inlineStr">
        <is>
          <t>rs6687454</t>
        </is>
      </c>
      <c r="F234" t="n">
        <v>0.00547344666</v>
      </c>
      <c r="G234" t="n">
        <v>0.6882400812064804</v>
      </c>
      <c r="H234" t="n">
        <v>0.0192629235658145</v>
      </c>
      <c r="I234" t="n">
        <v>0.0613984812914902</v>
      </c>
      <c r="J234" t="n">
        <v>0.0019246843989111</v>
      </c>
      <c r="K234" t="n">
        <v>0.9561419051578096</v>
      </c>
      <c r="L234" t="b">
        <v>0</v>
      </c>
      <c r="M234" t="b">
        <v>0</v>
      </c>
      <c r="N234" t="inlineStr">
        <is>
          <t>alt</t>
        </is>
      </c>
      <c r="O234" t="n">
        <v>35</v>
      </c>
      <c r="P234" t="n">
        <v>0.0038</v>
      </c>
      <c r="Q234" t="n">
        <v>-50</v>
      </c>
      <c r="R234" t="n">
        <v>0.010254</v>
      </c>
      <c r="S234">
        <f>IMAGE("https://mitra.stanford.edu/kundaje/oak/projects/neuro-variants/variant_position/credible/roussos_2024/variant_figures/roussos_2024.adolescence.GLU/rs6687454_count_position.png",4,220,900)</f>
        <v/>
      </c>
      <c r="T234">
        <f>IMAGE("https://mitra.stanford.edu/kundaje/oak/projects/neuro-variants/variant_position/credible/roussos_2024/variant_figures/roussos_2024.adolescence.GLU/rs6687454_profile_position.png",4,220,900)</f>
        <v/>
      </c>
    </row>
    <row r="235">
      <c r="A235" t="inlineStr">
        <is>
          <t>chr1</t>
        </is>
      </c>
      <c r="B235" t="n">
        <v>150036614</v>
      </c>
      <c r="C235" t="inlineStr">
        <is>
          <t>A</t>
        </is>
      </c>
      <c r="D235" t="inlineStr">
        <is>
          <t>G</t>
        </is>
      </c>
      <c r="E235" t="inlineStr">
        <is>
          <t>rs77391665</t>
        </is>
      </c>
      <c r="F235" t="n">
        <v>-0.0660052356</v>
      </c>
      <c r="G235" t="n">
        <v>0.0506051288084699</v>
      </c>
      <c r="H235" t="n">
        <v>0.0235368144166416</v>
      </c>
      <c r="I235" t="n">
        <v>0.0691029915611284</v>
      </c>
      <c r="J235" t="n">
        <v>0.0333640539826106</v>
      </c>
      <c r="K235" t="n">
        <v>0.7586689734994293</v>
      </c>
      <c r="L235" t="b">
        <v>0</v>
      </c>
      <c r="M235" t="b">
        <v>0</v>
      </c>
      <c r="N235" t="inlineStr">
        <is>
          <t>ref</t>
        </is>
      </c>
      <c r="O235" t="n">
        <v>70</v>
      </c>
      <c r="P235" t="n">
        <v>0.01349</v>
      </c>
      <c r="Q235" t="n">
        <v>-30</v>
      </c>
      <c r="R235" t="n">
        <v>0.01901</v>
      </c>
      <c r="S235">
        <f>IMAGE("https://mitra.stanford.edu/kundaje/oak/projects/neuro-variants/variant_position/credible/roussos_2024/variant_figures/roussos_2024.adolescence.GLU/rs77391665_count_position.png",4,220,900)</f>
        <v/>
      </c>
      <c r="T235">
        <f>IMAGE("https://mitra.stanford.edu/kundaje/oak/projects/neuro-variants/variant_position/credible/roussos_2024/variant_figures/roussos_2024.adolescence.GLU/rs77391665_profile_position.png",4,220,900)</f>
        <v/>
      </c>
    </row>
    <row r="236">
      <c r="A236" t="inlineStr">
        <is>
          <t>chr1</t>
        </is>
      </c>
      <c r="B236" t="n">
        <v>150041153</v>
      </c>
      <c r="C236" t="inlineStr">
        <is>
          <t>A</t>
        </is>
      </c>
      <c r="D236" t="inlineStr">
        <is>
          <t>C</t>
        </is>
      </c>
      <c r="E236" t="inlineStr">
        <is>
          <t>rs12063059</t>
        </is>
      </c>
      <c r="F236" t="n">
        <v>0.00668863158</v>
      </c>
      <c r="G236" t="n">
        <v>0.6365927149400142</v>
      </c>
      <c r="H236" t="n">
        <v>0.0163762638174675</v>
      </c>
      <c r="I236" t="n">
        <v>0.1324003157088789</v>
      </c>
      <c r="J236" t="n">
        <v>0.0089389945060047</v>
      </c>
      <c r="K236" t="n">
        <v>0.8843577742779647</v>
      </c>
      <c r="L236" t="b">
        <v>0</v>
      </c>
      <c r="M236" t="b">
        <v>0</v>
      </c>
      <c r="N236" t="inlineStr">
        <is>
          <t>alt</t>
        </is>
      </c>
      <c r="O236" t="n">
        <v>-5</v>
      </c>
      <c r="P236" t="n">
        <v>0.0001221</v>
      </c>
      <c r="Q236" t="n">
        <v>-65</v>
      </c>
      <c r="R236" t="n">
        <v>0.0514</v>
      </c>
      <c r="S236">
        <f>IMAGE("https://mitra.stanford.edu/kundaje/oak/projects/neuro-variants/variant_position/credible/roussos_2024/variant_figures/roussos_2024.adolescence.GLU/rs12063059_count_position.png",4,220,900)</f>
        <v/>
      </c>
      <c r="T236">
        <f>IMAGE("https://mitra.stanford.edu/kundaje/oak/projects/neuro-variants/variant_position/credible/roussos_2024/variant_figures/roussos_2024.adolescence.GLU/rs12063059_profile_position.png",4,220,900)</f>
        <v/>
      </c>
    </row>
    <row r="237">
      <c r="A237" t="inlineStr">
        <is>
          <t>chr1</t>
        </is>
      </c>
      <c r="B237" t="n">
        <v>150043194</v>
      </c>
      <c r="C237" t="inlineStr">
        <is>
          <t>T</t>
        </is>
      </c>
      <c r="D237" t="inlineStr">
        <is>
          <t>G</t>
        </is>
      </c>
      <c r="E237" t="inlineStr">
        <is>
          <t>rs72692865</t>
        </is>
      </c>
      <c r="F237" t="n">
        <v>0.0799461983999999</v>
      </c>
      <c r="G237" t="n">
        <v>0.0154612612958801</v>
      </c>
      <c r="H237" t="n">
        <v>0.0198092659803396</v>
      </c>
      <c r="I237" t="n">
        <v>0.0622737800923376</v>
      </c>
      <c r="J237" t="n">
        <v>0.06916146916146911</v>
      </c>
      <c r="K237" t="n">
        <v>0.6503262733289182</v>
      </c>
      <c r="L237" t="b">
        <v>1</v>
      </c>
      <c r="M237" t="b">
        <v>0</v>
      </c>
      <c r="N237" t="inlineStr">
        <is>
          <t>alt</t>
        </is>
      </c>
      <c r="O237" t="n">
        <v>-95</v>
      </c>
      <c r="P237" t="n">
        <v>0.02277</v>
      </c>
      <c r="Q237" t="n">
        <v>85</v>
      </c>
      <c r="R237" t="n">
        <v>0.04498</v>
      </c>
      <c r="S237">
        <f>IMAGE("https://mitra.stanford.edu/kundaje/oak/projects/neuro-variants/variant_position/credible/roussos_2024/variant_figures/roussos_2024.adolescence.GLU/rs72692865_count_position.png",4,220,900)</f>
        <v/>
      </c>
      <c r="T237">
        <f>IMAGE("https://mitra.stanford.edu/kundaje/oak/projects/neuro-variants/variant_position/credible/roussos_2024/variant_figures/roussos_2024.adolescence.GLU/rs72692865_profile_position.png",4,220,900)</f>
        <v/>
      </c>
    </row>
    <row r="238">
      <c r="A238" t="inlineStr">
        <is>
          <t>chr1</t>
        </is>
      </c>
      <c r="B238" t="n">
        <v>150045258</v>
      </c>
      <c r="C238" t="inlineStr">
        <is>
          <t>A</t>
        </is>
      </c>
      <c r="D238" t="inlineStr">
        <is>
          <t>C</t>
        </is>
      </c>
      <c r="E238" t="inlineStr">
        <is>
          <t>rs72692866</t>
        </is>
      </c>
      <c r="F238" t="n">
        <v>0.00537367492</v>
      </c>
      <c r="G238" t="n">
        <v>0.6772469104246208</v>
      </c>
      <c r="H238" t="n">
        <v>0.0244345241127352</v>
      </c>
      <c r="I238" t="n">
        <v>0.0223327269011398</v>
      </c>
      <c r="J238" t="n">
        <v>0.0172821513027697</v>
      </c>
      <c r="K238" t="n">
        <v>0.8349272853029448</v>
      </c>
      <c r="L238" t="b">
        <v>0</v>
      </c>
      <c r="M238" t="b">
        <v>0</v>
      </c>
      <c r="N238" t="inlineStr">
        <is>
          <t>alt</t>
        </is>
      </c>
      <c r="O238" t="n">
        <v>-85</v>
      </c>
      <c r="P238" t="n">
        <v>0.05945</v>
      </c>
      <c r="Q238" t="n">
        <v>85</v>
      </c>
      <c r="R238" t="n">
        <v>0.05762</v>
      </c>
      <c r="S238">
        <f>IMAGE("https://mitra.stanford.edu/kundaje/oak/projects/neuro-variants/variant_position/credible/roussos_2024/variant_figures/roussos_2024.adolescence.GLU/rs72692866_count_position.png",4,220,900)</f>
        <v/>
      </c>
      <c r="T238">
        <f>IMAGE("https://mitra.stanford.edu/kundaje/oak/projects/neuro-variants/variant_position/credible/roussos_2024/variant_figures/roussos_2024.adolescence.GLU/rs72692866_profile_position.png",4,220,900)</f>
        <v/>
      </c>
    </row>
    <row r="239">
      <c r="A239" t="inlineStr">
        <is>
          <t>chr1</t>
        </is>
      </c>
      <c r="B239" t="n">
        <v>150047081</v>
      </c>
      <c r="C239" t="inlineStr">
        <is>
          <t>C</t>
        </is>
      </c>
      <c r="D239" t="inlineStr">
        <is>
          <t>A</t>
        </is>
      </c>
      <c r="E239" t="inlineStr">
        <is>
          <t>rs72692870</t>
        </is>
      </c>
      <c r="F239" t="n">
        <v>0.00975126292</v>
      </c>
      <c r="G239" t="n">
        <v>0.5264852003786318</v>
      </c>
      <c r="H239" t="n">
        <v>0.0318043485074264</v>
      </c>
      <c r="I239" t="n">
        <v>0.0073888001326497</v>
      </c>
      <c r="J239" t="n">
        <v>0.1217537918568845</v>
      </c>
      <c r="K239" t="n">
        <v>0.531424824922375</v>
      </c>
      <c r="L239" t="b">
        <v>1</v>
      </c>
      <c r="M239" t="b">
        <v>1</v>
      </c>
      <c r="N239" t="inlineStr">
        <is>
          <t>alt</t>
        </is>
      </c>
      <c r="O239" t="n">
        <v>100</v>
      </c>
      <c r="P239" t="n">
        <v>0.0128</v>
      </c>
      <c r="Q239" t="n">
        <v>25</v>
      </c>
      <c r="R239" t="n">
        <v>0.02036</v>
      </c>
      <c r="S239">
        <f>IMAGE("https://mitra.stanford.edu/kundaje/oak/projects/neuro-variants/variant_position/credible/roussos_2024/variant_figures/roussos_2024.adolescence.GLU/rs72692870_count_position.png",4,220,900)</f>
        <v/>
      </c>
      <c r="T239">
        <f>IMAGE("https://mitra.stanford.edu/kundaje/oak/projects/neuro-variants/variant_position/credible/roussos_2024/variant_figures/roussos_2024.adolescence.GLU/rs72692870_profile_position.png",4,220,900)</f>
        <v/>
      </c>
    </row>
    <row r="240">
      <c r="A240" t="inlineStr">
        <is>
          <t>chr1</t>
        </is>
      </c>
      <c r="B240" t="n">
        <v>150053395</v>
      </c>
      <c r="C240" t="inlineStr">
        <is>
          <t>T</t>
        </is>
      </c>
      <c r="D240" t="inlineStr">
        <is>
          <t>C</t>
        </is>
      </c>
      <c r="E240" t="inlineStr">
        <is>
          <t>rs12074281</t>
        </is>
      </c>
      <c r="F240" t="n">
        <v>0.00249264152</v>
      </c>
      <c r="G240" t="n">
        <v>0.7284943533477032</v>
      </c>
      <c r="H240" t="n">
        <v>0.0256587184801718</v>
      </c>
      <c r="I240" t="n">
        <v>0.0181684514038558</v>
      </c>
      <c r="J240" t="n">
        <v>0.0328010802237605</v>
      </c>
      <c r="K240" t="n">
        <v>0.7681685785066397</v>
      </c>
      <c r="L240" t="b">
        <v>1</v>
      </c>
      <c r="M240" t="b">
        <v>0</v>
      </c>
      <c r="N240" t="inlineStr">
        <is>
          <t>alt</t>
        </is>
      </c>
      <c r="O240" t="n">
        <v>-95</v>
      </c>
      <c r="P240" t="n">
        <v>0.004356</v>
      </c>
      <c r="Q240" t="n">
        <v>60</v>
      </c>
      <c r="R240" t="n">
        <v>0.03143</v>
      </c>
      <c r="S240">
        <f>IMAGE("https://mitra.stanford.edu/kundaje/oak/projects/neuro-variants/variant_position/credible/roussos_2024/variant_figures/roussos_2024.adolescence.GLU/rs12074281_count_position.png",4,220,900)</f>
        <v/>
      </c>
      <c r="T240">
        <f>IMAGE("https://mitra.stanford.edu/kundaje/oak/projects/neuro-variants/variant_position/credible/roussos_2024/variant_figures/roussos_2024.adolescence.GLU/rs12074281_profile_position.png",4,220,900)</f>
        <v/>
      </c>
    </row>
    <row r="241">
      <c r="A241" t="inlineStr">
        <is>
          <t>chr1</t>
        </is>
      </c>
      <c r="B241" t="n">
        <v>150086719</v>
      </c>
      <c r="C241" t="inlineStr">
        <is>
          <t>G</t>
        </is>
      </c>
      <c r="D241" t="inlineStr">
        <is>
          <t>A</t>
        </is>
      </c>
      <c r="E241" t="inlineStr">
        <is>
          <t>rs56212907</t>
        </is>
      </c>
      <c r="F241" t="n">
        <v>-0.050247622</v>
      </c>
      <c r="G241" t="n">
        <v>0.0640623234220149</v>
      </c>
      <c r="H241" t="n">
        <v>0.0125878758983313</v>
      </c>
      <c r="I241" t="n">
        <v>0.284045376663671</v>
      </c>
      <c r="J241" t="n">
        <v>0.0240578405526858</v>
      </c>
      <c r="K241" t="n">
        <v>0.7977291839454769</v>
      </c>
      <c r="L241" t="b">
        <v>0</v>
      </c>
      <c r="M241" t="b">
        <v>0</v>
      </c>
      <c r="N241" t="inlineStr">
        <is>
          <t>ref</t>
        </is>
      </c>
      <c r="O241" t="n">
        <v>-65</v>
      </c>
      <c r="P241" t="n">
        <v>0.00856</v>
      </c>
      <c r="Q241" t="n">
        <v>15</v>
      </c>
      <c r="R241" t="n">
        <v>0.02237</v>
      </c>
      <c r="S241">
        <f>IMAGE("https://mitra.stanford.edu/kundaje/oak/projects/neuro-variants/variant_position/credible/roussos_2024/variant_figures/roussos_2024.adolescence.GLU/rs56212907_count_position.png",4,220,900)</f>
        <v/>
      </c>
      <c r="T241">
        <f>IMAGE("https://mitra.stanford.edu/kundaje/oak/projects/neuro-variants/variant_position/credible/roussos_2024/variant_figures/roussos_2024.adolescence.GLU/rs56212907_profile_position.png",4,220,900)</f>
        <v/>
      </c>
    </row>
    <row r="242">
      <c r="A242" t="inlineStr">
        <is>
          <t>chr1</t>
        </is>
      </c>
      <c r="B242" t="n">
        <v>150090550</v>
      </c>
      <c r="C242" t="inlineStr">
        <is>
          <t>C</t>
        </is>
      </c>
      <c r="D242" t="inlineStr">
        <is>
          <t>A</t>
        </is>
      </c>
      <c r="E242" t="inlineStr">
        <is>
          <t>rs72694905</t>
        </is>
      </c>
      <c r="F242" t="n">
        <v>-0.001094724942</v>
      </c>
      <c r="G242" t="n">
        <v>0.8189497903734988</v>
      </c>
      <c r="H242" t="n">
        <v>0.0276470831088162</v>
      </c>
      <c r="I242" t="n">
        <v>0.0123273766292731</v>
      </c>
      <c r="J242" t="n">
        <v>0.0189553550378292</v>
      </c>
      <c r="K242" t="n">
        <v>0.8228528969884272</v>
      </c>
      <c r="L242" t="b">
        <v>1</v>
      </c>
      <c r="M242" t="b">
        <v>0</v>
      </c>
      <c r="N242" t="inlineStr">
        <is>
          <t>ref</t>
        </is>
      </c>
      <c r="O242" t="n">
        <v>100</v>
      </c>
      <c r="P242" t="n">
        <v>0.003994</v>
      </c>
      <c r="Q242" t="n">
        <v>-100</v>
      </c>
      <c r="R242" t="n">
        <v>0.01909</v>
      </c>
      <c r="S242">
        <f>IMAGE("https://mitra.stanford.edu/kundaje/oak/projects/neuro-variants/variant_position/credible/roussos_2024/variant_figures/roussos_2024.adolescence.GLU/rs72694905_count_position.png",4,220,900)</f>
        <v/>
      </c>
      <c r="T242">
        <f>IMAGE("https://mitra.stanford.edu/kundaje/oak/projects/neuro-variants/variant_position/credible/roussos_2024/variant_figures/roussos_2024.adolescence.GLU/rs72694905_profile_position.png",4,220,900)</f>
        <v/>
      </c>
    </row>
    <row r="243">
      <c r="A243" t="inlineStr">
        <is>
          <t>chr1</t>
        </is>
      </c>
      <c r="B243" t="n">
        <v>150109454</v>
      </c>
      <c r="C243" t="inlineStr">
        <is>
          <t>A</t>
        </is>
      </c>
      <c r="D243" t="inlineStr">
        <is>
          <t>G</t>
        </is>
      </c>
      <c r="E243" t="inlineStr">
        <is>
          <t>rs72694928</t>
        </is>
      </c>
      <c r="F243" t="n">
        <v>0.020923127</v>
      </c>
      <c r="G243" t="n">
        <v>0.2689009900127096</v>
      </c>
      <c r="H243" t="n">
        <v>0.0103623726510038</v>
      </c>
      <c r="I243" t="n">
        <v>0.4950210385333577</v>
      </c>
      <c r="J243" t="n">
        <v>0.2172992977116688</v>
      </c>
      <c r="K243" t="n">
        <v>0.3733081026684661</v>
      </c>
      <c r="L243" t="b">
        <v>0</v>
      </c>
      <c r="M243" t="b">
        <v>0</v>
      </c>
      <c r="N243" t="inlineStr">
        <is>
          <t>alt</t>
        </is>
      </c>
      <c r="O243" t="n">
        <v>-20</v>
      </c>
      <c r="P243" t="n">
        <v>0.001186</v>
      </c>
      <c r="Q243" t="n">
        <v>-50</v>
      </c>
      <c r="R243" t="n">
        <v>0.07530000000000001</v>
      </c>
      <c r="S243">
        <f>IMAGE("https://mitra.stanford.edu/kundaje/oak/projects/neuro-variants/variant_position/credible/roussos_2024/variant_figures/roussos_2024.adolescence.GLU/rs72694928_count_position.png",4,220,900)</f>
        <v/>
      </c>
      <c r="T243">
        <f>IMAGE("https://mitra.stanford.edu/kundaje/oak/projects/neuro-variants/variant_position/credible/roussos_2024/variant_figures/roussos_2024.adolescence.GLU/rs72694928_profile_position.png",4,220,900)</f>
        <v/>
      </c>
    </row>
    <row r="244">
      <c r="A244" t="inlineStr">
        <is>
          <t>chr1</t>
        </is>
      </c>
      <c r="B244" t="n">
        <v>150134673</v>
      </c>
      <c r="C244" t="inlineStr">
        <is>
          <t>T</t>
        </is>
      </c>
      <c r="D244" t="inlineStr">
        <is>
          <t>G</t>
        </is>
      </c>
      <c r="E244" t="inlineStr">
        <is>
          <t>rs56369603</t>
        </is>
      </c>
      <c r="F244" t="n">
        <v>0.00642863436</v>
      </c>
      <c r="G244" t="n">
        <v>0.6564116316276536</v>
      </c>
      <c r="H244" t="n">
        <v>0.021234320339261</v>
      </c>
      <c r="I244" t="n">
        <v>0.0436145530538327</v>
      </c>
      <c r="J244" t="n">
        <v>0.003583599459888</v>
      </c>
      <c r="K244" t="n">
        <v>0.9347357020036076</v>
      </c>
      <c r="L244" t="b">
        <v>0</v>
      </c>
      <c r="M244" t="b">
        <v>0</v>
      </c>
      <c r="N244" t="inlineStr">
        <is>
          <t>alt</t>
        </is>
      </c>
      <c r="O244" t="n">
        <v>70</v>
      </c>
      <c r="P244" t="n">
        <v>0.002764</v>
      </c>
      <c r="Q244" t="n">
        <v>5</v>
      </c>
      <c r="R244" t="n">
        <v>0.001831</v>
      </c>
      <c r="S244">
        <f>IMAGE("https://mitra.stanford.edu/kundaje/oak/projects/neuro-variants/variant_position/credible/roussos_2024/variant_figures/roussos_2024.adolescence.GLU/rs56369603_count_position.png",4,220,900)</f>
        <v/>
      </c>
      <c r="T244">
        <f>IMAGE("https://mitra.stanford.edu/kundaje/oak/projects/neuro-variants/variant_position/credible/roussos_2024/variant_figures/roussos_2024.adolescence.GLU/rs56369603_profile_position.png",4,220,900)</f>
        <v/>
      </c>
    </row>
    <row r="245">
      <c r="A245" t="inlineStr">
        <is>
          <t>chr1</t>
        </is>
      </c>
      <c r="B245" t="n">
        <v>150140312</v>
      </c>
      <c r="C245" t="inlineStr">
        <is>
          <t>C</t>
        </is>
      </c>
      <c r="D245" t="inlineStr">
        <is>
          <t>T</t>
        </is>
      </c>
      <c r="E245" t="inlineStr">
        <is>
          <t>rs72694944</t>
        </is>
      </c>
      <c r="F245" t="n">
        <v>-0.0408234019999999</v>
      </c>
      <c r="G245" t="n">
        <v>0.1045340518372152</v>
      </c>
      <c r="H245" t="n">
        <v>0.018743672743839</v>
      </c>
      <c r="I245" t="n">
        <v>0.0754148505505447</v>
      </c>
      <c r="J245" t="n">
        <v>0.0477970436733322</v>
      </c>
      <c r="K245" t="n">
        <v>0.7116617973283905</v>
      </c>
      <c r="L245" t="b">
        <v>0</v>
      </c>
      <c r="M245" t="b">
        <v>0</v>
      </c>
      <c r="N245" t="inlineStr">
        <is>
          <t>ref</t>
        </is>
      </c>
      <c r="O245" t="n">
        <v>95</v>
      </c>
      <c r="P245" t="n">
        <v>0.005867</v>
      </c>
      <c r="Q245" t="n">
        <v>5</v>
      </c>
      <c r="R245" t="n">
        <v>0.00357</v>
      </c>
      <c r="S245">
        <f>IMAGE("https://mitra.stanford.edu/kundaje/oak/projects/neuro-variants/variant_position/credible/roussos_2024/variant_figures/roussos_2024.adolescence.GLU/rs72694944_count_position.png",4,220,900)</f>
        <v/>
      </c>
      <c r="T245">
        <f>IMAGE("https://mitra.stanford.edu/kundaje/oak/projects/neuro-variants/variant_position/credible/roussos_2024/variant_figures/roussos_2024.adolescence.GLU/rs72694944_profile_position.png",4,220,900)</f>
        <v/>
      </c>
    </row>
    <row r="246">
      <c r="A246" t="inlineStr">
        <is>
          <t>chr1</t>
        </is>
      </c>
      <c r="B246" t="n">
        <v>150174687</v>
      </c>
      <c r="C246" t="inlineStr">
        <is>
          <t>T</t>
        </is>
      </c>
      <c r="D246" t="inlineStr">
        <is>
          <t>A</t>
        </is>
      </c>
      <c r="E246" t="inlineStr">
        <is>
          <t>rs72694960</t>
        </is>
      </c>
      <c r="F246" t="n">
        <v>0.003982982252</v>
      </c>
      <c r="G246" t="n">
        <v>0.7624215624133027</v>
      </c>
      <c r="H246" t="n">
        <v>0.0157654135189852</v>
      </c>
      <c r="I246" t="n">
        <v>0.1406948110386546</v>
      </c>
      <c r="J246" t="n">
        <v>0.0955340749155181</v>
      </c>
      <c r="K246" t="n">
        <v>0.5866597868510939</v>
      </c>
      <c r="L246" t="b">
        <v>0</v>
      </c>
      <c r="M246" t="b">
        <v>0</v>
      </c>
      <c r="N246" t="inlineStr">
        <is>
          <t>alt</t>
        </is>
      </c>
      <c r="O246" t="n">
        <v>70</v>
      </c>
      <c r="P246" t="n">
        <v>0.002441</v>
      </c>
      <c r="Q246" t="n">
        <v>100</v>
      </c>
      <c r="R246" t="n">
        <v>0.126</v>
      </c>
      <c r="S246">
        <f>IMAGE("https://mitra.stanford.edu/kundaje/oak/projects/neuro-variants/variant_position/credible/roussos_2024/variant_figures/roussos_2024.adolescence.GLU/rs72694960_count_position.png",4,220,900)</f>
        <v/>
      </c>
      <c r="T246">
        <f>IMAGE("https://mitra.stanford.edu/kundaje/oak/projects/neuro-variants/variant_position/credible/roussos_2024/variant_figures/roussos_2024.adolescence.GLU/rs72694960_profile_position.png",4,220,900)</f>
        <v/>
      </c>
    </row>
    <row r="247">
      <c r="A247" t="inlineStr">
        <is>
          <t>chr1</t>
        </is>
      </c>
      <c r="B247" t="n">
        <v>151471857</v>
      </c>
      <c r="C247" t="inlineStr">
        <is>
          <t>G</t>
        </is>
      </c>
      <c r="D247" t="inlineStr">
        <is>
          <t>A</t>
        </is>
      </c>
      <c r="E247" t="inlineStr">
        <is>
          <t>rs11204824</t>
        </is>
      </c>
      <c r="F247" t="n">
        <v>0.0003716514</v>
      </c>
      <c r="G247" t="n">
        <v>0.8208351998163814</v>
      </c>
      <c r="H247" t="n">
        <v>0.010651991451066</v>
      </c>
      <c r="I247" t="n">
        <v>0.4465977870650685</v>
      </c>
      <c r="J247" t="n">
        <v>0.0477484621814518</v>
      </c>
      <c r="K247" t="n">
        <v>0.7110669554768214</v>
      </c>
      <c r="L247" t="b">
        <v>0</v>
      </c>
      <c r="M247" t="b">
        <v>0</v>
      </c>
      <c r="N247" t="inlineStr">
        <is>
          <t>alt</t>
        </is>
      </c>
      <c r="O247" t="n">
        <v>65</v>
      </c>
      <c r="P247" t="n">
        <v>0.003815</v>
      </c>
      <c r="Q247" t="n">
        <v>-100</v>
      </c>
      <c r="R247" t="n">
        <v>0.07099999999999999</v>
      </c>
      <c r="S247">
        <f>IMAGE("https://mitra.stanford.edu/kundaje/oak/projects/neuro-variants/variant_position/credible/roussos_2024/variant_figures/roussos_2024.adolescence.GLU/rs11204824_count_position.png",4,220,900)</f>
        <v/>
      </c>
      <c r="T247">
        <f>IMAGE("https://mitra.stanford.edu/kundaje/oak/projects/neuro-variants/variant_position/credible/roussos_2024/variant_figures/roussos_2024.adolescence.GLU/rs11204824_profile_position.png",4,220,900)</f>
        <v/>
      </c>
    </row>
    <row r="248">
      <c r="A248" t="inlineStr">
        <is>
          <t>chr1</t>
        </is>
      </c>
      <c r="B248" t="n">
        <v>151473276</v>
      </c>
      <c r="C248" t="inlineStr">
        <is>
          <t>C</t>
        </is>
      </c>
      <c r="D248" t="inlineStr">
        <is>
          <t>T</t>
        </is>
      </c>
      <c r="E248" t="inlineStr">
        <is>
          <t>rs10888415</t>
        </is>
      </c>
      <c r="F248" t="n">
        <v>0.0129036964</v>
      </c>
      <c r="G248" t="n">
        <v>0.421368592998708</v>
      </c>
      <c r="H248" t="n">
        <v>0.0158406900672764</v>
      </c>
      <c r="I248" t="n">
        <v>0.1306254087468951</v>
      </c>
      <c r="J248" t="n">
        <v>0.4488301148094962</v>
      </c>
      <c r="K248" t="n">
        <v>0.1266772035231875</v>
      </c>
      <c r="L248" t="b">
        <v>0</v>
      </c>
      <c r="M248" t="b">
        <v>0</v>
      </c>
      <c r="N248" t="inlineStr">
        <is>
          <t>alt</t>
        </is>
      </c>
      <c r="O248" t="n">
        <v>100</v>
      </c>
      <c r="P248" t="n">
        <v>0.02086</v>
      </c>
      <c r="Q248" t="n">
        <v>100</v>
      </c>
      <c r="R248" t="n">
        <v>0.313</v>
      </c>
      <c r="S248">
        <f>IMAGE("https://mitra.stanford.edu/kundaje/oak/projects/neuro-variants/variant_position/credible/roussos_2024/variant_figures/roussos_2024.adolescence.GLU/rs10888415_count_position.png",4,220,900)</f>
        <v/>
      </c>
      <c r="T248">
        <f>IMAGE("https://mitra.stanford.edu/kundaje/oak/projects/neuro-variants/variant_position/credible/roussos_2024/variant_figures/roussos_2024.adolescence.GLU/rs10888415_profile_position.png",4,220,900)</f>
        <v/>
      </c>
    </row>
    <row r="249">
      <c r="A249" t="inlineStr">
        <is>
          <t>chr1</t>
        </is>
      </c>
      <c r="B249" t="n">
        <v>151611057</v>
      </c>
      <c r="C249" t="inlineStr">
        <is>
          <t>C</t>
        </is>
      </c>
      <c r="D249" t="inlineStr">
        <is>
          <t>A</t>
        </is>
      </c>
      <c r="E249" t="inlineStr">
        <is>
          <t>rs58479084</t>
        </is>
      </c>
      <c r="F249" t="n">
        <v>0.0042636706184</v>
      </c>
      <c r="G249" t="n">
        <v>0.646249425782953</v>
      </c>
      <c r="H249" t="n">
        <v>0.0418525232458916</v>
      </c>
      <c r="I249" t="n">
        <v>0.0025671550494047</v>
      </c>
      <c r="J249" t="n">
        <v>0.1170471026141129</v>
      </c>
      <c r="K249" t="n">
        <v>0.5391582394729246</v>
      </c>
      <c r="L249" t="b">
        <v>1</v>
      </c>
      <c r="M249" t="b">
        <v>1</v>
      </c>
      <c r="N249" t="inlineStr">
        <is>
          <t>alt</t>
        </is>
      </c>
      <c r="O249" t="n">
        <v>-70</v>
      </c>
      <c r="P249" t="n">
        <v>0.02112</v>
      </c>
      <c r="Q249" t="n">
        <v>-15</v>
      </c>
      <c r="R249" t="n">
        <v>0.1511</v>
      </c>
      <c r="S249">
        <f>IMAGE("https://mitra.stanford.edu/kundaje/oak/projects/neuro-variants/variant_position/credible/roussos_2024/variant_figures/roussos_2024.adolescence.GLU/rs58479084_count_position.png",4,220,900)</f>
        <v/>
      </c>
      <c r="T249">
        <f>IMAGE("https://mitra.stanford.edu/kundaje/oak/projects/neuro-variants/variant_position/credible/roussos_2024/variant_figures/roussos_2024.adolescence.GLU/rs58479084_profile_position.png",4,220,900)</f>
        <v/>
      </c>
    </row>
    <row r="250">
      <c r="A250" t="inlineStr">
        <is>
          <t>chr1</t>
        </is>
      </c>
      <c r="B250" t="n">
        <v>151637173</v>
      </c>
      <c r="C250" t="inlineStr">
        <is>
          <t>T</t>
        </is>
      </c>
      <c r="D250" t="inlineStr">
        <is>
          <t>G</t>
        </is>
      </c>
      <c r="E250" t="inlineStr">
        <is>
          <t>rs144529710</t>
        </is>
      </c>
      <c r="F250" t="n">
        <v>-0.0022019919199999</v>
      </c>
      <c r="G250" t="n">
        <v>0.8183328311130096</v>
      </c>
      <c r="H250" t="n">
        <v>0.0396157876455103</v>
      </c>
      <c r="I250" t="n">
        <v>0.0029083175673597</v>
      </c>
      <c r="J250" t="n">
        <v>0.0657821977409605</v>
      </c>
      <c r="K250" t="n">
        <v>0.6578179780811568</v>
      </c>
      <c r="L250" t="b">
        <v>1</v>
      </c>
      <c r="M250" t="b">
        <v>1</v>
      </c>
      <c r="N250" t="inlineStr">
        <is>
          <t>ref</t>
        </is>
      </c>
      <c r="O250" t="n">
        <v>60</v>
      </c>
      <c r="P250" t="n">
        <v>0.00563</v>
      </c>
      <c r="Q250" t="n">
        <v>35</v>
      </c>
      <c r="R250" t="n">
        <v>0.03043</v>
      </c>
      <c r="S250">
        <f>IMAGE("https://mitra.stanford.edu/kundaje/oak/projects/neuro-variants/variant_position/credible/roussos_2024/variant_figures/roussos_2024.adolescence.GLU/rs144529710_count_position.png",4,220,900)</f>
        <v/>
      </c>
      <c r="T250">
        <f>IMAGE("https://mitra.stanford.edu/kundaje/oak/projects/neuro-variants/variant_position/credible/roussos_2024/variant_figures/roussos_2024.adolescence.GLU/rs144529710_profile_position.png",4,220,900)</f>
        <v/>
      </c>
    </row>
    <row r="251">
      <c r="A251" t="inlineStr">
        <is>
          <t>chr1</t>
        </is>
      </c>
      <c r="B251" t="n">
        <v>151657482</v>
      </c>
      <c r="C251" t="inlineStr">
        <is>
          <t>A</t>
        </is>
      </c>
      <c r="D251" t="inlineStr">
        <is>
          <t>G</t>
        </is>
      </c>
      <c r="E251" t="inlineStr">
        <is>
          <t>rs6690942</t>
        </is>
      </c>
      <c r="F251" t="n">
        <v>-0.0329735119999999</v>
      </c>
      <c r="G251" t="n">
        <v>0.122415999303421</v>
      </c>
      <c r="H251" t="n">
        <v>0.021685301881557</v>
      </c>
      <c r="I251" t="n">
        <v>0.0682520713208306</v>
      </c>
      <c r="J251" t="n">
        <v>0.1086596509276921</v>
      </c>
      <c r="K251" t="n">
        <v>0.5566152125227587</v>
      </c>
      <c r="L251" t="b">
        <v>0</v>
      </c>
      <c r="M251" t="b">
        <v>0</v>
      </c>
      <c r="N251" t="inlineStr">
        <is>
          <t>ref</t>
        </is>
      </c>
      <c r="O251" t="n">
        <v>100</v>
      </c>
      <c r="P251" t="n">
        <v>0.01349</v>
      </c>
      <c r="Q251" t="n">
        <v>55</v>
      </c>
      <c r="R251" t="n">
        <v>0.02911</v>
      </c>
      <c r="S251">
        <f>IMAGE("https://mitra.stanford.edu/kundaje/oak/projects/neuro-variants/variant_position/credible/roussos_2024/variant_figures/roussos_2024.adolescence.GLU/rs6690942_count_position.png",4,220,900)</f>
        <v/>
      </c>
      <c r="T251">
        <f>IMAGE("https://mitra.stanford.edu/kundaje/oak/projects/neuro-variants/variant_position/credible/roussos_2024/variant_figures/roussos_2024.adolescence.GLU/rs6690942_profile_position.png",4,220,900)</f>
        <v/>
      </c>
    </row>
    <row r="252">
      <c r="A252" t="inlineStr">
        <is>
          <t>chr1</t>
        </is>
      </c>
      <c r="B252" t="n">
        <v>151707487</v>
      </c>
      <c r="C252" t="inlineStr">
        <is>
          <t>C</t>
        </is>
      </c>
      <c r="D252" t="inlineStr">
        <is>
          <t>T</t>
        </is>
      </c>
      <c r="E252" t="inlineStr">
        <is>
          <t>rs2280473</t>
        </is>
      </c>
      <c r="F252" t="n">
        <v>-0.0308263596</v>
      </c>
      <c r="G252" t="n">
        <v>0.1785173114239115</v>
      </c>
      <c r="H252" t="n">
        <v>0.011242733982874</v>
      </c>
      <c r="I252" t="n">
        <v>0.3825130120751197</v>
      </c>
      <c r="J252" t="n">
        <v>0.5548749383800929</v>
      </c>
      <c r="K252" t="n">
        <v>0.057189855130753</v>
      </c>
      <c r="L252" t="b">
        <v>0</v>
      </c>
      <c r="M252" t="b">
        <v>0</v>
      </c>
      <c r="N252" t="inlineStr">
        <is>
          <t>ref</t>
        </is>
      </c>
      <c r="O252" t="n">
        <v>-100</v>
      </c>
      <c r="P252" t="n">
        <v>0.01567</v>
      </c>
      <c r="Q252" t="n">
        <v>-90</v>
      </c>
      <c r="R252" t="n">
        <v>0.08749999999999999</v>
      </c>
      <c r="S252">
        <f>IMAGE("https://mitra.stanford.edu/kundaje/oak/projects/neuro-variants/variant_position/credible/roussos_2024/variant_figures/roussos_2024.adolescence.GLU/rs2280473_count_position.png",4,220,900)</f>
        <v/>
      </c>
      <c r="T252">
        <f>IMAGE("https://mitra.stanford.edu/kundaje/oak/projects/neuro-variants/variant_position/credible/roussos_2024/variant_figures/roussos_2024.adolescence.GLU/rs2280473_profile_position.png",4,220,900)</f>
        <v/>
      </c>
    </row>
    <row r="253">
      <c r="A253" t="inlineStr">
        <is>
          <t>chr1</t>
        </is>
      </c>
      <c r="B253" t="n">
        <v>153898374</v>
      </c>
      <c r="C253" t="inlineStr">
        <is>
          <t>T</t>
        </is>
      </c>
      <c r="D253" t="inlineStr">
        <is>
          <t>C</t>
        </is>
      </c>
      <c r="E253" t="inlineStr">
        <is>
          <t>rs11800001</t>
        </is>
      </c>
      <c r="F253" t="n">
        <v>0.00457183588</v>
      </c>
      <c r="G253" t="n">
        <v>0.7354003590091401</v>
      </c>
      <c r="H253" t="n">
        <v>0.0144473522681734</v>
      </c>
      <c r="I253" t="n">
        <v>0.193178730252149</v>
      </c>
      <c r="J253" t="n">
        <v>0.0503147080466667</v>
      </c>
      <c r="K253" t="n">
        <v>0.7040459953716165</v>
      </c>
      <c r="L253" t="b">
        <v>0</v>
      </c>
      <c r="M253" t="b">
        <v>0</v>
      </c>
      <c r="N253" t="inlineStr">
        <is>
          <t>alt</t>
        </is>
      </c>
      <c r="O253" t="n">
        <v>5</v>
      </c>
      <c r="P253" t="n">
        <v>0.0002441</v>
      </c>
      <c r="Q253" t="n">
        <v>-40</v>
      </c>
      <c r="R253" t="n">
        <v>0.00592</v>
      </c>
      <c r="S253">
        <f>IMAGE("https://mitra.stanford.edu/kundaje/oak/projects/neuro-variants/variant_position/credible/roussos_2024/variant_figures/roussos_2024.adolescence.GLU/rs11800001_count_position.png",4,220,900)</f>
        <v/>
      </c>
      <c r="T253">
        <f>IMAGE("https://mitra.stanford.edu/kundaje/oak/projects/neuro-variants/variant_position/credible/roussos_2024/variant_figures/roussos_2024.adolescence.GLU/rs11800001_profile_position.png",4,220,900)</f>
        <v/>
      </c>
    </row>
    <row r="254">
      <c r="A254" t="inlineStr">
        <is>
          <t>chr1</t>
        </is>
      </c>
      <c r="B254" t="n">
        <v>153902212</v>
      </c>
      <c r="C254" t="inlineStr">
        <is>
          <t>C</t>
        </is>
      </c>
      <c r="D254" t="inlineStr">
        <is>
          <t>T</t>
        </is>
      </c>
      <c r="E254" t="inlineStr">
        <is>
          <t>rs11264559</t>
        </is>
      </c>
      <c r="F254" t="n">
        <v>-0.0613307418</v>
      </c>
      <c r="G254" t="n">
        <v>0.0382485767252676</v>
      </c>
      <c r="H254" t="n">
        <v>0.0125071481661745</v>
      </c>
      <c r="I254" t="n">
        <v>0.30156133542018</v>
      </c>
      <c r="J254" t="n">
        <v>0.07688449750305409</v>
      </c>
      <c r="K254" t="n">
        <v>0.6338517442829016</v>
      </c>
      <c r="L254" t="b">
        <v>0</v>
      </c>
      <c r="M254" t="b">
        <v>0</v>
      </c>
      <c r="N254" t="inlineStr">
        <is>
          <t>ref</t>
        </is>
      </c>
      <c r="O254" t="n">
        <v>50</v>
      </c>
      <c r="P254" t="n">
        <v>0.003693</v>
      </c>
      <c r="Q254" t="n">
        <v>70</v>
      </c>
      <c r="R254" t="n">
        <v>0.02069</v>
      </c>
      <c r="S254">
        <f>IMAGE("https://mitra.stanford.edu/kundaje/oak/projects/neuro-variants/variant_position/credible/roussos_2024/variant_figures/roussos_2024.adolescence.GLU/rs11264559_count_position.png",4,220,900)</f>
        <v/>
      </c>
      <c r="T254">
        <f>IMAGE("https://mitra.stanford.edu/kundaje/oak/projects/neuro-variants/variant_position/credible/roussos_2024/variant_figures/roussos_2024.adolescence.GLU/rs11264559_profile_position.png",4,220,900)</f>
        <v/>
      </c>
    </row>
    <row r="255">
      <c r="A255" t="inlineStr">
        <is>
          <t>chr1</t>
        </is>
      </c>
      <c r="B255" t="n">
        <v>153907268</v>
      </c>
      <c r="C255" t="inlineStr">
        <is>
          <t>C</t>
        </is>
      </c>
      <c r="D255" t="inlineStr">
        <is>
          <t>T</t>
        </is>
      </c>
      <c r="E255" t="inlineStr">
        <is>
          <t>rs6671132</t>
        </is>
      </c>
      <c r="F255" t="n">
        <v>-0.0589198782</v>
      </c>
      <c r="G255" t="n">
        <v>0.0506082910457489</v>
      </c>
      <c r="H255" t="n">
        <v>0.0127435871980313</v>
      </c>
      <c r="I255" t="n">
        <v>0.28170559318116</v>
      </c>
      <c r="J255" t="n">
        <v>0.1792499874974101</v>
      </c>
      <c r="K255" t="n">
        <v>0.4261313801260854</v>
      </c>
      <c r="L255" t="b">
        <v>0</v>
      </c>
      <c r="M255" t="b">
        <v>0</v>
      </c>
      <c r="N255" t="inlineStr">
        <is>
          <t>ref</t>
        </is>
      </c>
      <c r="O255" t="n">
        <v>-65</v>
      </c>
      <c r="P255" t="n">
        <v>0.002914</v>
      </c>
      <c r="Q255" t="n">
        <v>-80</v>
      </c>
      <c r="R255" t="n">
        <v>0.02551</v>
      </c>
      <c r="S255">
        <f>IMAGE("https://mitra.stanford.edu/kundaje/oak/projects/neuro-variants/variant_position/credible/roussos_2024/variant_figures/roussos_2024.adolescence.GLU/rs6671132_count_position.png",4,220,900)</f>
        <v/>
      </c>
      <c r="T255">
        <f>IMAGE("https://mitra.stanford.edu/kundaje/oak/projects/neuro-variants/variant_position/credible/roussos_2024/variant_figures/roussos_2024.adolescence.GLU/rs6671132_profile_position.png",4,220,900)</f>
        <v/>
      </c>
    </row>
    <row r="256">
      <c r="A256" t="inlineStr">
        <is>
          <t>chr1</t>
        </is>
      </c>
      <c r="B256" t="n">
        <v>153910068</v>
      </c>
      <c r="C256" t="inlineStr">
        <is>
          <t>A</t>
        </is>
      </c>
      <c r="D256" t="inlineStr">
        <is>
          <t>C</t>
        </is>
      </c>
      <c r="E256" t="inlineStr">
        <is>
          <t>rs10908525</t>
        </is>
      </c>
      <c r="F256" t="n">
        <v>0.00332471232</v>
      </c>
      <c r="G256" t="n">
        <v>0.7932909865087779</v>
      </c>
      <c r="H256" t="n">
        <v>0.0107738304611574</v>
      </c>
      <c r="I256" t="n">
        <v>0.4413936197447539</v>
      </c>
      <c r="J256" t="n">
        <v>0.0320737867129619</v>
      </c>
      <c r="K256" t="n">
        <v>0.7693864553373014</v>
      </c>
      <c r="L256" t="b">
        <v>0</v>
      </c>
      <c r="M256" t="b">
        <v>0</v>
      </c>
      <c r="N256" t="inlineStr">
        <is>
          <t>alt</t>
        </is>
      </c>
      <c r="O256" t="n">
        <v>0</v>
      </c>
      <c r="P256" t="n">
        <v>0</v>
      </c>
      <c r="Q256" t="n">
        <v>-90</v>
      </c>
      <c r="R256" t="n">
        <v>0.06744</v>
      </c>
      <c r="S256">
        <f>IMAGE("https://mitra.stanford.edu/kundaje/oak/projects/neuro-variants/variant_position/credible/roussos_2024/variant_figures/roussos_2024.adolescence.GLU/rs10908525_count_position.png",4,220,900)</f>
        <v/>
      </c>
      <c r="T256">
        <f>IMAGE("https://mitra.stanford.edu/kundaje/oak/projects/neuro-variants/variant_position/credible/roussos_2024/variant_figures/roussos_2024.adolescence.GLU/rs10908525_profile_position.png",4,220,900)</f>
        <v/>
      </c>
    </row>
    <row r="257">
      <c r="A257" t="inlineStr">
        <is>
          <t>chr1</t>
        </is>
      </c>
      <c r="B257" t="n">
        <v>153923736</v>
      </c>
      <c r="C257" t="inlineStr">
        <is>
          <t>A</t>
        </is>
      </c>
      <c r="D257" t="inlineStr">
        <is>
          <t>G</t>
        </is>
      </c>
      <c r="E257" t="inlineStr">
        <is>
          <t>rs4845357</t>
        </is>
      </c>
      <c r="F257" t="n">
        <v>0.1272003</v>
      </c>
      <c r="G257" t="n">
        <v>0.003520415300557</v>
      </c>
      <c r="H257" t="n">
        <v>0.0205377913668857</v>
      </c>
      <c r="I257" t="n">
        <v>0.0535021173304756</v>
      </c>
      <c r="J257" t="n">
        <v>0.6950225403833651</v>
      </c>
      <c r="K257" t="n">
        <v>0.0158268788918402</v>
      </c>
      <c r="L257" t="b">
        <v>1</v>
      </c>
      <c r="M257" t="b">
        <v>1</v>
      </c>
      <c r="N257" t="inlineStr">
        <is>
          <t>alt</t>
        </is>
      </c>
      <c r="O257" t="n">
        <v>100</v>
      </c>
      <c r="P257" t="n">
        <v>0.003479</v>
      </c>
      <c r="Q257" t="n">
        <v>-45</v>
      </c>
      <c r="R257" t="n">
        <v>0.07074</v>
      </c>
      <c r="S257">
        <f>IMAGE("https://mitra.stanford.edu/kundaje/oak/projects/neuro-variants/variant_position/credible/roussos_2024/variant_figures/roussos_2024.adolescence.GLU/rs4845357_count_position.png",4,220,900)</f>
        <v/>
      </c>
      <c r="T257">
        <f>IMAGE("https://mitra.stanford.edu/kundaje/oak/projects/neuro-variants/variant_position/credible/roussos_2024/variant_figures/roussos_2024.adolescence.GLU/rs4845357_profile_position.png",4,220,900)</f>
        <v/>
      </c>
    </row>
    <row r="258">
      <c r="A258" t="inlineStr">
        <is>
          <t>chr1</t>
        </is>
      </c>
      <c r="B258" t="n">
        <v>153926854</v>
      </c>
      <c r="C258" t="inlineStr">
        <is>
          <t>A</t>
        </is>
      </c>
      <c r="D258" t="inlineStr">
        <is>
          <t>C</t>
        </is>
      </c>
      <c r="E258" t="inlineStr">
        <is>
          <t>rs10796968</t>
        </is>
      </c>
      <c r="F258" t="n">
        <v>0.033708005</v>
      </c>
      <c r="G258" t="n">
        <v>0.1444224065878072</v>
      </c>
      <c r="H258" t="n">
        <v>0.0168374044176138</v>
      </c>
      <c r="I258" t="n">
        <v>0.1173793445634615</v>
      </c>
      <c r="J258" t="n">
        <v>0.0917847268362731</v>
      </c>
      <c r="K258" t="n">
        <v>0.5975211674380767</v>
      </c>
      <c r="L258" t="b">
        <v>0</v>
      </c>
      <c r="M258" t="b">
        <v>0</v>
      </c>
      <c r="N258" t="inlineStr">
        <is>
          <t>alt</t>
        </is>
      </c>
      <c r="O258" t="n">
        <v>-100</v>
      </c>
      <c r="P258" t="n">
        <v>0.013306</v>
      </c>
      <c r="Q258" t="n">
        <v>-25</v>
      </c>
      <c r="R258" t="n">
        <v>0.03214</v>
      </c>
      <c r="S258">
        <f>IMAGE("https://mitra.stanford.edu/kundaje/oak/projects/neuro-variants/variant_position/credible/roussos_2024/variant_figures/roussos_2024.adolescence.GLU/rs10796968_count_position.png",4,220,900)</f>
        <v/>
      </c>
      <c r="T258">
        <f>IMAGE("https://mitra.stanford.edu/kundaje/oak/projects/neuro-variants/variant_position/credible/roussos_2024/variant_figures/roussos_2024.adolescence.GLU/rs10796968_profile_position.png",4,220,900)</f>
        <v/>
      </c>
    </row>
    <row r="259">
      <c r="A259" t="inlineStr">
        <is>
          <t>chr1</t>
        </is>
      </c>
      <c r="B259" t="n">
        <v>153928826</v>
      </c>
      <c r="C259" t="inlineStr">
        <is>
          <t>A</t>
        </is>
      </c>
      <c r="D259" t="inlineStr">
        <is>
          <t>G</t>
        </is>
      </c>
      <c r="E259" t="inlineStr">
        <is>
          <t>rs3748848</t>
        </is>
      </c>
      <c r="F259" t="n">
        <v>-0.0397452707999999</v>
      </c>
      <c r="G259" t="n">
        <v>0.1338029984590127</v>
      </c>
      <c r="H259" t="n">
        <v>0.016792649789928</v>
      </c>
      <c r="I259" t="n">
        <v>0.125710406974062</v>
      </c>
      <c r="J259" t="n">
        <v>0.3764136856920362</v>
      </c>
      <c r="K259" t="n">
        <v>0.1866984546354895</v>
      </c>
      <c r="L259" t="b">
        <v>0</v>
      </c>
      <c r="M259" t="b">
        <v>0</v>
      </c>
      <c r="N259" t="inlineStr">
        <is>
          <t>ref</t>
        </is>
      </c>
      <c r="O259" t="n">
        <v>-45</v>
      </c>
      <c r="P259" t="n">
        <v>0.001495</v>
      </c>
      <c r="Q259" t="n">
        <v>-70</v>
      </c>
      <c r="R259" t="n">
        <v>0.03174</v>
      </c>
      <c r="S259">
        <f>IMAGE("https://mitra.stanford.edu/kundaje/oak/projects/neuro-variants/variant_position/credible/roussos_2024/variant_figures/roussos_2024.adolescence.GLU/rs3748848_count_position.png",4,220,900)</f>
        <v/>
      </c>
      <c r="T259">
        <f>IMAGE("https://mitra.stanford.edu/kundaje/oak/projects/neuro-variants/variant_position/credible/roussos_2024/variant_figures/roussos_2024.adolescence.GLU/rs3748848_profile_position.png",4,220,900)</f>
        <v/>
      </c>
    </row>
    <row r="260">
      <c r="A260" t="inlineStr">
        <is>
          <t>chr1</t>
        </is>
      </c>
      <c r="B260" t="n">
        <v>153931738</v>
      </c>
      <c r="C260" t="inlineStr">
        <is>
          <t>T</t>
        </is>
      </c>
      <c r="D260" t="inlineStr">
        <is>
          <t>C</t>
        </is>
      </c>
      <c r="E260" t="inlineStr">
        <is>
          <t>rs11586593</t>
        </is>
      </c>
      <c r="F260" t="n">
        <v>0.0572786306</v>
      </c>
      <c r="G260" t="n">
        <v>0.0430878613636457</v>
      </c>
      <c r="H260" t="n">
        <v>0.0131333028426685</v>
      </c>
      <c r="I260" t="n">
        <v>0.240414744718245</v>
      </c>
      <c r="J260" t="n">
        <v>0.3301783940959198</v>
      </c>
      <c r="K260" t="n">
        <v>0.2377508929273747</v>
      </c>
      <c r="L260" t="b">
        <v>0</v>
      </c>
      <c r="M260" t="b">
        <v>0</v>
      </c>
      <c r="N260" t="inlineStr">
        <is>
          <t>alt</t>
        </is>
      </c>
      <c r="O260" t="n">
        <v>-100</v>
      </c>
      <c r="P260" t="n">
        <v>0.01267</v>
      </c>
      <c r="Q260" t="n">
        <v>25</v>
      </c>
      <c r="R260" t="n">
        <v>0.03442</v>
      </c>
      <c r="S260">
        <f>IMAGE("https://mitra.stanford.edu/kundaje/oak/projects/neuro-variants/variant_position/credible/roussos_2024/variant_figures/roussos_2024.adolescence.GLU/rs11586593_count_position.png",4,220,900)</f>
        <v/>
      </c>
      <c r="T260">
        <f>IMAGE("https://mitra.stanford.edu/kundaje/oak/projects/neuro-variants/variant_position/credible/roussos_2024/variant_figures/roussos_2024.adolescence.GLU/rs11586593_profile_position.png",4,220,900)</f>
        <v/>
      </c>
    </row>
    <row r="261">
      <c r="A261" t="inlineStr">
        <is>
          <t>chr1</t>
        </is>
      </c>
      <c r="B261" t="n">
        <v>153947280</v>
      </c>
      <c r="C261" t="inlineStr">
        <is>
          <t>T</t>
        </is>
      </c>
      <c r="D261" t="inlineStr">
        <is>
          <t>G</t>
        </is>
      </c>
      <c r="E261" t="inlineStr">
        <is>
          <t>rs946682</t>
        </is>
      </c>
      <c r="F261" t="n">
        <v>0.0247792046</v>
      </c>
      <c r="G261" t="n">
        <v>0.2198880595591938</v>
      </c>
      <c r="H261" t="n">
        <v>0.0102027323725403</v>
      </c>
      <c r="I261" t="n">
        <v>0.4991517046853143</v>
      </c>
      <c r="J261" t="n">
        <v>0.5006665666459481</v>
      </c>
      <c r="K261" t="n">
        <v>0.08835099484225591</v>
      </c>
      <c r="L261" t="b">
        <v>0</v>
      </c>
      <c r="M261" t="b">
        <v>0</v>
      </c>
      <c r="N261" t="inlineStr">
        <is>
          <t>alt</t>
        </is>
      </c>
      <c r="O261" t="n">
        <v>75</v>
      </c>
      <c r="P261" t="n">
        <v>0.01012</v>
      </c>
      <c r="Q261" t="n">
        <v>-85</v>
      </c>
      <c r="R261" t="n">
        <v>0.0989</v>
      </c>
      <c r="S261">
        <f>IMAGE("https://mitra.stanford.edu/kundaje/oak/projects/neuro-variants/variant_position/credible/roussos_2024/variant_figures/roussos_2024.adolescence.GLU/rs946682_count_position.png",4,220,900)</f>
        <v/>
      </c>
      <c r="T261">
        <f>IMAGE("https://mitra.stanford.edu/kundaje/oak/projects/neuro-variants/variant_position/credible/roussos_2024/variant_figures/roussos_2024.adolescence.GLU/rs946682_profile_position.png",4,220,900)</f>
        <v/>
      </c>
    </row>
    <row r="262">
      <c r="A262" t="inlineStr">
        <is>
          <t>chr1</t>
        </is>
      </c>
      <c r="B262" t="n">
        <v>163732741</v>
      </c>
      <c r="C262" t="inlineStr">
        <is>
          <t>G</t>
        </is>
      </c>
      <c r="D262" t="inlineStr">
        <is>
          <t>C</t>
        </is>
      </c>
      <c r="E262" t="inlineStr">
        <is>
          <t>rs10737494</t>
        </is>
      </c>
      <c r="F262" t="n">
        <v>0.0245105539</v>
      </c>
      <c r="G262" t="n">
        <v>0.2233543881904982</v>
      </c>
      <c r="H262" t="n">
        <v>0.0116113747883463</v>
      </c>
      <c r="I262" t="n">
        <v>0.3701183570853542</v>
      </c>
      <c r="J262" t="n">
        <v>0.0100863750348285</v>
      </c>
      <c r="K262" t="n">
        <v>0.8772246478697792</v>
      </c>
      <c r="L262" t="b">
        <v>0</v>
      </c>
      <c r="M262" t="b">
        <v>0</v>
      </c>
      <c r="N262" t="inlineStr">
        <is>
          <t>alt</t>
        </is>
      </c>
      <c r="O262" t="n">
        <v>55</v>
      </c>
      <c r="P262" t="n">
        <v>0.003067</v>
      </c>
      <c r="Q262" t="n">
        <v>75</v>
      </c>
      <c r="R262" t="n">
        <v>0.04617</v>
      </c>
      <c r="S262">
        <f>IMAGE("https://mitra.stanford.edu/kundaje/oak/projects/neuro-variants/variant_position/credible/roussos_2024/variant_figures/roussos_2024.adolescence.GLU/rs10737494_count_position.png",4,220,900)</f>
        <v/>
      </c>
      <c r="T262">
        <f>IMAGE("https://mitra.stanford.edu/kundaje/oak/projects/neuro-variants/variant_position/credible/roussos_2024/variant_figures/roussos_2024.adolescence.GLU/rs10737494_profile_position.png",4,220,900)</f>
        <v/>
      </c>
    </row>
    <row r="263">
      <c r="A263" t="inlineStr">
        <is>
          <t>chr1</t>
        </is>
      </c>
      <c r="B263" t="n">
        <v>163739753</v>
      </c>
      <c r="C263" t="inlineStr">
        <is>
          <t>C</t>
        </is>
      </c>
      <c r="D263" t="inlineStr">
        <is>
          <t>T</t>
        </is>
      </c>
      <c r="E263" t="inlineStr">
        <is>
          <t>rs3963479</t>
        </is>
      </c>
      <c r="F263" t="n">
        <v>-0.00478381448</v>
      </c>
      <c r="G263" t="n">
        <v>0.6225142729949296</v>
      </c>
      <c r="H263" t="n">
        <v>0.0192572497709424</v>
      </c>
      <c r="I263" t="n">
        <v>0.0644813671669954</v>
      </c>
      <c r="J263" t="n">
        <v>0.0090175822134584</v>
      </c>
      <c r="K263" t="n">
        <v>0.8822461925162917</v>
      </c>
      <c r="L263" t="b">
        <v>0</v>
      </c>
      <c r="M263" t="b">
        <v>0</v>
      </c>
      <c r="N263" t="inlineStr">
        <is>
          <t>ref</t>
        </is>
      </c>
      <c r="O263" t="n">
        <v>-65</v>
      </c>
      <c r="P263" t="n">
        <v>0.006</v>
      </c>
      <c r="Q263" t="n">
        <v>-90</v>
      </c>
      <c r="R263" t="n">
        <v>0.0436</v>
      </c>
      <c r="S263">
        <f>IMAGE("https://mitra.stanford.edu/kundaje/oak/projects/neuro-variants/variant_position/credible/roussos_2024/variant_figures/roussos_2024.adolescence.GLU/rs3963479_count_position.png",4,220,900)</f>
        <v/>
      </c>
      <c r="T263">
        <f>IMAGE("https://mitra.stanford.edu/kundaje/oak/projects/neuro-variants/variant_position/credible/roussos_2024/variant_figures/roussos_2024.adolescence.GLU/rs3963479_profile_position.png",4,220,900)</f>
        <v/>
      </c>
    </row>
    <row r="264">
      <c r="A264" t="inlineStr">
        <is>
          <t>chr1</t>
        </is>
      </c>
      <c r="B264" t="n">
        <v>163745482</v>
      </c>
      <c r="C264" t="inlineStr">
        <is>
          <t>A</t>
        </is>
      </c>
      <c r="D264" t="inlineStr">
        <is>
          <t>G</t>
        </is>
      </c>
      <c r="E264" t="inlineStr">
        <is>
          <t>rs1932355</t>
        </is>
      </c>
      <c r="F264" t="n">
        <v>0.0361877614</v>
      </c>
      <c r="G264" t="n">
        <v>0.1238912971254483</v>
      </c>
      <c r="H264" t="n">
        <v>0.0200520928219176</v>
      </c>
      <c r="I264" t="n">
        <v>0.0595011539664178</v>
      </c>
      <c r="J264" t="n">
        <v>0.2576748040665566</v>
      </c>
      <c r="K264" t="n">
        <v>0.3230237453514843</v>
      </c>
      <c r="L264" t="b">
        <v>0</v>
      </c>
      <c r="M264" t="b">
        <v>0</v>
      </c>
      <c r="N264" t="inlineStr">
        <is>
          <t>alt</t>
        </is>
      </c>
      <c r="O264" t="n">
        <v>-90</v>
      </c>
      <c r="P264" t="n">
        <v>0.002163</v>
      </c>
      <c r="Q264" t="n">
        <v>-90</v>
      </c>
      <c r="R264" t="n">
        <v>0.03833</v>
      </c>
      <c r="S264">
        <f>IMAGE("https://mitra.stanford.edu/kundaje/oak/projects/neuro-variants/variant_position/credible/roussos_2024/variant_figures/roussos_2024.adolescence.GLU/rs1932355_count_position.png",4,220,900)</f>
        <v/>
      </c>
      <c r="T264">
        <f>IMAGE("https://mitra.stanford.edu/kundaje/oak/projects/neuro-variants/variant_position/credible/roussos_2024/variant_figures/roussos_2024.adolescence.GLU/rs1932355_profile_position.png",4,220,900)</f>
        <v/>
      </c>
    </row>
    <row r="265">
      <c r="A265" t="inlineStr">
        <is>
          <t>chr1</t>
        </is>
      </c>
      <c r="B265" t="n">
        <v>163752441</v>
      </c>
      <c r="C265" t="inlineStr">
        <is>
          <t>T</t>
        </is>
      </c>
      <c r="D265" t="inlineStr">
        <is>
          <t>G</t>
        </is>
      </c>
      <c r="E265" t="inlineStr">
        <is>
          <t>rs6683086</t>
        </is>
      </c>
      <c r="F265" t="n">
        <v>0.0106268441999999</v>
      </c>
      <c r="G265" t="n">
        <v>0.4879891459134387</v>
      </c>
      <c r="H265" t="n">
        <v>0.0188527142155156</v>
      </c>
      <c r="I265" t="n">
        <v>0.0691423705403844</v>
      </c>
      <c r="J265" t="n">
        <v>0.0380393081424008</v>
      </c>
      <c r="K265" t="n">
        <v>0.7460307734667377</v>
      </c>
      <c r="L265" t="b">
        <v>0</v>
      </c>
      <c r="M265" t="b">
        <v>0</v>
      </c>
      <c r="N265" t="inlineStr">
        <is>
          <t>alt</t>
        </is>
      </c>
      <c r="O265" t="n">
        <v>85</v>
      </c>
      <c r="P265" t="n">
        <v>0.006485</v>
      </c>
      <c r="Q265" t="n">
        <v>-55</v>
      </c>
      <c r="R265" t="n">
        <v>0.01324</v>
      </c>
      <c r="S265">
        <f>IMAGE("https://mitra.stanford.edu/kundaje/oak/projects/neuro-variants/variant_position/credible/roussos_2024/variant_figures/roussos_2024.adolescence.GLU/rs6683086_count_position.png",4,220,900)</f>
        <v/>
      </c>
      <c r="T265">
        <f>IMAGE("https://mitra.stanford.edu/kundaje/oak/projects/neuro-variants/variant_position/credible/roussos_2024/variant_figures/roussos_2024.adolescence.GLU/rs6683086_profile_position.png",4,220,900)</f>
        <v/>
      </c>
    </row>
    <row r="266">
      <c r="A266" t="inlineStr">
        <is>
          <t>chr1</t>
        </is>
      </c>
      <c r="B266" t="n">
        <v>163764480</v>
      </c>
      <c r="C266" t="inlineStr">
        <is>
          <t>T</t>
        </is>
      </c>
      <c r="D266" t="inlineStr">
        <is>
          <t>A</t>
        </is>
      </c>
      <c r="E266" t="inlineStr">
        <is>
          <t>rs1934230</t>
        </is>
      </c>
      <c r="F266" t="n">
        <v>-0.00432703258</v>
      </c>
      <c r="G266" t="n">
        <v>0.7593547558451088</v>
      </c>
      <c r="H266" t="n">
        <v>0.0184772503212944</v>
      </c>
      <c r="I266" t="n">
        <v>0.08209273156738529</v>
      </c>
      <c r="J266" t="n">
        <v>0.1110215687535274</v>
      </c>
      <c r="K266" t="n">
        <v>0.553885999537442</v>
      </c>
      <c r="L266" t="b">
        <v>0</v>
      </c>
      <c r="M266" t="b">
        <v>0</v>
      </c>
      <c r="N266" t="inlineStr">
        <is>
          <t>ref</t>
        </is>
      </c>
      <c r="O266" t="n">
        <v>65</v>
      </c>
      <c r="P266" t="n">
        <v>0.01654</v>
      </c>
      <c r="Q266" t="n">
        <v>75</v>
      </c>
      <c r="R266" t="n">
        <v>0.1572</v>
      </c>
      <c r="S266">
        <f>IMAGE("https://mitra.stanford.edu/kundaje/oak/projects/neuro-variants/variant_position/credible/roussos_2024/variant_figures/roussos_2024.adolescence.GLU/rs1934230_count_position.png",4,220,900)</f>
        <v/>
      </c>
      <c r="T266">
        <f>IMAGE("https://mitra.stanford.edu/kundaje/oak/projects/neuro-variants/variant_position/credible/roussos_2024/variant_figures/roussos_2024.adolescence.GLU/rs1934230_profile_position.png",4,220,900)</f>
        <v/>
      </c>
    </row>
    <row r="267">
      <c r="A267" t="inlineStr">
        <is>
          <t>chr1</t>
        </is>
      </c>
      <c r="B267" t="n">
        <v>163775601</v>
      </c>
      <c r="C267" t="inlineStr">
        <is>
          <t>A</t>
        </is>
      </c>
      <c r="D267" t="inlineStr">
        <is>
          <t>G</t>
        </is>
      </c>
      <c r="E267" t="inlineStr">
        <is>
          <t>rs10799961</t>
        </is>
      </c>
      <c r="F267" t="n">
        <v>0.0559529552</v>
      </c>
      <c r="G267" t="n">
        <v>0.0476570265328113</v>
      </c>
      <c r="H267" t="n">
        <v>0.0104368385632608</v>
      </c>
      <c r="I267" t="n">
        <v>0.4904218543574544</v>
      </c>
      <c r="J267" t="n">
        <v>0.228795964878439</v>
      </c>
      <c r="K267" t="n">
        <v>0.3637097064461488</v>
      </c>
      <c r="L267" t="b">
        <v>0</v>
      </c>
      <c r="M267" t="b">
        <v>0</v>
      </c>
      <c r="N267" t="inlineStr">
        <is>
          <t>alt</t>
        </is>
      </c>
      <c r="O267" t="n">
        <v>50</v>
      </c>
      <c r="P267" t="n">
        <v>0.002655</v>
      </c>
      <c r="Q267" t="n">
        <v>50</v>
      </c>
      <c r="R267" t="n">
        <v>0.04755</v>
      </c>
      <c r="S267">
        <f>IMAGE("https://mitra.stanford.edu/kundaje/oak/projects/neuro-variants/variant_position/credible/roussos_2024/variant_figures/roussos_2024.adolescence.GLU/rs10799961_count_position.png",4,220,900)</f>
        <v/>
      </c>
      <c r="T267">
        <f>IMAGE("https://mitra.stanford.edu/kundaje/oak/projects/neuro-variants/variant_position/credible/roussos_2024/variant_figures/roussos_2024.adolescence.GLU/rs10799961_profile_position.png",4,220,900)</f>
        <v/>
      </c>
    </row>
    <row r="268">
      <c r="A268" t="inlineStr">
        <is>
          <t>chr1</t>
        </is>
      </c>
      <c r="B268" t="n">
        <v>163777858</v>
      </c>
      <c r="C268" t="inlineStr">
        <is>
          <t>A</t>
        </is>
      </c>
      <c r="D268" t="inlineStr">
        <is>
          <t>G</t>
        </is>
      </c>
      <c r="E268" t="inlineStr">
        <is>
          <t>rs3856207</t>
        </is>
      </c>
      <c r="F268" t="n">
        <v>0.00061434497</v>
      </c>
      <c r="G268" t="n">
        <v>0.7816583341952363</v>
      </c>
      <c r="H268" t="n">
        <v>0.024729181267505</v>
      </c>
      <c r="I268" t="n">
        <v>0.0221198547862084</v>
      </c>
      <c r="J268" t="n">
        <v>0.0279457887705309</v>
      </c>
      <c r="K268" t="n">
        <v>0.7787557496652827</v>
      </c>
      <c r="L268" t="b">
        <v>0</v>
      </c>
      <c r="M268" t="b">
        <v>0</v>
      </c>
      <c r="N268" t="inlineStr">
        <is>
          <t>alt</t>
        </is>
      </c>
      <c r="O268" t="n">
        <v>45</v>
      </c>
      <c r="P268" t="n">
        <v>0.001778</v>
      </c>
      <c r="Q268" t="n">
        <v>-80</v>
      </c>
      <c r="R268" t="n">
        <v>0.0369</v>
      </c>
      <c r="S268">
        <f>IMAGE("https://mitra.stanford.edu/kundaje/oak/projects/neuro-variants/variant_position/credible/roussos_2024/variant_figures/roussos_2024.adolescence.GLU/rs3856207_count_position.png",4,220,900)</f>
        <v/>
      </c>
      <c r="T268">
        <f>IMAGE("https://mitra.stanford.edu/kundaje/oak/projects/neuro-variants/variant_position/credible/roussos_2024/variant_figures/roussos_2024.adolescence.GLU/rs3856207_profile_position.png",4,220,900)</f>
        <v/>
      </c>
    </row>
    <row r="269">
      <c r="A269" t="inlineStr">
        <is>
          <t>chr1</t>
        </is>
      </c>
      <c r="B269" t="n">
        <v>173645232</v>
      </c>
      <c r="C269" t="inlineStr">
        <is>
          <t>G</t>
        </is>
      </c>
      <c r="D269" t="inlineStr">
        <is>
          <t>T</t>
        </is>
      </c>
      <c r="E269" t="inlineStr">
        <is>
          <t>rs969029</t>
        </is>
      </c>
      <c r="F269" t="n">
        <v>-0.0007377189659999</v>
      </c>
      <c r="G269" t="n">
        <v>0.7572799244404346</v>
      </c>
      <c r="H269" t="n">
        <v>0.0155090807321035</v>
      </c>
      <c r="I269" t="n">
        <v>0.1427041156048938</v>
      </c>
      <c r="J269" t="n">
        <v>0.0060626844131998</v>
      </c>
      <c r="K269" t="n">
        <v>0.9122349320081612</v>
      </c>
      <c r="L269" t="b">
        <v>0</v>
      </c>
      <c r="M269" t="b">
        <v>0</v>
      </c>
      <c r="N269" t="inlineStr">
        <is>
          <t>ref</t>
        </is>
      </c>
      <c r="O269" t="n">
        <v>-100</v>
      </c>
      <c r="P269" t="n">
        <v>0.07477</v>
      </c>
      <c r="Q269" t="n">
        <v>90</v>
      </c>
      <c r="R269" t="n">
        <v>0.09375</v>
      </c>
      <c r="S269">
        <f>IMAGE("https://mitra.stanford.edu/kundaje/oak/projects/neuro-variants/variant_position/credible/roussos_2024/variant_figures/roussos_2024.adolescence.GLU/rs969029_count_position.png",4,220,900)</f>
        <v/>
      </c>
      <c r="T269">
        <f>IMAGE("https://mitra.stanford.edu/kundaje/oak/projects/neuro-variants/variant_position/credible/roussos_2024/variant_figures/roussos_2024.adolescence.GLU/rs969029_profile_position.png",4,220,900)</f>
        <v/>
      </c>
    </row>
    <row r="270">
      <c r="A270" t="inlineStr">
        <is>
          <t>chr1</t>
        </is>
      </c>
      <c r="B270" t="n">
        <v>173725120</v>
      </c>
      <c r="C270" t="inlineStr">
        <is>
          <t>T</t>
        </is>
      </c>
      <c r="D270" t="inlineStr">
        <is>
          <t>G</t>
        </is>
      </c>
      <c r="E270" t="inlineStr">
        <is>
          <t>rs61826814</t>
        </is>
      </c>
      <c r="F270" t="n">
        <v>0.00129430167</v>
      </c>
      <c r="G270" t="n">
        <v>0.8859978682501185</v>
      </c>
      <c r="H270" t="n">
        <v>0.0167486123674476</v>
      </c>
      <c r="I270" t="n">
        <v>0.1114695721086437</v>
      </c>
      <c r="J270" t="n">
        <v>0.0734352115795414</v>
      </c>
      <c r="K270" t="n">
        <v>0.6316258142265938</v>
      </c>
      <c r="L270" t="b">
        <v>0</v>
      </c>
      <c r="M270" t="b">
        <v>0</v>
      </c>
      <c r="N270" t="inlineStr">
        <is>
          <t>alt</t>
        </is>
      </c>
      <c r="O270" t="n">
        <v>70</v>
      </c>
      <c r="P270" t="n">
        <v>0.005432</v>
      </c>
      <c r="Q270" t="n">
        <v>100</v>
      </c>
      <c r="R270" t="n">
        <v>0.1748</v>
      </c>
      <c r="S270">
        <f>IMAGE("https://mitra.stanford.edu/kundaje/oak/projects/neuro-variants/variant_position/credible/roussos_2024/variant_figures/roussos_2024.adolescence.GLU/rs61826814_count_position.png",4,220,900)</f>
        <v/>
      </c>
      <c r="T270">
        <f>IMAGE("https://mitra.stanford.edu/kundaje/oak/projects/neuro-variants/variant_position/credible/roussos_2024/variant_figures/roussos_2024.adolescence.GLU/rs61826814_profile_position.png",4,220,900)</f>
        <v/>
      </c>
    </row>
    <row r="271">
      <c r="A271" t="inlineStr">
        <is>
          <t>chr1</t>
        </is>
      </c>
      <c r="B271" t="n">
        <v>173805138</v>
      </c>
      <c r="C271" t="inlineStr">
        <is>
          <t>C</t>
        </is>
      </c>
      <c r="D271" t="inlineStr">
        <is>
          <t>A</t>
        </is>
      </c>
      <c r="E271" t="inlineStr">
        <is>
          <t>rs61827870</t>
        </is>
      </c>
      <c r="F271" t="n">
        <v>-0.00045602759</v>
      </c>
      <c r="G271" t="n">
        <v>0.755746565919786</v>
      </c>
      <c r="H271" t="n">
        <v>0.0085966419403305</v>
      </c>
      <c r="I271" t="n">
        <v>0.6873823929465249</v>
      </c>
      <c r="J271" t="n">
        <v>0.0511763150938408</v>
      </c>
      <c r="K271" t="n">
        <v>0.6987527953967163</v>
      </c>
      <c r="L271" t="b">
        <v>0</v>
      </c>
      <c r="M271" t="b">
        <v>0</v>
      </c>
      <c r="N271" t="inlineStr">
        <is>
          <t>ref</t>
        </is>
      </c>
      <c r="O271" t="n">
        <v>-20</v>
      </c>
      <c r="P271" t="n">
        <v>0.003546</v>
      </c>
      <c r="Q271" t="n">
        <v>100</v>
      </c>
      <c r="R271" t="n">
        <v>0.05518</v>
      </c>
      <c r="S271">
        <f>IMAGE("https://mitra.stanford.edu/kundaje/oak/projects/neuro-variants/variant_position/credible/roussos_2024/variant_figures/roussos_2024.adolescence.GLU/rs61827870_count_position.png",4,220,900)</f>
        <v/>
      </c>
      <c r="T271">
        <f>IMAGE("https://mitra.stanford.edu/kundaje/oak/projects/neuro-variants/variant_position/credible/roussos_2024/variant_figures/roussos_2024.adolescence.GLU/rs61827870_profile_position.png",4,220,900)</f>
        <v/>
      </c>
    </row>
    <row r="272">
      <c r="A272" t="inlineStr">
        <is>
          <t>chr1</t>
        </is>
      </c>
      <c r="B272" t="n">
        <v>173835419</v>
      </c>
      <c r="C272" t="inlineStr">
        <is>
          <t>A</t>
        </is>
      </c>
      <c r="D272" t="inlineStr">
        <is>
          <t>C</t>
        </is>
      </c>
      <c r="E272" t="inlineStr">
        <is>
          <t>rs28804123</t>
        </is>
      </c>
      <c r="F272" t="n">
        <v>-0.0510754191</v>
      </c>
      <c r="G272" t="n">
        <v>0.074206151410564</v>
      </c>
      <c r="H272" t="n">
        <v>0.0140038972798239</v>
      </c>
      <c r="I272" t="n">
        <v>0.2198060581404949</v>
      </c>
      <c r="J272" t="n">
        <v>0.0792249823177657</v>
      </c>
      <c r="K272" t="n">
        <v>0.6375637481108716</v>
      </c>
      <c r="L272" t="b">
        <v>0</v>
      </c>
      <c r="M272" t="b">
        <v>0</v>
      </c>
      <c r="N272" t="inlineStr">
        <is>
          <t>ref</t>
        </is>
      </c>
      <c r="O272" t="n">
        <v>70</v>
      </c>
      <c r="P272" t="n">
        <v>0.0493</v>
      </c>
      <c r="Q272" t="n">
        <v>-65</v>
      </c>
      <c r="R272" t="n">
        <v>0.02582</v>
      </c>
      <c r="S272">
        <f>IMAGE("https://mitra.stanford.edu/kundaje/oak/projects/neuro-variants/variant_position/credible/roussos_2024/variant_figures/roussos_2024.adolescence.GLU/rs28804123_count_position.png",4,220,900)</f>
        <v/>
      </c>
      <c r="T272">
        <f>IMAGE("https://mitra.stanford.edu/kundaje/oak/projects/neuro-variants/variant_position/credible/roussos_2024/variant_figures/roussos_2024.adolescence.GLU/rs28804123_profile_position.png",4,220,900)</f>
        <v/>
      </c>
    </row>
    <row r="273">
      <c r="A273" t="inlineStr">
        <is>
          <t>chr1</t>
        </is>
      </c>
      <c r="B273" t="n">
        <v>173855675</v>
      </c>
      <c r="C273" t="inlineStr">
        <is>
          <t>C</t>
        </is>
      </c>
      <c r="D273" t="inlineStr">
        <is>
          <t>T</t>
        </is>
      </c>
      <c r="E273" t="inlineStr">
        <is>
          <t>rs9425757</t>
        </is>
      </c>
      <c r="F273" t="n">
        <v>0.0008844791199999</v>
      </c>
      <c r="G273" t="n">
        <v>0.6936691251511352</v>
      </c>
      <c r="H273" t="n">
        <v>0.0249163730844841</v>
      </c>
      <c r="I273" t="n">
        <v>0.0203201004368417</v>
      </c>
      <c r="J273" t="n">
        <v>0.1621435868858549</v>
      </c>
      <c r="K273" t="n">
        <v>0.4658645267018641</v>
      </c>
      <c r="L273" t="b">
        <v>0</v>
      </c>
      <c r="M273" t="b">
        <v>0</v>
      </c>
      <c r="N273" t="inlineStr">
        <is>
          <t>alt</t>
        </is>
      </c>
      <c r="O273" t="n">
        <v>55</v>
      </c>
      <c r="P273" t="n">
        <v>0.02457</v>
      </c>
      <c r="Q273" t="n">
        <v>10</v>
      </c>
      <c r="R273" t="n">
        <v>0.017</v>
      </c>
      <c r="S273">
        <f>IMAGE("https://mitra.stanford.edu/kundaje/oak/projects/neuro-variants/variant_position/credible/roussos_2024/variant_figures/roussos_2024.adolescence.GLU/rs9425757_count_position.png",4,220,900)</f>
        <v/>
      </c>
      <c r="T273">
        <f>IMAGE("https://mitra.stanford.edu/kundaje/oak/projects/neuro-variants/variant_position/credible/roussos_2024/variant_figures/roussos_2024.adolescence.GLU/rs9425757_profile_position.png",4,220,900)</f>
        <v/>
      </c>
    </row>
    <row r="274">
      <c r="A274" t="inlineStr">
        <is>
          <t>chr1</t>
        </is>
      </c>
      <c r="B274" t="n">
        <v>173878871</v>
      </c>
      <c r="C274" t="inlineStr">
        <is>
          <t>A</t>
        </is>
      </c>
      <c r="D274" t="inlineStr">
        <is>
          <t>G</t>
        </is>
      </c>
      <c r="E274" t="inlineStr">
        <is>
          <t>rs9425765</t>
        </is>
      </c>
      <c r="F274" t="n">
        <v>0.1064382004</v>
      </c>
      <c r="G274" t="n">
        <v>0.006776580976422</v>
      </c>
      <c r="H274" t="n">
        <v>0.0210798644511134</v>
      </c>
      <c r="I274" t="n">
        <v>0.0474330998059075</v>
      </c>
      <c r="J274" t="n">
        <v>0.1046816840631273</v>
      </c>
      <c r="K274" t="n">
        <v>0.5656568569984709</v>
      </c>
      <c r="L274" t="b">
        <v>1</v>
      </c>
      <c r="M274" t="b">
        <v>1</v>
      </c>
      <c r="N274" t="inlineStr">
        <is>
          <t>alt</t>
        </is>
      </c>
      <c r="O274" t="n">
        <v>100</v>
      </c>
      <c r="P274" t="n">
        <v>0.0788</v>
      </c>
      <c r="Q274" t="n">
        <v>65</v>
      </c>
      <c r="R274" t="n">
        <v>0.078</v>
      </c>
      <c r="S274">
        <f>IMAGE("https://mitra.stanford.edu/kundaje/oak/projects/neuro-variants/variant_position/credible/roussos_2024/variant_figures/roussos_2024.adolescence.GLU/rs9425765_count_position.png",4,220,900)</f>
        <v/>
      </c>
      <c r="T274">
        <f>IMAGE("https://mitra.stanford.edu/kundaje/oak/projects/neuro-variants/variant_position/credible/roussos_2024/variant_figures/roussos_2024.adolescence.GLU/rs9425765_profile_position.png",4,220,900)</f>
        <v/>
      </c>
    </row>
    <row r="275">
      <c r="A275" t="inlineStr">
        <is>
          <t>chr1</t>
        </is>
      </c>
      <c r="B275" t="n">
        <v>173884136</v>
      </c>
      <c r="C275" t="inlineStr">
        <is>
          <t>C</t>
        </is>
      </c>
      <c r="D275" t="inlineStr">
        <is>
          <t>T</t>
        </is>
      </c>
      <c r="E275" t="inlineStr">
        <is>
          <t>rs60265316</t>
        </is>
      </c>
      <c r="F275" t="n">
        <v>-0.0100647628</v>
      </c>
      <c r="G275" t="n">
        <v>0.5213775599223595</v>
      </c>
      <c r="H275" t="n">
        <v>0.0120857759054424</v>
      </c>
      <c r="I275" t="n">
        <v>0.3199425062438883</v>
      </c>
      <c r="J275" t="n">
        <v>0.0141143522586821</v>
      </c>
      <c r="K275" t="n">
        <v>0.8526829668577757</v>
      </c>
      <c r="L275" t="b">
        <v>0</v>
      </c>
      <c r="M275" t="b">
        <v>0</v>
      </c>
      <c r="N275" t="inlineStr">
        <is>
          <t>ref</t>
        </is>
      </c>
      <c r="O275" t="n">
        <v>25</v>
      </c>
      <c r="P275" t="n">
        <v>0.0007324</v>
      </c>
      <c r="Q275" t="n">
        <v>95</v>
      </c>
      <c r="R275" t="n">
        <v>0.02655</v>
      </c>
      <c r="S275">
        <f>IMAGE("https://mitra.stanford.edu/kundaje/oak/projects/neuro-variants/variant_position/credible/roussos_2024/variant_figures/roussos_2024.adolescence.GLU/rs60265316_count_position.png",4,220,900)</f>
        <v/>
      </c>
      <c r="T275">
        <f>IMAGE("https://mitra.stanford.edu/kundaje/oak/projects/neuro-variants/variant_position/credible/roussos_2024/variant_figures/roussos_2024.adolescence.GLU/rs60265316_profile_position.png",4,220,900)</f>
        <v/>
      </c>
    </row>
    <row r="276">
      <c r="A276" t="inlineStr">
        <is>
          <t>chr1</t>
        </is>
      </c>
      <c r="B276" t="n">
        <v>173886160</v>
      </c>
      <c r="C276" t="inlineStr">
        <is>
          <t>A</t>
        </is>
      </c>
      <c r="D276" t="inlineStr">
        <is>
          <t>T</t>
        </is>
      </c>
      <c r="E276" t="inlineStr">
        <is>
          <t>rs1322775</t>
        </is>
      </c>
      <c r="F276" t="n">
        <v>0.005742813968</v>
      </c>
      <c r="G276" t="n">
        <v>0.6573741825920293</v>
      </c>
      <c r="H276" t="n">
        <v>0.0106835853371704</v>
      </c>
      <c r="I276" t="n">
        <v>0.4498047034250109</v>
      </c>
      <c r="J276" t="n">
        <v>0.3807574426131127</v>
      </c>
      <c r="K276" t="n">
        <v>0.1857643079612146</v>
      </c>
      <c r="L276" t="b">
        <v>0</v>
      </c>
      <c r="M276" t="b">
        <v>0</v>
      </c>
      <c r="N276" t="inlineStr">
        <is>
          <t>alt</t>
        </is>
      </c>
      <c r="O276" t="n">
        <v>65</v>
      </c>
      <c r="P276" t="n">
        <v>0.010864</v>
      </c>
      <c r="Q276" t="n">
        <v>35</v>
      </c>
      <c r="R276" t="n">
        <v>0.1231</v>
      </c>
      <c r="S276">
        <f>IMAGE("https://mitra.stanford.edu/kundaje/oak/projects/neuro-variants/variant_position/credible/roussos_2024/variant_figures/roussos_2024.adolescence.GLU/rs1322775_count_position.png",4,220,900)</f>
        <v/>
      </c>
      <c r="T276">
        <f>IMAGE("https://mitra.stanford.edu/kundaje/oak/projects/neuro-variants/variant_position/credible/roussos_2024/variant_figures/roussos_2024.adolescence.GLU/rs1322775_profile_position.png",4,220,900)</f>
        <v/>
      </c>
    </row>
    <row r="277">
      <c r="A277" t="inlineStr">
        <is>
          <t>chr1</t>
        </is>
      </c>
      <c r="B277" t="n">
        <v>173887899</v>
      </c>
      <c r="C277" t="inlineStr">
        <is>
          <t>C</t>
        </is>
      </c>
      <c r="D277" t="inlineStr">
        <is>
          <t>T</t>
        </is>
      </c>
      <c r="E277" t="inlineStr">
        <is>
          <t>rs7349095</t>
        </is>
      </c>
      <c r="F277" t="n">
        <v>-0.00144616874</v>
      </c>
      <c r="G277" t="n">
        <v>0.8213207917783367</v>
      </c>
      <c r="H277" t="n">
        <v>0.0282143060551487</v>
      </c>
      <c r="I277" t="n">
        <v>0.0115245552996538</v>
      </c>
      <c r="J277" t="n">
        <v>0.124385765622879</v>
      </c>
      <c r="K277" t="n">
        <v>0.5227514207845733</v>
      </c>
      <c r="L277" t="b">
        <v>1</v>
      </c>
      <c r="M277" t="b">
        <v>0</v>
      </c>
      <c r="N277" t="inlineStr">
        <is>
          <t>ref</t>
        </is>
      </c>
      <c r="O277" t="n">
        <v>10</v>
      </c>
      <c r="P277" t="n">
        <v>0.0004501</v>
      </c>
      <c r="Q277" t="n">
        <v>60</v>
      </c>
      <c r="R277" t="n">
        <v>0.0268</v>
      </c>
      <c r="S277">
        <f>IMAGE("https://mitra.stanford.edu/kundaje/oak/projects/neuro-variants/variant_position/credible/roussos_2024/variant_figures/roussos_2024.adolescence.GLU/rs7349095_count_position.png",4,220,900)</f>
        <v/>
      </c>
      <c r="T277">
        <f>IMAGE("https://mitra.stanford.edu/kundaje/oak/projects/neuro-variants/variant_position/credible/roussos_2024/variant_figures/roussos_2024.adolescence.GLU/rs7349095_profile_position.png",4,220,900)</f>
        <v/>
      </c>
    </row>
    <row r="278">
      <c r="A278" t="inlineStr">
        <is>
          <t>chr1</t>
        </is>
      </c>
      <c r="B278" t="n">
        <v>173896268</v>
      </c>
      <c r="C278" t="inlineStr">
        <is>
          <t>A</t>
        </is>
      </c>
      <c r="D278" t="inlineStr">
        <is>
          <t>G</t>
        </is>
      </c>
      <c r="E278" t="inlineStr">
        <is>
          <t>rs1322779</t>
        </is>
      </c>
      <c r="F278" t="n">
        <v>0.0070507461399999</v>
      </c>
      <c r="G278" t="n">
        <v>0.6094206973186878</v>
      </c>
      <c r="H278" t="n">
        <v>0.0187381440246554</v>
      </c>
      <c r="I278" t="n">
        <v>0.0724711285686041</v>
      </c>
      <c r="J278" t="n">
        <v>0.0158304220159889</v>
      </c>
      <c r="K278" t="n">
        <v>0.8408638171585843</v>
      </c>
      <c r="L278" t="b">
        <v>0</v>
      </c>
      <c r="M278" t="b">
        <v>0</v>
      </c>
      <c r="N278" t="inlineStr">
        <is>
          <t>alt</t>
        </is>
      </c>
      <c r="O278" t="n">
        <v>90</v>
      </c>
      <c r="P278" t="n">
        <v>0.00394</v>
      </c>
      <c r="Q278" t="n">
        <v>95</v>
      </c>
      <c r="R278" t="n">
        <v>0.0196</v>
      </c>
      <c r="S278">
        <f>IMAGE("https://mitra.stanford.edu/kundaje/oak/projects/neuro-variants/variant_position/credible/roussos_2024/variant_figures/roussos_2024.adolescence.GLU/rs1322779_count_position.png",4,220,900)</f>
        <v/>
      </c>
      <c r="T278">
        <f>IMAGE("https://mitra.stanford.edu/kundaje/oak/projects/neuro-variants/variant_position/credible/roussos_2024/variant_figures/roussos_2024.adolescence.GLU/rs1322779_profile_position.png",4,220,900)</f>
        <v/>
      </c>
    </row>
    <row r="279">
      <c r="A279" t="inlineStr">
        <is>
          <t>chr1</t>
        </is>
      </c>
      <c r="B279" t="n">
        <v>173896523</v>
      </c>
      <c r="C279" t="inlineStr">
        <is>
          <t>T</t>
        </is>
      </c>
      <c r="D279" t="inlineStr">
        <is>
          <t>C</t>
        </is>
      </c>
      <c r="E279" t="inlineStr">
        <is>
          <t>rs9425434</t>
        </is>
      </c>
      <c r="F279" t="n">
        <v>-0.0001198773139999</v>
      </c>
      <c r="G279" t="n">
        <v>0.955292076867406</v>
      </c>
      <c r="H279" t="n">
        <v>0.0169272126581389</v>
      </c>
      <c r="I279" t="n">
        <v>0.1063696813645538</v>
      </c>
      <c r="J279" t="n">
        <v>0.0172121367997656</v>
      </c>
      <c r="K279" t="n">
        <v>0.8330625154913602</v>
      </c>
      <c r="L279" t="b">
        <v>0</v>
      </c>
      <c r="M279" t="b">
        <v>0</v>
      </c>
      <c r="N279" t="inlineStr">
        <is>
          <t>ref</t>
        </is>
      </c>
      <c r="O279" t="n">
        <v>-85</v>
      </c>
      <c r="P279" t="n">
        <v>0.001642</v>
      </c>
      <c r="Q279" t="n">
        <v>-70</v>
      </c>
      <c r="R279" t="n">
        <v>0.03558</v>
      </c>
      <c r="S279">
        <f>IMAGE("https://mitra.stanford.edu/kundaje/oak/projects/neuro-variants/variant_position/credible/roussos_2024/variant_figures/roussos_2024.adolescence.GLU/rs9425434_count_position.png",4,220,900)</f>
        <v/>
      </c>
      <c r="T279">
        <f>IMAGE("https://mitra.stanford.edu/kundaje/oak/projects/neuro-variants/variant_position/credible/roussos_2024/variant_figures/roussos_2024.adolescence.GLU/rs9425434_profile_position.png",4,220,900)</f>
        <v/>
      </c>
    </row>
    <row r="280">
      <c r="A280" t="inlineStr">
        <is>
          <t>chr1</t>
        </is>
      </c>
      <c r="B280" t="n">
        <v>173900220</v>
      </c>
      <c r="C280" t="inlineStr">
        <is>
          <t>T</t>
        </is>
      </c>
      <c r="D280" t="inlineStr">
        <is>
          <t>C</t>
        </is>
      </c>
      <c r="E280" t="inlineStr">
        <is>
          <t>rs73039035</t>
        </is>
      </c>
      <c r="F280" t="n">
        <v>0.01104216308</v>
      </c>
      <c r="G280" t="n">
        <v>0.4714364530093872</v>
      </c>
      <c r="H280" t="n">
        <v>0.0222008095680056</v>
      </c>
      <c r="I280" t="n">
        <v>0.0397198648811837</v>
      </c>
      <c r="J280" t="n">
        <v>0.06920290631630829</v>
      </c>
      <c r="K280" t="n">
        <v>0.6405010390868338</v>
      </c>
      <c r="L280" t="b">
        <v>0</v>
      </c>
      <c r="M280" t="b">
        <v>0</v>
      </c>
      <c r="N280" t="inlineStr">
        <is>
          <t>alt</t>
        </is>
      </c>
      <c r="O280" t="n">
        <v>-40</v>
      </c>
      <c r="P280" t="n">
        <v>0.003746</v>
      </c>
      <c r="Q280" t="n">
        <v>90</v>
      </c>
      <c r="R280" t="n">
        <v>0.0586</v>
      </c>
      <c r="S280">
        <f>IMAGE("https://mitra.stanford.edu/kundaje/oak/projects/neuro-variants/variant_position/credible/roussos_2024/variant_figures/roussos_2024.adolescence.GLU/rs73039035_count_position.png",4,220,900)</f>
        <v/>
      </c>
      <c r="T280">
        <f>IMAGE("https://mitra.stanford.edu/kundaje/oak/projects/neuro-variants/variant_position/credible/roussos_2024/variant_figures/roussos_2024.adolescence.GLU/rs73039035_profile_position.png",4,220,900)</f>
        <v/>
      </c>
    </row>
    <row r="281">
      <c r="A281" t="inlineStr">
        <is>
          <t>chr1</t>
        </is>
      </c>
      <c r="B281" t="n">
        <v>173912733</v>
      </c>
      <c r="C281" t="inlineStr">
        <is>
          <t>C</t>
        </is>
      </c>
      <c r="D281" t="inlineStr">
        <is>
          <t>T</t>
        </is>
      </c>
      <c r="E281" t="inlineStr">
        <is>
          <t>rs941989</t>
        </is>
      </c>
      <c r="F281" t="n">
        <v>0.0015276972599999</v>
      </c>
      <c r="G281" t="n">
        <v>0.702601894263664</v>
      </c>
      <c r="H281" t="n">
        <v>0.0242927326519137</v>
      </c>
      <c r="I281" t="n">
        <v>0.0220034428352111</v>
      </c>
      <c r="J281" t="n">
        <v>0.2247751319916268</v>
      </c>
      <c r="K281" t="n">
        <v>0.3663897861849643</v>
      </c>
      <c r="L281" t="b">
        <v>0</v>
      </c>
      <c r="M281" t="b">
        <v>0</v>
      </c>
      <c r="N281" t="inlineStr">
        <is>
          <t>alt</t>
        </is>
      </c>
      <c r="O281" t="n">
        <v>60</v>
      </c>
      <c r="P281" t="n">
        <v>0.003204</v>
      </c>
      <c r="Q281" t="n">
        <v>-25</v>
      </c>
      <c r="R281" t="n">
        <v>0.01776</v>
      </c>
      <c r="S281">
        <f>IMAGE("https://mitra.stanford.edu/kundaje/oak/projects/neuro-variants/variant_position/credible/roussos_2024/variant_figures/roussos_2024.adolescence.GLU/rs941989_count_position.png",4,220,900)</f>
        <v/>
      </c>
      <c r="T281">
        <f>IMAGE("https://mitra.stanford.edu/kundaje/oak/projects/neuro-variants/variant_position/credible/roussos_2024/variant_figures/roussos_2024.adolescence.GLU/rs941989_profile_position.png",4,220,900)</f>
        <v/>
      </c>
    </row>
    <row r="282">
      <c r="A282" t="inlineStr">
        <is>
          <t>chr1</t>
        </is>
      </c>
      <c r="B282" t="n">
        <v>173916398</v>
      </c>
      <c r="C282" t="inlineStr">
        <is>
          <t>G</t>
        </is>
      </c>
      <c r="D282" t="inlineStr">
        <is>
          <t>T</t>
        </is>
      </c>
      <c r="E282" t="inlineStr">
        <is>
          <t>rs2227593</t>
        </is>
      </c>
      <c r="F282" t="n">
        <v>-0.0200629409999999</v>
      </c>
      <c r="G282" t="n">
        <v>0.2960266699117374</v>
      </c>
      <c r="H282" t="n">
        <v>0.0087779862962568</v>
      </c>
      <c r="I282" t="n">
        <v>0.6888259635683769</v>
      </c>
      <c r="J282" t="n">
        <v>0.3577941144951454</v>
      </c>
      <c r="K282" t="n">
        <v>0.2091015430850582</v>
      </c>
      <c r="L282" t="b">
        <v>0</v>
      </c>
      <c r="M282" t="b">
        <v>0</v>
      </c>
      <c r="N282" t="inlineStr">
        <is>
          <t>ref</t>
        </is>
      </c>
      <c r="O282" t="n">
        <v>-100</v>
      </c>
      <c r="P282" t="n">
        <v>0.00199</v>
      </c>
      <c r="Q282" t="n">
        <v>-50</v>
      </c>
      <c r="R282" t="n">
        <v>0.03223</v>
      </c>
      <c r="S282">
        <f>IMAGE("https://mitra.stanford.edu/kundaje/oak/projects/neuro-variants/variant_position/credible/roussos_2024/variant_figures/roussos_2024.adolescence.GLU/rs2227593_count_position.png",4,220,900)</f>
        <v/>
      </c>
      <c r="T282">
        <f>IMAGE("https://mitra.stanford.edu/kundaje/oak/projects/neuro-variants/variant_position/credible/roussos_2024/variant_figures/roussos_2024.adolescence.GLU/rs2227593_profile_position.png",4,220,900)</f>
        <v/>
      </c>
    </row>
    <row r="283">
      <c r="A283" t="inlineStr">
        <is>
          <t>chr1</t>
        </is>
      </c>
      <c r="B283" t="n">
        <v>173981144</v>
      </c>
      <c r="C283" t="inlineStr">
        <is>
          <t>T</t>
        </is>
      </c>
      <c r="D283" t="inlineStr">
        <is>
          <t>C</t>
        </is>
      </c>
      <c r="E283" t="inlineStr">
        <is>
          <t>rs1884994</t>
        </is>
      </c>
      <c r="F283" t="n">
        <v>0.0029100274</v>
      </c>
      <c r="G283" t="n">
        <v>0.7740696032833179</v>
      </c>
      <c r="H283" t="n">
        <v>0.0222777800128403</v>
      </c>
      <c r="I283" t="n">
        <v>0.0366173399517619</v>
      </c>
      <c r="J283" t="n">
        <v>0.0399025512427573</v>
      </c>
      <c r="K283" t="n">
        <v>0.7364214677526382</v>
      </c>
      <c r="L283" t="b">
        <v>0</v>
      </c>
      <c r="M283" t="b">
        <v>0</v>
      </c>
      <c r="N283" t="inlineStr">
        <is>
          <t>alt</t>
        </is>
      </c>
      <c r="O283" t="n">
        <v>55</v>
      </c>
      <c r="P283" t="n">
        <v>0.003471</v>
      </c>
      <c r="Q283" t="n">
        <v>-100</v>
      </c>
      <c r="R283" t="n">
        <v>0.08057</v>
      </c>
      <c r="S283">
        <f>IMAGE("https://mitra.stanford.edu/kundaje/oak/projects/neuro-variants/variant_position/credible/roussos_2024/variant_figures/roussos_2024.adolescence.GLU/rs1884994_count_position.png",4,220,900)</f>
        <v/>
      </c>
      <c r="T283">
        <f>IMAGE("https://mitra.stanford.edu/kundaje/oak/projects/neuro-variants/variant_position/credible/roussos_2024/variant_figures/roussos_2024.adolescence.GLU/rs1884994_profile_position.png",4,220,900)</f>
        <v/>
      </c>
    </row>
    <row r="284">
      <c r="A284" t="inlineStr">
        <is>
          <t>chr1</t>
        </is>
      </c>
      <c r="B284" t="n">
        <v>174046493</v>
      </c>
      <c r="C284" t="inlineStr">
        <is>
          <t>T</t>
        </is>
      </c>
      <c r="D284" t="inlineStr">
        <is>
          <t>C</t>
        </is>
      </c>
      <c r="E284" t="inlineStr">
        <is>
          <t>rs6696163</t>
        </is>
      </c>
      <c r="F284" t="n">
        <v>0.0378938479999999</v>
      </c>
      <c r="G284" t="n">
        <v>0.118572737020361</v>
      </c>
      <c r="H284" t="n">
        <v>0.0095009614979961</v>
      </c>
      <c r="I284" t="n">
        <v>0.6007486496856309</v>
      </c>
      <c r="J284" t="n">
        <v>0.0092019061091225</v>
      </c>
      <c r="K284" t="n">
        <v>0.8852953894653546</v>
      </c>
      <c r="L284" t="b">
        <v>0</v>
      </c>
      <c r="M284" t="b">
        <v>0</v>
      </c>
      <c r="N284" t="inlineStr">
        <is>
          <t>alt</t>
        </is>
      </c>
      <c r="O284" t="n">
        <v>100</v>
      </c>
      <c r="P284" t="n">
        <v>0.000534</v>
      </c>
      <c r="Q284" t="n">
        <v>90</v>
      </c>
      <c r="R284" t="n">
        <v>0.04468</v>
      </c>
      <c r="S284">
        <f>IMAGE("https://mitra.stanford.edu/kundaje/oak/projects/neuro-variants/variant_position/credible/roussos_2024/variant_figures/roussos_2024.adolescence.GLU/rs6696163_count_position.png",4,220,900)</f>
        <v/>
      </c>
      <c r="T284">
        <f>IMAGE("https://mitra.stanford.edu/kundaje/oak/projects/neuro-variants/variant_position/credible/roussos_2024/variant_figures/roussos_2024.adolescence.GLU/rs6696163_profile_position.png",4,220,900)</f>
        <v/>
      </c>
    </row>
    <row r="285">
      <c r="A285" t="inlineStr">
        <is>
          <t>chr1</t>
        </is>
      </c>
      <c r="B285" t="n">
        <v>174052172</v>
      </c>
      <c r="C285" t="inlineStr">
        <is>
          <t>G</t>
        </is>
      </c>
      <c r="D285" t="inlineStr">
        <is>
          <t>C</t>
        </is>
      </c>
      <c r="E285" t="inlineStr">
        <is>
          <t>rs12092774</t>
        </is>
      </c>
      <c r="F285" t="n">
        <v>0.0173208114</v>
      </c>
      <c r="G285" t="n">
        <v>0.3382384707788606</v>
      </c>
      <c r="H285" t="n">
        <v>0.0097647817512511</v>
      </c>
      <c r="I285" t="n">
        <v>0.5705114896292078</v>
      </c>
      <c r="J285" t="n">
        <v>0.3424566517350022</v>
      </c>
      <c r="K285" t="n">
        <v>0.2239178043924656</v>
      </c>
      <c r="L285" t="b">
        <v>0</v>
      </c>
      <c r="M285" t="b">
        <v>0</v>
      </c>
      <c r="N285" t="inlineStr">
        <is>
          <t>alt</t>
        </is>
      </c>
      <c r="O285" t="n">
        <v>75</v>
      </c>
      <c r="P285" t="n">
        <v>0.005405</v>
      </c>
      <c r="Q285" t="n">
        <v>5</v>
      </c>
      <c r="R285" t="n">
        <v>0.00708</v>
      </c>
      <c r="S285">
        <f>IMAGE("https://mitra.stanford.edu/kundaje/oak/projects/neuro-variants/variant_position/credible/roussos_2024/variant_figures/roussos_2024.adolescence.GLU/rs12092774_count_position.png",4,220,900)</f>
        <v/>
      </c>
      <c r="T285">
        <f>IMAGE("https://mitra.stanford.edu/kundaje/oak/projects/neuro-variants/variant_position/credible/roussos_2024/variant_figures/roussos_2024.adolescence.GLU/rs12092774_profile_position.png",4,220,900)</f>
        <v/>
      </c>
    </row>
    <row r="286">
      <c r="A286" t="inlineStr">
        <is>
          <t>chr1</t>
        </is>
      </c>
      <c r="B286" t="n">
        <v>174055925</v>
      </c>
      <c r="C286" t="inlineStr">
        <is>
          <t>G</t>
        </is>
      </c>
      <c r="D286" t="inlineStr">
        <is>
          <t>T</t>
        </is>
      </c>
      <c r="E286" t="inlineStr">
        <is>
          <t>rs77574979</t>
        </is>
      </c>
      <c r="F286" t="n">
        <v>0.0281901835999999</v>
      </c>
      <c r="G286" t="n">
        <v>0.1891566254719976</v>
      </c>
      <c r="H286" t="n">
        <v>0.0132034763620997</v>
      </c>
      <c r="I286" t="n">
        <v>0.2805642321522724</v>
      </c>
      <c r="J286" t="n">
        <v>0.550263983253674</v>
      </c>
      <c r="K286" t="n">
        <v>0.0575416359477077</v>
      </c>
      <c r="L286" t="b">
        <v>0</v>
      </c>
      <c r="M286" t="b">
        <v>0</v>
      </c>
      <c r="N286" t="inlineStr">
        <is>
          <t>alt</t>
        </is>
      </c>
      <c r="O286" t="n">
        <v>30</v>
      </c>
      <c r="P286" t="n">
        <v>0.002176</v>
      </c>
      <c r="Q286" t="n">
        <v>-45</v>
      </c>
      <c r="R286" t="n">
        <v>0.0788</v>
      </c>
      <c r="S286">
        <f>IMAGE("https://mitra.stanford.edu/kundaje/oak/projects/neuro-variants/variant_position/credible/roussos_2024/variant_figures/roussos_2024.adolescence.GLU/rs77574979_count_position.png",4,220,900)</f>
        <v/>
      </c>
      <c r="T286">
        <f>IMAGE("https://mitra.stanford.edu/kundaje/oak/projects/neuro-variants/variant_position/credible/roussos_2024/variant_figures/roussos_2024.adolescence.GLU/rs77574979_profile_position.png",4,220,900)</f>
        <v/>
      </c>
    </row>
    <row r="287">
      <c r="A287" t="inlineStr">
        <is>
          <t>chr1</t>
        </is>
      </c>
      <c r="B287" t="n">
        <v>174061643</v>
      </c>
      <c r="C287" t="inlineStr">
        <is>
          <t>T</t>
        </is>
      </c>
      <c r="D287" t="inlineStr">
        <is>
          <t>A</t>
        </is>
      </c>
      <c r="E287" t="inlineStr">
        <is>
          <t>rs61228022</t>
        </is>
      </c>
      <c r="F287" t="n">
        <v>0.0528665277</v>
      </c>
      <c r="G287" t="n">
        <v>0.0758063971176197</v>
      </c>
      <c r="H287" t="n">
        <v>0.0222864611210419</v>
      </c>
      <c r="I287" t="n">
        <v>0.0457492402371266</v>
      </c>
      <c r="J287" t="n">
        <v>0.1011652413714269</v>
      </c>
      <c r="K287" t="n">
        <v>0.5713638547033122</v>
      </c>
      <c r="L287" t="b">
        <v>0</v>
      </c>
      <c r="M287" t="b">
        <v>0</v>
      </c>
      <c r="N287" t="inlineStr">
        <is>
          <t>alt</t>
        </is>
      </c>
      <c r="O287" t="n">
        <v>-35</v>
      </c>
      <c r="P287" t="n">
        <v>0.00349</v>
      </c>
      <c r="Q287" t="n">
        <v>100</v>
      </c>
      <c r="R287" t="n">
        <v>0.02963</v>
      </c>
      <c r="S287">
        <f>IMAGE("https://mitra.stanford.edu/kundaje/oak/projects/neuro-variants/variant_position/credible/roussos_2024/variant_figures/roussos_2024.adolescence.GLU/rs61228022_count_position.png",4,220,900)</f>
        <v/>
      </c>
      <c r="T287">
        <f>IMAGE("https://mitra.stanford.edu/kundaje/oak/projects/neuro-variants/variant_position/credible/roussos_2024/variant_figures/roussos_2024.adolescence.GLU/rs61228022_profile_position.png",4,220,900)</f>
        <v/>
      </c>
    </row>
    <row r="288">
      <c r="A288" t="inlineStr">
        <is>
          <t>chr1</t>
        </is>
      </c>
      <c r="B288" t="n">
        <v>174062848</v>
      </c>
      <c r="C288" t="inlineStr">
        <is>
          <t>G</t>
        </is>
      </c>
      <c r="D288" t="inlineStr">
        <is>
          <t>T</t>
        </is>
      </c>
      <c r="E288" t="inlineStr">
        <is>
          <t>rs55988379</t>
        </is>
      </c>
      <c r="F288" t="n">
        <v>-0.1101944542</v>
      </c>
      <c r="G288" t="n">
        <v>0.0065373583979921</v>
      </c>
      <c r="H288" t="n">
        <v>0.0249011083027173</v>
      </c>
      <c r="I288" t="n">
        <v>0.0265595300444595</v>
      </c>
      <c r="J288" t="n">
        <v>0.151705710468597</v>
      </c>
      <c r="K288" t="n">
        <v>0.4776541981582473</v>
      </c>
      <c r="L288" t="b">
        <v>1</v>
      </c>
      <c r="M288" t="b">
        <v>1</v>
      </c>
      <c r="N288" t="inlineStr">
        <is>
          <t>ref</t>
        </is>
      </c>
      <c r="O288" t="n">
        <v>-45</v>
      </c>
      <c r="P288" t="n">
        <v>0.00534</v>
      </c>
      <c r="Q288" t="n">
        <v>100</v>
      </c>
      <c r="R288" t="n">
        <v>0.09906</v>
      </c>
      <c r="S288">
        <f>IMAGE("https://mitra.stanford.edu/kundaje/oak/projects/neuro-variants/variant_position/credible/roussos_2024/variant_figures/roussos_2024.adolescence.GLU/rs55988379_count_position.png",4,220,900)</f>
        <v/>
      </c>
      <c r="T288">
        <f>IMAGE("https://mitra.stanford.edu/kundaje/oak/projects/neuro-variants/variant_position/credible/roussos_2024/variant_figures/roussos_2024.adolescence.GLU/rs55988379_profile_position.png",4,220,900)</f>
        <v/>
      </c>
    </row>
    <row r="289">
      <c r="A289" t="inlineStr">
        <is>
          <t>chr1</t>
        </is>
      </c>
      <c r="B289" t="n">
        <v>174063084</v>
      </c>
      <c r="C289" t="inlineStr">
        <is>
          <t>C</t>
        </is>
      </c>
      <c r="D289" t="inlineStr">
        <is>
          <t>A</t>
        </is>
      </c>
      <c r="E289" t="inlineStr">
        <is>
          <t>rs61826842</t>
        </is>
      </c>
      <c r="F289" t="n">
        <v>-0.0308615096</v>
      </c>
      <c r="G289" t="n">
        <v>0.178310525153569</v>
      </c>
      <c r="H289" t="n">
        <v>0.0251215468779733</v>
      </c>
      <c r="I289" t="n">
        <v>0.0220757466845393</v>
      </c>
      <c r="J289" t="n">
        <v>0.186564359760236</v>
      </c>
      <c r="K289" t="n">
        <v>0.421545026312986</v>
      </c>
      <c r="L289" t="b">
        <v>0</v>
      </c>
      <c r="M289" t="b">
        <v>0</v>
      </c>
      <c r="N289" t="inlineStr">
        <is>
          <t>ref</t>
        </is>
      </c>
      <c r="O289" t="n">
        <v>-35</v>
      </c>
      <c r="P289" t="n">
        <v>0.003204</v>
      </c>
      <c r="Q289" t="n">
        <v>30</v>
      </c>
      <c r="R289" t="n">
        <v>0.02002</v>
      </c>
      <c r="S289">
        <f>IMAGE("https://mitra.stanford.edu/kundaje/oak/projects/neuro-variants/variant_position/credible/roussos_2024/variant_figures/roussos_2024.adolescence.GLU/rs61826842_count_position.png",4,220,900)</f>
        <v/>
      </c>
      <c r="T289">
        <f>IMAGE("https://mitra.stanford.edu/kundaje/oak/projects/neuro-variants/variant_position/credible/roussos_2024/variant_figures/roussos_2024.adolescence.GLU/rs61826842_profile_position.png",4,220,900)</f>
        <v/>
      </c>
    </row>
    <row r="290">
      <c r="A290" t="inlineStr">
        <is>
          <t>chr1</t>
        </is>
      </c>
      <c r="B290" t="n">
        <v>174106636</v>
      </c>
      <c r="C290" t="inlineStr">
        <is>
          <t>C</t>
        </is>
      </c>
      <c r="D290" t="inlineStr">
        <is>
          <t>T</t>
        </is>
      </c>
      <c r="E290" t="inlineStr">
        <is>
          <t>rs13376011</t>
        </is>
      </c>
      <c r="F290" t="n">
        <v>0.00090492532</v>
      </c>
      <c r="G290" t="n">
        <v>0.7504812144585503</v>
      </c>
      <c r="H290" t="n">
        <v>0.0362975408385543</v>
      </c>
      <c r="I290" t="n">
        <v>0.0042265122740223</v>
      </c>
      <c r="J290" t="n">
        <v>0.0303562880882468</v>
      </c>
      <c r="K290" t="n">
        <v>0.7865303379072008</v>
      </c>
      <c r="L290" t="b">
        <v>1</v>
      </c>
      <c r="M290" t="b">
        <v>0</v>
      </c>
      <c r="N290" t="inlineStr">
        <is>
          <t>alt</t>
        </is>
      </c>
      <c r="O290" t="n">
        <v>-100</v>
      </c>
      <c r="P290" t="n">
        <v>0.001999</v>
      </c>
      <c r="Q290" t="n">
        <v>-60</v>
      </c>
      <c r="R290" t="n">
        <v>0.0699</v>
      </c>
      <c r="S290">
        <f>IMAGE("https://mitra.stanford.edu/kundaje/oak/projects/neuro-variants/variant_position/credible/roussos_2024/variant_figures/roussos_2024.adolescence.GLU/rs13376011_count_position.png",4,220,900)</f>
        <v/>
      </c>
      <c r="T290">
        <f>IMAGE("https://mitra.stanford.edu/kundaje/oak/projects/neuro-variants/variant_position/credible/roussos_2024/variant_figures/roussos_2024.adolescence.GLU/rs13376011_profile_position.png",4,220,900)</f>
        <v/>
      </c>
    </row>
    <row r="291">
      <c r="A291" t="inlineStr">
        <is>
          <t>chr1</t>
        </is>
      </c>
      <c r="B291" t="n">
        <v>174133461</v>
      </c>
      <c r="C291" t="inlineStr">
        <is>
          <t>G</t>
        </is>
      </c>
      <c r="D291" t="inlineStr">
        <is>
          <t>A</t>
        </is>
      </c>
      <c r="E291" t="inlineStr">
        <is>
          <t>rs6425273</t>
        </is>
      </c>
      <c r="F291" t="n">
        <v>-0.1203936856</v>
      </c>
      <c r="G291" t="n">
        <v>0.0041480519054511</v>
      </c>
      <c r="H291" t="n">
        <v>0.0268996762940459</v>
      </c>
      <c r="I291" t="n">
        <v>0.0134592908301132</v>
      </c>
      <c r="J291" t="n">
        <v>0.14917375742118</v>
      </c>
      <c r="K291" t="n">
        <v>0.4870024242668276</v>
      </c>
      <c r="L291" t="b">
        <v>1</v>
      </c>
      <c r="M291" t="b">
        <v>1</v>
      </c>
      <c r="N291" t="inlineStr">
        <is>
          <t>ref</t>
        </is>
      </c>
      <c r="O291" t="n">
        <v>60</v>
      </c>
      <c r="P291" t="n">
        <v>0.003847</v>
      </c>
      <c r="Q291" t="n">
        <v>-15</v>
      </c>
      <c r="R291" t="n">
        <v>0.02362</v>
      </c>
      <c r="S291">
        <f>IMAGE("https://mitra.stanford.edu/kundaje/oak/projects/neuro-variants/variant_position/credible/roussos_2024/variant_figures/roussos_2024.adolescence.GLU/rs6425273_count_position.png",4,220,900)</f>
        <v/>
      </c>
      <c r="T291">
        <f>IMAGE("https://mitra.stanford.edu/kundaje/oak/projects/neuro-variants/variant_position/credible/roussos_2024/variant_figures/roussos_2024.adolescence.GLU/rs6425273_profile_position.png",4,220,900)</f>
        <v/>
      </c>
    </row>
    <row r="292">
      <c r="A292" t="inlineStr">
        <is>
          <t>chr1</t>
        </is>
      </c>
      <c r="B292" t="n">
        <v>177285924</v>
      </c>
      <c r="C292" t="inlineStr">
        <is>
          <t>C</t>
        </is>
      </c>
      <c r="D292" t="inlineStr">
        <is>
          <t>T</t>
        </is>
      </c>
      <c r="E292" t="inlineStr">
        <is>
          <t>rs11587684</t>
        </is>
      </c>
      <c r="F292" t="n">
        <v>-0.0489244988</v>
      </c>
      <c r="G292" t="n">
        <v>0.0740896476114766</v>
      </c>
      <c r="H292" t="n">
        <v>0.0163584134910995</v>
      </c>
      <c r="I292" t="n">
        <v>0.1345311228891652</v>
      </c>
      <c r="J292" t="n">
        <v>0.07233069707296499</v>
      </c>
      <c r="K292" t="n">
        <v>0.6361289886248309</v>
      </c>
      <c r="L292" t="b">
        <v>0</v>
      </c>
      <c r="M292" t="b">
        <v>0</v>
      </c>
      <c r="N292" t="inlineStr">
        <is>
          <t>ref</t>
        </is>
      </c>
      <c r="O292" t="n">
        <v>70</v>
      </c>
      <c r="P292" t="n">
        <v>0.01297</v>
      </c>
      <c r="Q292" t="n">
        <v>85</v>
      </c>
      <c r="R292" t="n">
        <v>0.02457</v>
      </c>
      <c r="S292">
        <f>IMAGE("https://mitra.stanford.edu/kundaje/oak/projects/neuro-variants/variant_position/credible/roussos_2024/variant_figures/roussos_2024.adolescence.GLU/rs11587684_count_position.png",4,220,900)</f>
        <v/>
      </c>
      <c r="T292">
        <f>IMAGE("https://mitra.stanford.edu/kundaje/oak/projects/neuro-variants/variant_position/credible/roussos_2024/variant_figures/roussos_2024.adolescence.GLU/rs11587684_profile_position.png",4,220,900)</f>
        <v/>
      </c>
    </row>
    <row r="293">
      <c r="A293" t="inlineStr">
        <is>
          <t>chr1</t>
        </is>
      </c>
      <c r="B293" t="n">
        <v>177289737</v>
      </c>
      <c r="C293" t="inlineStr">
        <is>
          <t>G</t>
        </is>
      </c>
      <c r="D293" t="inlineStr">
        <is>
          <t>A</t>
        </is>
      </c>
      <c r="E293" t="inlineStr">
        <is>
          <t>rs72720790</t>
        </is>
      </c>
      <c r="F293" t="n">
        <v>-0.08986209673999999</v>
      </c>
      <c r="G293" t="n">
        <v>0.042959199762501</v>
      </c>
      <c r="H293" t="n">
        <v>0.0317075169019969</v>
      </c>
      <c r="I293" t="n">
        <v>0.0332170901598869</v>
      </c>
      <c r="J293" t="n">
        <v>0.2280815311743146</v>
      </c>
      <c r="K293" t="n">
        <v>0.3554358139238505</v>
      </c>
      <c r="L293" t="b">
        <v>0</v>
      </c>
      <c r="M293" t="b">
        <v>0</v>
      </c>
      <c r="N293" t="inlineStr">
        <is>
          <t>ref</t>
        </is>
      </c>
      <c r="O293" t="n">
        <v>-70</v>
      </c>
      <c r="P293" t="n">
        <v>0.002483</v>
      </c>
      <c r="Q293" t="n">
        <v>70</v>
      </c>
      <c r="R293" t="n">
        <v>0.0803</v>
      </c>
      <c r="S293">
        <f>IMAGE("https://mitra.stanford.edu/kundaje/oak/projects/neuro-variants/variant_position/credible/roussos_2024/variant_figures/roussos_2024.adolescence.GLU/rs72720790_count_position.png",4,220,900)</f>
        <v/>
      </c>
      <c r="T293">
        <f>IMAGE("https://mitra.stanford.edu/kundaje/oak/projects/neuro-variants/variant_position/credible/roussos_2024/variant_figures/roussos_2024.adolescence.GLU/rs72720790_profile_position.png",4,220,900)</f>
        <v/>
      </c>
    </row>
    <row r="294">
      <c r="A294" t="inlineStr">
        <is>
          <t>chr1</t>
        </is>
      </c>
      <c r="B294" t="n">
        <v>177291972</v>
      </c>
      <c r="C294" t="inlineStr">
        <is>
          <t>G</t>
        </is>
      </c>
      <c r="D294" t="inlineStr">
        <is>
          <t>A</t>
        </is>
      </c>
      <c r="E294" t="inlineStr">
        <is>
          <t>rs11587000</t>
        </is>
      </c>
      <c r="F294" t="n">
        <v>0.00522006606</v>
      </c>
      <c r="G294" t="n">
        <v>0.6777022215984585</v>
      </c>
      <c r="H294" t="n">
        <v>0.0073655862406169</v>
      </c>
      <c r="I294" t="n">
        <v>0.8618690419503551</v>
      </c>
      <c r="J294" t="n">
        <v>0.027567138907345</v>
      </c>
      <c r="K294" t="n">
        <v>0.7828305896796989</v>
      </c>
      <c r="L294" t="b">
        <v>0</v>
      </c>
      <c r="M294" t="b">
        <v>0</v>
      </c>
      <c r="N294" t="inlineStr">
        <is>
          <t>alt</t>
        </is>
      </c>
      <c r="O294" t="n">
        <v>-95</v>
      </c>
      <c r="P294" t="n">
        <v>0.004227</v>
      </c>
      <c r="Q294" t="n">
        <v>100</v>
      </c>
      <c r="R294" t="n">
        <v>0.0597</v>
      </c>
      <c r="S294">
        <f>IMAGE("https://mitra.stanford.edu/kundaje/oak/projects/neuro-variants/variant_position/credible/roussos_2024/variant_figures/roussos_2024.adolescence.GLU/rs11587000_count_position.png",4,220,900)</f>
        <v/>
      </c>
      <c r="T294">
        <f>IMAGE("https://mitra.stanford.edu/kundaje/oak/projects/neuro-variants/variant_position/credible/roussos_2024/variant_figures/roussos_2024.adolescence.GLU/rs11587000_profile_position.png",4,220,900)</f>
        <v/>
      </c>
    </row>
    <row r="295">
      <c r="A295" t="inlineStr">
        <is>
          <t>chr1</t>
        </is>
      </c>
      <c r="B295" t="n">
        <v>177591300</v>
      </c>
      <c r="C295" t="inlineStr">
        <is>
          <t>C</t>
        </is>
      </c>
      <c r="D295" t="inlineStr">
        <is>
          <t>T</t>
        </is>
      </c>
      <c r="E295" t="inlineStr">
        <is>
          <t>rs1415339</t>
        </is>
      </c>
      <c r="F295" t="n">
        <v>-0.0606196106</v>
      </c>
      <c r="G295" t="n">
        <v>0.0406791034214556</v>
      </c>
      <c r="H295" t="n">
        <v>0.0121974419266181</v>
      </c>
      <c r="I295" t="n">
        <v>0.2875854915891751</v>
      </c>
      <c r="J295" t="n">
        <v>0.4505104628815969</v>
      </c>
      <c r="K295" t="n">
        <v>0.1228629360316845</v>
      </c>
      <c r="L295" t="b">
        <v>0</v>
      </c>
      <c r="M295" t="b">
        <v>0</v>
      </c>
      <c r="N295" t="inlineStr">
        <is>
          <t>ref</t>
        </is>
      </c>
      <c r="O295" t="n">
        <v>75</v>
      </c>
      <c r="P295" t="n">
        <v>0.001869</v>
      </c>
      <c r="Q295" t="n">
        <v>-80</v>
      </c>
      <c r="R295" t="n">
        <v>0.05786</v>
      </c>
      <c r="S295">
        <f>IMAGE("https://mitra.stanford.edu/kundaje/oak/projects/neuro-variants/variant_position/credible/roussos_2024/variant_figures/roussos_2024.adolescence.GLU/rs1415339_count_position.png",4,220,900)</f>
        <v/>
      </c>
      <c r="T295">
        <f>IMAGE("https://mitra.stanford.edu/kundaje/oak/projects/neuro-variants/variant_position/credible/roussos_2024/variant_figures/roussos_2024.adolescence.GLU/rs1415339_profile_position.png",4,220,900)</f>
        <v/>
      </c>
    </row>
    <row r="296">
      <c r="A296" t="inlineStr">
        <is>
          <t>chr1</t>
        </is>
      </c>
      <c r="B296" t="n">
        <v>177605857</v>
      </c>
      <c r="C296" t="inlineStr">
        <is>
          <t>A</t>
        </is>
      </c>
      <c r="D296" t="inlineStr">
        <is>
          <t>G</t>
        </is>
      </c>
      <c r="E296" t="inlineStr">
        <is>
          <t>rs34929437</t>
        </is>
      </c>
      <c r="F296" t="n">
        <v>0.00019585062</v>
      </c>
      <c r="G296" t="n">
        <v>0.8263209597741118</v>
      </c>
      <c r="H296" t="n">
        <v>0.0200404182233244</v>
      </c>
      <c r="I296" t="n">
        <v>0.0557613622594371</v>
      </c>
      <c r="J296" t="n">
        <v>0.0065399261275549</v>
      </c>
      <c r="K296" t="n">
        <v>0.9042868587782908</v>
      </c>
      <c r="L296" t="b">
        <v>0</v>
      </c>
      <c r="M296" t="b">
        <v>0</v>
      </c>
      <c r="N296" t="inlineStr">
        <is>
          <t>alt</t>
        </is>
      </c>
      <c r="O296" t="n">
        <v>95</v>
      </c>
      <c r="P296" t="n">
        <v>0.00992</v>
      </c>
      <c r="Q296" t="n">
        <v>-75</v>
      </c>
      <c r="R296" t="n">
        <v>0.06033</v>
      </c>
      <c r="S296">
        <f>IMAGE("https://mitra.stanford.edu/kundaje/oak/projects/neuro-variants/variant_position/credible/roussos_2024/variant_figures/roussos_2024.adolescence.GLU/rs34929437_count_position.png",4,220,900)</f>
        <v/>
      </c>
      <c r="T296">
        <f>IMAGE("https://mitra.stanford.edu/kundaje/oak/projects/neuro-variants/variant_position/credible/roussos_2024/variant_figures/roussos_2024.adolescence.GLU/rs34929437_profile_position.png",4,220,900)</f>
        <v/>
      </c>
    </row>
    <row r="297">
      <c r="A297" t="inlineStr">
        <is>
          <t>chr1</t>
        </is>
      </c>
      <c r="B297" t="n">
        <v>177711567</v>
      </c>
      <c r="C297" t="inlineStr">
        <is>
          <t>T</t>
        </is>
      </c>
      <c r="D297" t="inlineStr">
        <is>
          <t>A</t>
        </is>
      </c>
      <c r="E297" t="inlineStr">
        <is>
          <t>rs12143554</t>
        </is>
      </c>
      <c r="F297" t="n">
        <v>0.00399129114</v>
      </c>
      <c r="G297" t="n">
        <v>0.6971932662965097</v>
      </c>
      <c r="H297" t="n">
        <v>0.008423988411217701</v>
      </c>
      <c r="I297" t="n">
        <v>0.7476085712944658</v>
      </c>
      <c r="J297" t="n">
        <v>0.3886147844910732</v>
      </c>
      <c r="K297" t="n">
        <v>0.1784676649466383</v>
      </c>
      <c r="L297" t="b">
        <v>0</v>
      </c>
      <c r="M297" t="b">
        <v>0</v>
      </c>
      <c r="N297" t="inlineStr">
        <is>
          <t>alt</t>
        </is>
      </c>
      <c r="O297" t="n">
        <v>-50</v>
      </c>
      <c r="P297" t="n">
        <v>0.001118</v>
      </c>
      <c r="Q297" t="n">
        <v>-95</v>
      </c>
      <c r="R297" t="n">
        <v>0.0493</v>
      </c>
      <c r="S297">
        <f>IMAGE("https://mitra.stanford.edu/kundaje/oak/projects/neuro-variants/variant_position/credible/roussos_2024/variant_figures/roussos_2024.adolescence.GLU/rs12143554_count_position.png",4,220,900)</f>
        <v/>
      </c>
      <c r="T297">
        <f>IMAGE("https://mitra.stanford.edu/kundaje/oak/projects/neuro-variants/variant_position/credible/roussos_2024/variant_figures/roussos_2024.adolescence.GLU/rs12143554_profile_position.png",4,220,900)</f>
        <v/>
      </c>
    </row>
    <row r="298">
      <c r="A298" t="inlineStr">
        <is>
          <t>chr1</t>
        </is>
      </c>
      <c r="B298" t="n">
        <v>177759570</v>
      </c>
      <c r="C298" t="inlineStr">
        <is>
          <t>G</t>
        </is>
      </c>
      <c r="D298" t="inlineStr">
        <is>
          <t>A</t>
        </is>
      </c>
      <c r="E298" t="inlineStr">
        <is>
          <t>rs12138989</t>
        </is>
      </c>
      <c r="F298" t="n">
        <v>-0.0295802008</v>
      </c>
      <c r="G298" t="n">
        <v>0.1901038996215446</v>
      </c>
      <c r="H298" t="n">
        <v>0.0116434801456473</v>
      </c>
      <c r="I298" t="n">
        <v>0.3293754504155392</v>
      </c>
      <c r="J298" t="n">
        <v>0.5193047131191462</v>
      </c>
      <c r="K298" t="n">
        <v>0.0755339176450798</v>
      </c>
      <c r="L298" t="b">
        <v>0</v>
      </c>
      <c r="M298" t="b">
        <v>0</v>
      </c>
      <c r="N298" t="inlineStr">
        <is>
          <t>ref</t>
        </is>
      </c>
      <c r="O298" t="n">
        <v>-100</v>
      </c>
      <c r="P298" t="n">
        <v>0.03345</v>
      </c>
      <c r="Q298" t="n">
        <v>5</v>
      </c>
      <c r="R298" t="n">
        <v>0.00757</v>
      </c>
      <c r="S298">
        <f>IMAGE("https://mitra.stanford.edu/kundaje/oak/projects/neuro-variants/variant_position/credible/roussos_2024/variant_figures/roussos_2024.adolescence.GLU/rs12138989_count_position.png",4,220,900)</f>
        <v/>
      </c>
      <c r="T298">
        <f>IMAGE("https://mitra.stanford.edu/kundaje/oak/projects/neuro-variants/variant_position/credible/roussos_2024/variant_figures/roussos_2024.adolescence.GLU/rs12138989_profile_position.png",4,220,900)</f>
        <v/>
      </c>
    </row>
    <row r="299">
      <c r="A299" t="inlineStr">
        <is>
          <t>chr1</t>
        </is>
      </c>
      <c r="B299" t="n">
        <v>177759699</v>
      </c>
      <c r="C299" t="inlineStr">
        <is>
          <t>C</t>
        </is>
      </c>
      <c r="D299" t="inlineStr">
        <is>
          <t>T</t>
        </is>
      </c>
      <c r="E299" t="inlineStr">
        <is>
          <t>rs55902020</t>
        </is>
      </c>
      <c r="F299" t="n">
        <v>-0.0580832358</v>
      </c>
      <c r="G299" t="n">
        <v>0.0426377488490521</v>
      </c>
      <c r="H299" t="n">
        <v>0.009088965538194301</v>
      </c>
      <c r="I299" t="n">
        <v>0.6480056293018335</v>
      </c>
      <c r="J299" t="n">
        <v>0.5455487208064528</v>
      </c>
      <c r="K299" t="n">
        <v>0.0612685214629093</v>
      </c>
      <c r="L299" t="b">
        <v>0</v>
      </c>
      <c r="M299" t="b">
        <v>0</v>
      </c>
      <c r="N299" t="inlineStr">
        <is>
          <t>ref</t>
        </is>
      </c>
      <c r="O299" t="n">
        <v>-100</v>
      </c>
      <c r="P299" t="n">
        <v>0.003365</v>
      </c>
      <c r="Q299" t="n">
        <v>-15</v>
      </c>
      <c r="R299" t="n">
        <v>0.03357</v>
      </c>
      <c r="S299">
        <f>IMAGE("https://mitra.stanford.edu/kundaje/oak/projects/neuro-variants/variant_position/credible/roussos_2024/variant_figures/roussos_2024.adolescence.GLU/rs55902020_count_position.png",4,220,900)</f>
        <v/>
      </c>
      <c r="T299">
        <f>IMAGE("https://mitra.stanford.edu/kundaje/oak/projects/neuro-variants/variant_position/credible/roussos_2024/variant_figures/roussos_2024.adolescence.GLU/rs55902020_profile_position.png",4,220,900)</f>
        <v/>
      </c>
    </row>
    <row r="300">
      <c r="A300" t="inlineStr">
        <is>
          <t>chr1</t>
        </is>
      </c>
      <c r="B300" t="n">
        <v>177799814</v>
      </c>
      <c r="C300" t="inlineStr">
        <is>
          <t>T</t>
        </is>
      </c>
      <c r="D300" t="inlineStr">
        <is>
          <t>G</t>
        </is>
      </c>
      <c r="E300" t="inlineStr">
        <is>
          <t>rs10913422</t>
        </is>
      </c>
      <c r="F300" t="n">
        <v>-0.0187203484</v>
      </c>
      <c r="G300" t="n">
        <v>0.3380400008457195</v>
      </c>
      <c r="H300" t="n">
        <v>0.0391590893212207</v>
      </c>
      <c r="I300" t="n">
        <v>0.0029281560012492</v>
      </c>
      <c r="J300" t="n">
        <v>0.1996956512420429</v>
      </c>
      <c r="K300" t="n">
        <v>0.3990579897878289</v>
      </c>
      <c r="L300" t="b">
        <v>1</v>
      </c>
      <c r="M300" t="b">
        <v>1</v>
      </c>
      <c r="N300" t="inlineStr">
        <is>
          <t>ref</t>
        </is>
      </c>
      <c r="O300" t="n">
        <v>10</v>
      </c>
      <c r="P300" t="n">
        <v>0.000763</v>
      </c>
      <c r="Q300" t="n">
        <v>-5</v>
      </c>
      <c r="R300" t="n">
        <v>0.01904</v>
      </c>
      <c r="S300">
        <f>IMAGE("https://mitra.stanford.edu/kundaje/oak/projects/neuro-variants/variant_position/credible/roussos_2024/variant_figures/roussos_2024.adolescence.GLU/rs10913422_count_position.png",4,220,900)</f>
        <v/>
      </c>
      <c r="T300">
        <f>IMAGE("https://mitra.stanford.edu/kundaje/oak/projects/neuro-variants/variant_position/credible/roussos_2024/variant_figures/roussos_2024.adolescence.GLU/rs10913422_profile_position.png",4,220,900)</f>
        <v/>
      </c>
    </row>
    <row r="301">
      <c r="A301" t="inlineStr">
        <is>
          <t>chr1</t>
        </is>
      </c>
      <c r="B301" t="n">
        <v>177803759</v>
      </c>
      <c r="C301" t="inlineStr">
        <is>
          <t>G</t>
        </is>
      </c>
      <c r="D301" t="inlineStr">
        <is>
          <t>T</t>
        </is>
      </c>
      <c r="E301" t="inlineStr">
        <is>
          <t>rs12065872</t>
        </is>
      </c>
      <c r="F301" t="n">
        <v>6.460374099999941e-06</v>
      </c>
      <c r="G301" t="n">
        <v>0.9239787337215136</v>
      </c>
      <c r="H301" t="n">
        <v>0.0110086754987762</v>
      </c>
      <c r="I301" t="n">
        <v>0.4317589340513053</v>
      </c>
      <c r="J301" t="n">
        <v>0.1970122382493516</v>
      </c>
      <c r="K301" t="n">
        <v>0.4072743422525064</v>
      </c>
      <c r="L301" t="b">
        <v>0</v>
      </c>
      <c r="M301" t="b">
        <v>0</v>
      </c>
      <c r="N301" t="inlineStr">
        <is>
          <t>alt</t>
        </is>
      </c>
      <c r="O301" t="n">
        <v>-45</v>
      </c>
      <c r="P301" t="n">
        <v>0.001736</v>
      </c>
      <c r="Q301" t="n">
        <v>-100</v>
      </c>
      <c r="R301" t="n">
        <v>0.06370000000000001</v>
      </c>
      <c r="S301">
        <f>IMAGE("https://mitra.stanford.edu/kundaje/oak/projects/neuro-variants/variant_position/credible/roussos_2024/variant_figures/roussos_2024.adolescence.GLU/rs12065872_count_position.png",4,220,900)</f>
        <v/>
      </c>
      <c r="T301">
        <f>IMAGE("https://mitra.stanford.edu/kundaje/oak/projects/neuro-variants/variant_position/credible/roussos_2024/variant_figures/roussos_2024.adolescence.GLU/rs12065872_profile_position.png",4,220,900)</f>
        <v/>
      </c>
    </row>
    <row r="302">
      <c r="A302" t="inlineStr">
        <is>
          <t>chr1</t>
        </is>
      </c>
      <c r="B302" t="n">
        <v>179110055</v>
      </c>
      <c r="C302" t="inlineStr">
        <is>
          <t>T</t>
        </is>
      </c>
      <c r="D302" t="inlineStr">
        <is>
          <t>C</t>
        </is>
      </c>
      <c r="E302" t="inlineStr">
        <is>
          <t>rs3818433</t>
        </is>
      </c>
      <c r="F302" t="n">
        <v>0.0808126168</v>
      </c>
      <c r="G302" t="n">
        <v>0.0135253680802224</v>
      </c>
      <c r="H302" t="n">
        <v>0.0117481746558365</v>
      </c>
      <c r="I302" t="n">
        <v>0.3591413915024412</v>
      </c>
      <c r="J302" t="n">
        <v>0.4152760214615884</v>
      </c>
      <c r="K302" t="n">
        <v>0.1525540239366293</v>
      </c>
      <c r="L302" t="b">
        <v>1</v>
      </c>
      <c r="M302" t="b">
        <v>0</v>
      </c>
      <c r="N302" t="inlineStr">
        <is>
          <t>alt</t>
        </is>
      </c>
      <c r="O302" t="n">
        <v>-90</v>
      </c>
      <c r="P302" t="n">
        <v>0.00357</v>
      </c>
      <c r="Q302" t="n">
        <v>-90</v>
      </c>
      <c r="R302" t="n">
        <v>0.03162</v>
      </c>
      <c r="S302">
        <f>IMAGE("https://mitra.stanford.edu/kundaje/oak/projects/neuro-variants/variant_position/credible/roussos_2024/variant_figures/roussos_2024.adolescence.GLU/rs3818433_count_position.png",4,220,900)</f>
        <v/>
      </c>
      <c r="T302">
        <f>IMAGE("https://mitra.stanford.edu/kundaje/oak/projects/neuro-variants/variant_position/credible/roussos_2024/variant_figures/roussos_2024.adolescence.GLU/rs3818433_profile_position.png",4,220,900)</f>
        <v/>
      </c>
    </row>
    <row r="303">
      <c r="A303" t="inlineStr">
        <is>
          <t>chr1</t>
        </is>
      </c>
      <c r="B303" t="n">
        <v>179260586</v>
      </c>
      <c r="C303" t="inlineStr">
        <is>
          <t>G</t>
        </is>
      </c>
      <c r="D303" t="inlineStr">
        <is>
          <t>A</t>
        </is>
      </c>
      <c r="E303" t="inlineStr">
        <is>
          <t>rs432798</t>
        </is>
      </c>
      <c r="F303" t="n">
        <v>-0.0674746636</v>
      </c>
      <c r="G303" t="n">
        <v>0.0303174827207144</v>
      </c>
      <c r="H303" t="n">
        <v>0.0118866250208677</v>
      </c>
      <c r="I303" t="n">
        <v>0.3453980693869036</v>
      </c>
      <c r="J303" t="n">
        <v>0.1466060826885568</v>
      </c>
      <c r="K303" t="n">
        <v>0.4855376117002272</v>
      </c>
      <c r="L303" t="b">
        <v>0</v>
      </c>
      <c r="M303" t="b">
        <v>0</v>
      </c>
      <c r="N303" t="inlineStr">
        <is>
          <t>ref</t>
        </is>
      </c>
      <c r="O303" t="n">
        <v>-95</v>
      </c>
      <c r="P303" t="n">
        <v>0.03665</v>
      </c>
      <c r="Q303" t="n">
        <v>-25</v>
      </c>
      <c r="R303" t="n">
        <v>0.0465</v>
      </c>
      <c r="S303">
        <f>IMAGE("https://mitra.stanford.edu/kundaje/oak/projects/neuro-variants/variant_position/credible/roussos_2024/variant_figures/roussos_2024.adolescence.GLU/rs432798_count_position.png",4,220,900)</f>
        <v/>
      </c>
      <c r="T303">
        <f>IMAGE("https://mitra.stanford.edu/kundaje/oak/projects/neuro-variants/variant_position/credible/roussos_2024/variant_figures/roussos_2024.adolescence.GLU/rs432798_profile_position.png",4,220,900)</f>
        <v/>
      </c>
    </row>
    <row r="304">
      <c r="A304" t="inlineStr">
        <is>
          <t>chr1</t>
        </is>
      </c>
      <c r="B304" t="n">
        <v>179264910</v>
      </c>
      <c r="C304" t="inlineStr">
        <is>
          <t>A</t>
        </is>
      </c>
      <c r="D304" t="inlineStr">
        <is>
          <t>C</t>
        </is>
      </c>
      <c r="E304" t="inlineStr">
        <is>
          <t>rs3122378</t>
        </is>
      </c>
      <c r="F304" t="n">
        <v>-0.021533541</v>
      </c>
      <c r="G304" t="n">
        <v>0.2538070292849823</v>
      </c>
      <c r="H304" t="n">
        <v>0.0307273954841101</v>
      </c>
      <c r="I304" t="n">
        <v>0.0078244673930892</v>
      </c>
      <c r="J304" t="n">
        <v>0.2453865443556164</v>
      </c>
      <c r="K304" t="n">
        <v>0.3408723517072536</v>
      </c>
      <c r="L304" t="b">
        <v>1</v>
      </c>
      <c r="M304" t="b">
        <v>1</v>
      </c>
      <c r="N304" t="inlineStr">
        <is>
          <t>ref</t>
        </is>
      </c>
      <c r="O304" t="n">
        <v>-30</v>
      </c>
      <c r="P304" t="n">
        <v>0.000711</v>
      </c>
      <c r="Q304" t="n">
        <v>45</v>
      </c>
      <c r="R304" t="n">
        <v>0.01611</v>
      </c>
      <c r="S304">
        <f>IMAGE("https://mitra.stanford.edu/kundaje/oak/projects/neuro-variants/variant_position/credible/roussos_2024/variant_figures/roussos_2024.adolescence.GLU/rs3122378_count_position.png",4,220,900)</f>
        <v/>
      </c>
      <c r="T304">
        <f>IMAGE("https://mitra.stanford.edu/kundaje/oak/projects/neuro-variants/variant_position/credible/roussos_2024/variant_figures/roussos_2024.adolescence.GLU/rs3122378_profile_position.png",4,220,900)</f>
        <v/>
      </c>
    </row>
    <row r="305">
      <c r="A305" t="inlineStr">
        <is>
          <t>chr1</t>
        </is>
      </c>
      <c r="B305" t="n">
        <v>179300414</v>
      </c>
      <c r="C305" t="inlineStr">
        <is>
          <t>A</t>
        </is>
      </c>
      <c r="D305" t="inlineStr">
        <is>
          <t>T</t>
        </is>
      </c>
      <c r="E305" t="inlineStr">
        <is>
          <t>rs12049237</t>
        </is>
      </c>
      <c r="F305" t="n">
        <v>0.0118412121399999</v>
      </c>
      <c r="G305" t="n">
        <v>0.4663050213387651</v>
      </c>
      <c r="H305" t="n">
        <v>0.018524611566297</v>
      </c>
      <c r="I305" t="n">
        <v>0.0781330371066829</v>
      </c>
      <c r="J305" t="n">
        <v>0.0541154953526086</v>
      </c>
      <c r="K305" t="n">
        <v>0.6901364114833408</v>
      </c>
      <c r="L305" t="b">
        <v>0</v>
      </c>
      <c r="M305" t="b">
        <v>0</v>
      </c>
      <c r="N305" t="inlineStr">
        <is>
          <t>alt</t>
        </is>
      </c>
      <c r="O305" t="n">
        <v>-100</v>
      </c>
      <c r="P305" t="n">
        <v>0.01471</v>
      </c>
      <c r="Q305" t="n">
        <v>-100</v>
      </c>
      <c r="R305" t="n">
        <v>0.05212</v>
      </c>
      <c r="S305">
        <f>IMAGE("https://mitra.stanford.edu/kundaje/oak/projects/neuro-variants/variant_position/credible/roussos_2024/variant_figures/roussos_2024.adolescence.GLU/rs12049237_count_position.png",4,220,900)</f>
        <v/>
      </c>
      <c r="T305">
        <f>IMAGE("https://mitra.stanford.edu/kundaje/oak/projects/neuro-variants/variant_position/credible/roussos_2024/variant_figures/roussos_2024.adolescence.GLU/rs12049237_profile_position.png",4,220,900)</f>
        <v/>
      </c>
    </row>
    <row r="306">
      <c r="A306" t="inlineStr">
        <is>
          <t>chr1</t>
        </is>
      </c>
      <c r="B306" t="n">
        <v>179319605</v>
      </c>
      <c r="C306" t="inlineStr">
        <is>
          <t>T</t>
        </is>
      </c>
      <c r="D306" t="inlineStr">
        <is>
          <t>C</t>
        </is>
      </c>
      <c r="E306" t="inlineStr">
        <is>
          <t>rs78993991</t>
        </is>
      </c>
      <c r="F306" t="n">
        <v>-0.00020880768</v>
      </c>
      <c r="G306" t="n">
        <v>0.9255120013152086</v>
      </c>
      <c r="H306" t="n">
        <v>0.0205489652869837</v>
      </c>
      <c r="I306" t="n">
        <v>0.0519971298713565</v>
      </c>
      <c r="J306" t="n">
        <v>0.0355087839623921</v>
      </c>
      <c r="K306" t="n">
        <v>0.7553471209157278</v>
      </c>
      <c r="L306" t="b">
        <v>0</v>
      </c>
      <c r="M306" t="b">
        <v>0</v>
      </c>
      <c r="N306" t="inlineStr">
        <is>
          <t>ref</t>
        </is>
      </c>
      <c r="O306" t="n">
        <v>20</v>
      </c>
      <c r="P306" t="n">
        <v>0.001034</v>
      </c>
      <c r="Q306" t="n">
        <v>-60</v>
      </c>
      <c r="R306" t="n">
        <v>0.03128</v>
      </c>
      <c r="S306">
        <f>IMAGE("https://mitra.stanford.edu/kundaje/oak/projects/neuro-variants/variant_position/credible/roussos_2024/variant_figures/roussos_2024.adolescence.GLU/rs78993991_count_position.png",4,220,900)</f>
        <v/>
      </c>
      <c r="T306">
        <f>IMAGE("https://mitra.stanford.edu/kundaje/oak/projects/neuro-variants/variant_position/credible/roussos_2024/variant_figures/roussos_2024.adolescence.GLU/rs78993991_profile_position.png",4,220,900)</f>
        <v/>
      </c>
    </row>
    <row r="307">
      <c r="A307" t="inlineStr">
        <is>
          <t>chr1</t>
        </is>
      </c>
      <c r="B307" t="n">
        <v>179343424</v>
      </c>
      <c r="C307" t="inlineStr">
        <is>
          <t>A</t>
        </is>
      </c>
      <c r="D307" t="inlineStr">
        <is>
          <t>G</t>
        </is>
      </c>
      <c r="E307" t="inlineStr">
        <is>
          <t>rs13306728</t>
        </is>
      </c>
      <c r="F307" t="n">
        <v>0.054023346</v>
      </c>
      <c r="G307" t="n">
        <v>0.0507572740937136</v>
      </c>
      <c r="H307" t="n">
        <v>0.0117892247922802</v>
      </c>
      <c r="I307" t="n">
        <v>0.3472054705298417</v>
      </c>
      <c r="J307" t="n">
        <v>0.0237935000821598</v>
      </c>
      <c r="K307" t="n">
        <v>0.8085466037846568</v>
      </c>
      <c r="L307" t="b">
        <v>0</v>
      </c>
      <c r="M307" t="b">
        <v>0</v>
      </c>
      <c r="N307" t="inlineStr">
        <is>
          <t>alt</t>
        </is>
      </c>
      <c r="O307" t="n">
        <v>-100</v>
      </c>
      <c r="P307" t="n">
        <v>0.0761</v>
      </c>
      <c r="Q307" t="n">
        <v>-45</v>
      </c>
      <c r="R307" t="n">
        <v>0.05225</v>
      </c>
      <c r="S307">
        <f>IMAGE("https://mitra.stanford.edu/kundaje/oak/projects/neuro-variants/variant_position/credible/roussos_2024/variant_figures/roussos_2024.adolescence.GLU/rs13306728_count_position.png",4,220,900)</f>
        <v/>
      </c>
      <c r="T307">
        <f>IMAGE("https://mitra.stanford.edu/kundaje/oak/projects/neuro-variants/variant_position/credible/roussos_2024/variant_figures/roussos_2024.adolescence.GLU/rs13306728_profile_position.png",4,220,900)</f>
        <v/>
      </c>
    </row>
    <row r="308">
      <c r="A308" t="inlineStr">
        <is>
          <t>chr1</t>
        </is>
      </c>
      <c r="B308" t="n">
        <v>179355418</v>
      </c>
      <c r="C308" t="inlineStr">
        <is>
          <t>T</t>
        </is>
      </c>
      <c r="D308" t="inlineStr">
        <is>
          <t>G</t>
        </is>
      </c>
      <c r="E308" t="inlineStr">
        <is>
          <t>rs12141199</t>
        </is>
      </c>
      <c r="F308" t="n">
        <v>-0.00875302</v>
      </c>
      <c r="G308" t="n">
        <v>0.5817559156428527</v>
      </c>
      <c r="H308" t="n">
        <v>0.0313020846713675</v>
      </c>
      <c r="I308" t="n">
        <v>0.0071726556680783</v>
      </c>
      <c r="J308" t="n">
        <v>0.0672839373870301</v>
      </c>
      <c r="K308" t="n">
        <v>0.651642717845064</v>
      </c>
      <c r="L308" t="b">
        <v>1</v>
      </c>
      <c r="M308" t="b">
        <v>1</v>
      </c>
      <c r="N308" t="inlineStr">
        <is>
          <t>ref</t>
        </is>
      </c>
      <c r="O308" t="n">
        <v>-5</v>
      </c>
      <c r="P308" t="n">
        <v>0.003082</v>
      </c>
      <c r="Q308" t="n">
        <v>60</v>
      </c>
      <c r="R308" t="n">
        <v>0.07290000000000001</v>
      </c>
      <c r="S308">
        <f>IMAGE("https://mitra.stanford.edu/kundaje/oak/projects/neuro-variants/variant_position/credible/roussos_2024/variant_figures/roussos_2024.adolescence.GLU/rs12141199_count_position.png",4,220,900)</f>
        <v/>
      </c>
      <c r="T308">
        <f>IMAGE("https://mitra.stanford.edu/kundaje/oak/projects/neuro-variants/variant_position/credible/roussos_2024/variant_figures/roussos_2024.adolescence.GLU/rs12141199_profile_position.png",4,220,900)</f>
        <v/>
      </c>
    </row>
    <row r="309">
      <c r="A309" t="inlineStr">
        <is>
          <t>chr1</t>
        </is>
      </c>
      <c r="B309" t="n">
        <v>179358456</v>
      </c>
      <c r="C309" t="inlineStr">
        <is>
          <t>A</t>
        </is>
      </c>
      <c r="D309" t="inlineStr">
        <is>
          <t>T</t>
        </is>
      </c>
      <c r="E309" t="inlineStr">
        <is>
          <t>rs12047160</t>
        </is>
      </c>
      <c r="F309" t="n">
        <v>0.0212584112</v>
      </c>
      <c r="G309" t="n">
        <v>0.2680128575906119</v>
      </c>
      <c r="H309" t="n">
        <v>0.0146511163267658</v>
      </c>
      <c r="I309" t="n">
        <v>0.183464289072559</v>
      </c>
      <c r="J309" t="n">
        <v>0.059910981560466</v>
      </c>
      <c r="K309" t="n">
        <v>0.6749626837617908</v>
      </c>
      <c r="L309" t="b">
        <v>0</v>
      </c>
      <c r="M309" t="b">
        <v>0</v>
      </c>
      <c r="N309" t="inlineStr">
        <is>
          <t>alt</t>
        </is>
      </c>
      <c r="O309" t="n">
        <v>90</v>
      </c>
      <c r="P309" t="n">
        <v>0.0002975</v>
      </c>
      <c r="Q309" t="n">
        <v>35</v>
      </c>
      <c r="R309" t="n">
        <v>0.00979</v>
      </c>
      <c r="S309">
        <f>IMAGE("https://mitra.stanford.edu/kundaje/oak/projects/neuro-variants/variant_position/credible/roussos_2024/variant_figures/roussos_2024.adolescence.GLU/rs12047160_count_position.png",4,220,900)</f>
        <v/>
      </c>
      <c r="T309">
        <f>IMAGE("https://mitra.stanford.edu/kundaje/oak/projects/neuro-variants/variant_position/credible/roussos_2024/variant_figures/roussos_2024.adolescence.GLU/rs12047160_profile_position.png",4,220,900)</f>
        <v/>
      </c>
    </row>
    <row r="310">
      <c r="A310" t="inlineStr">
        <is>
          <t>chr1</t>
        </is>
      </c>
      <c r="B310" t="n">
        <v>179359110</v>
      </c>
      <c r="C310" t="inlineStr">
        <is>
          <t>T</t>
        </is>
      </c>
      <c r="D310" t="inlineStr">
        <is>
          <t>C</t>
        </is>
      </c>
      <c r="E310" t="inlineStr">
        <is>
          <t>rs12144580</t>
        </is>
      </c>
      <c r="F310" t="n">
        <v>-4.064423599999985e-05</v>
      </c>
      <c r="G310" t="n">
        <v>0.807690665835761</v>
      </c>
      <c r="H310" t="n">
        <v>0.0501144203309554</v>
      </c>
      <c r="I310" t="n">
        <v>0.0014871912312882</v>
      </c>
      <c r="J310" t="n">
        <v>0.0361417722242464</v>
      </c>
      <c r="K310" t="n">
        <v>0.7547551042540299</v>
      </c>
      <c r="L310" t="b">
        <v>1</v>
      </c>
      <c r="M310" t="b">
        <v>0</v>
      </c>
      <c r="N310" t="inlineStr">
        <is>
          <t>ref</t>
        </is>
      </c>
      <c r="O310" t="n">
        <v>-55</v>
      </c>
      <c r="P310" t="n">
        <v>0.01184</v>
      </c>
      <c r="Q310" t="n">
        <v>40</v>
      </c>
      <c r="R310" t="n">
        <v>0.02776</v>
      </c>
      <c r="S310">
        <f>IMAGE("https://mitra.stanford.edu/kundaje/oak/projects/neuro-variants/variant_position/credible/roussos_2024/variant_figures/roussos_2024.adolescence.GLU/rs12144580_count_position.png",4,220,900)</f>
        <v/>
      </c>
      <c r="T310">
        <f>IMAGE("https://mitra.stanford.edu/kundaje/oak/projects/neuro-variants/variant_position/credible/roussos_2024/variant_figures/roussos_2024.adolescence.GLU/rs12144580_profile_position.png",4,220,900)</f>
        <v/>
      </c>
    </row>
    <row r="311">
      <c r="A311" t="inlineStr">
        <is>
          <t>chr1</t>
        </is>
      </c>
      <c r="B311" t="n">
        <v>179365117</v>
      </c>
      <c r="C311" t="inlineStr">
        <is>
          <t>G</t>
        </is>
      </c>
      <c r="D311" t="inlineStr">
        <is>
          <t>A</t>
        </is>
      </c>
      <c r="E311" t="inlineStr">
        <is>
          <t>rs6425537</t>
        </is>
      </c>
      <c r="F311" t="n">
        <v>-0.0592815149999999</v>
      </c>
      <c r="G311" t="n">
        <v>0.0452714750824328</v>
      </c>
      <c r="H311" t="n">
        <v>0.0137445988762299</v>
      </c>
      <c r="I311" t="n">
        <v>0.217981057033121</v>
      </c>
      <c r="J311" t="n">
        <v>0.6489429953347479</v>
      </c>
      <c r="K311" t="n">
        <v>0.0237049534524923</v>
      </c>
      <c r="L311" t="b">
        <v>0</v>
      </c>
      <c r="M311" t="b">
        <v>0</v>
      </c>
      <c r="N311" t="inlineStr">
        <is>
          <t>ref</t>
        </is>
      </c>
      <c r="O311" t="n">
        <v>-100</v>
      </c>
      <c r="P311" t="n">
        <v>0.00864</v>
      </c>
      <c r="Q311" t="n">
        <v>-95</v>
      </c>
      <c r="R311" t="n">
        <v>0.0781</v>
      </c>
      <c r="S311">
        <f>IMAGE("https://mitra.stanford.edu/kundaje/oak/projects/neuro-variants/variant_position/credible/roussos_2024/variant_figures/roussos_2024.adolescence.GLU/rs6425537_count_position.png",4,220,900)</f>
        <v/>
      </c>
      <c r="T311">
        <f>IMAGE("https://mitra.stanford.edu/kundaje/oak/projects/neuro-variants/variant_position/credible/roussos_2024/variant_figures/roussos_2024.adolescence.GLU/rs6425537_profile_position.png",4,220,900)</f>
        <v/>
      </c>
    </row>
    <row r="312">
      <c r="A312" t="inlineStr">
        <is>
          <t>chr1</t>
        </is>
      </c>
      <c r="B312" t="n">
        <v>179365577</v>
      </c>
      <c r="C312" t="inlineStr">
        <is>
          <t>G</t>
        </is>
      </c>
      <c r="D312" t="inlineStr">
        <is>
          <t>A</t>
        </is>
      </c>
      <c r="E312" t="inlineStr">
        <is>
          <t>rs56147147</t>
        </is>
      </c>
      <c r="F312" t="n">
        <v>-0.00534258896</v>
      </c>
      <c r="G312" t="n">
        <v>0.7194599046973358</v>
      </c>
      <c r="H312" t="n">
        <v>0.011288640334083</v>
      </c>
      <c r="I312" t="n">
        <v>0.3910459317378992</v>
      </c>
      <c r="J312" t="n">
        <v>0.7568753527516414</v>
      </c>
      <c r="K312" t="n">
        <v>0.01018651820108</v>
      </c>
      <c r="L312" t="b">
        <v>0</v>
      </c>
      <c r="M312" t="b">
        <v>0</v>
      </c>
      <c r="N312" t="inlineStr">
        <is>
          <t>ref</t>
        </is>
      </c>
      <c r="O312" t="n">
        <v>90</v>
      </c>
      <c r="P312" t="n">
        <v>0.03534</v>
      </c>
      <c r="Q312" t="n">
        <v>90</v>
      </c>
      <c r="R312" t="n">
        <v>0.4583</v>
      </c>
      <c r="S312">
        <f>IMAGE("https://mitra.stanford.edu/kundaje/oak/projects/neuro-variants/variant_position/credible/roussos_2024/variant_figures/roussos_2024.adolescence.GLU/rs56147147_count_position.png",4,220,900)</f>
        <v/>
      </c>
      <c r="T312">
        <f>IMAGE("https://mitra.stanford.edu/kundaje/oak/projects/neuro-variants/variant_position/credible/roussos_2024/variant_figures/roussos_2024.adolescence.GLU/rs56147147_profile_position.png",4,220,900)</f>
        <v/>
      </c>
    </row>
    <row r="313">
      <c r="A313" t="inlineStr">
        <is>
          <t>chr1</t>
        </is>
      </c>
      <c r="B313" t="n">
        <v>179365705</v>
      </c>
      <c r="C313" t="inlineStr">
        <is>
          <t>C</t>
        </is>
      </c>
      <c r="D313" t="inlineStr">
        <is>
          <t>T</t>
        </is>
      </c>
      <c r="E313" t="inlineStr">
        <is>
          <t>rs55986478</t>
        </is>
      </c>
      <c r="F313" t="n">
        <v>0.0278474389</v>
      </c>
      <c r="G313" t="n">
        <v>0.1910460104400792</v>
      </c>
      <c r="H313" t="n">
        <v>0.0140206664460552</v>
      </c>
      <c r="I313" t="n">
        <v>0.1942800699699257</v>
      </c>
      <c r="J313" t="n">
        <v>0.7876931650127525</v>
      </c>
      <c r="K313" t="n">
        <v>0.008377228537309499</v>
      </c>
      <c r="L313" t="b">
        <v>0</v>
      </c>
      <c r="M313" t="b">
        <v>0</v>
      </c>
      <c r="N313" t="inlineStr">
        <is>
          <t>alt</t>
        </is>
      </c>
      <c r="O313" t="n">
        <v>-40</v>
      </c>
      <c r="P313" t="n">
        <v>0.010925</v>
      </c>
      <c r="Q313" t="n">
        <v>85</v>
      </c>
      <c r="R313" t="n">
        <v>0.1436</v>
      </c>
      <c r="S313">
        <f>IMAGE("https://mitra.stanford.edu/kundaje/oak/projects/neuro-variants/variant_position/credible/roussos_2024/variant_figures/roussos_2024.adolescence.GLU/rs55986478_count_position.png",4,220,900)</f>
        <v/>
      </c>
      <c r="T313">
        <f>IMAGE("https://mitra.stanford.edu/kundaje/oak/projects/neuro-variants/variant_position/credible/roussos_2024/variant_figures/roussos_2024.adolescence.GLU/rs55986478_profile_position.png",4,220,900)</f>
        <v/>
      </c>
    </row>
    <row r="314">
      <c r="A314" t="inlineStr">
        <is>
          <t>chr1</t>
        </is>
      </c>
      <c r="B314" t="n">
        <v>179365923</v>
      </c>
      <c r="C314" t="inlineStr">
        <is>
          <t>C</t>
        </is>
      </c>
      <c r="D314" t="inlineStr">
        <is>
          <t>T</t>
        </is>
      </c>
      <c r="E314" t="inlineStr">
        <is>
          <t>rs55906130</t>
        </is>
      </c>
      <c r="F314" t="n">
        <v>-0.02732362532</v>
      </c>
      <c r="G314" t="n">
        <v>0.2222909613669712</v>
      </c>
      <c r="H314" t="n">
        <v>0.0134642969960137</v>
      </c>
      <c r="I314" t="n">
        <v>0.2277665831794153</v>
      </c>
      <c r="J314" t="n">
        <v>0.7898636146058827</v>
      </c>
      <c r="K314" t="n">
        <v>0.008235895739462699</v>
      </c>
      <c r="L314" t="b">
        <v>0</v>
      </c>
      <c r="M314" t="b">
        <v>0</v>
      </c>
      <c r="N314" t="inlineStr">
        <is>
          <t>ref</t>
        </is>
      </c>
      <c r="O314" t="n">
        <v>-80</v>
      </c>
      <c r="P314" t="n">
        <v>0.03308</v>
      </c>
      <c r="Q314" t="n">
        <v>-80</v>
      </c>
      <c r="R314" t="n">
        <v>0.295</v>
      </c>
      <c r="S314">
        <f>IMAGE("https://mitra.stanford.edu/kundaje/oak/projects/neuro-variants/variant_position/credible/roussos_2024/variant_figures/roussos_2024.adolescence.GLU/rs55906130_count_position.png",4,220,900)</f>
        <v/>
      </c>
      <c r="T314">
        <f>IMAGE("https://mitra.stanford.edu/kundaje/oak/projects/neuro-variants/variant_position/credible/roussos_2024/variant_figures/roussos_2024.adolescence.GLU/rs55906130_profile_position.png",4,220,900)</f>
        <v/>
      </c>
    </row>
    <row r="315">
      <c r="A315" t="inlineStr">
        <is>
          <t>chr1</t>
        </is>
      </c>
      <c r="B315" t="n">
        <v>179366027</v>
      </c>
      <c r="C315" t="inlineStr">
        <is>
          <t>G</t>
        </is>
      </c>
      <c r="D315" t="inlineStr">
        <is>
          <t>C</t>
        </is>
      </c>
      <c r="E315" t="inlineStr">
        <is>
          <t>rs11577489</t>
        </is>
      </c>
      <c r="F315" t="n">
        <v>0.0732305108</v>
      </c>
      <c r="G315" t="n">
        <v>0.0205885087839225</v>
      </c>
      <c r="H315" t="n">
        <v>0.0226498626199456</v>
      </c>
      <c r="I315" t="n">
        <v>0.0338316281944527</v>
      </c>
      <c r="J315" t="n">
        <v>0.7899279136392539</v>
      </c>
      <c r="K315" t="n">
        <v>0.0082341917399875</v>
      </c>
      <c r="L315" t="b">
        <v>0</v>
      </c>
      <c r="M315" t="b">
        <v>0</v>
      </c>
      <c r="N315" t="inlineStr">
        <is>
          <t>alt</t>
        </is>
      </c>
      <c r="O315" t="n">
        <v>100</v>
      </c>
      <c r="P315" t="n">
        <v>0.003326</v>
      </c>
      <c r="Q315" t="n">
        <v>-5</v>
      </c>
      <c r="R315" t="n">
        <v>0.03076</v>
      </c>
      <c r="S315">
        <f>IMAGE("https://mitra.stanford.edu/kundaje/oak/projects/neuro-variants/variant_position/credible/roussos_2024/variant_figures/roussos_2024.adolescence.GLU/rs11577489_count_position.png",4,220,900)</f>
        <v/>
      </c>
      <c r="T315">
        <f>IMAGE("https://mitra.stanford.edu/kundaje/oak/projects/neuro-variants/variant_position/credible/roussos_2024/variant_figures/roussos_2024.adolescence.GLU/rs11577489_profile_position.png",4,220,900)</f>
        <v/>
      </c>
    </row>
    <row r="316">
      <c r="A316" t="inlineStr">
        <is>
          <t>chr1</t>
        </is>
      </c>
      <c r="B316" t="n">
        <v>179401787</v>
      </c>
      <c r="C316" t="inlineStr">
        <is>
          <t>G</t>
        </is>
      </c>
      <c r="D316" t="inlineStr">
        <is>
          <t>A</t>
        </is>
      </c>
      <c r="E316" t="inlineStr">
        <is>
          <t>rs12135111</t>
        </is>
      </c>
      <c r="F316" t="n">
        <v>0.00990957156</v>
      </c>
      <c r="G316" t="n">
        <v>0.5110022575831711</v>
      </c>
      <c r="H316" t="n">
        <v>0.0078895467703486</v>
      </c>
      <c r="I316" t="n">
        <v>0.7364071206792796</v>
      </c>
      <c r="J316" t="n">
        <v>0.1840281201105943</v>
      </c>
      <c r="K316" t="n">
        <v>0.4171985139009652</v>
      </c>
      <c r="L316" t="b">
        <v>0</v>
      </c>
      <c r="M316" t="b">
        <v>0</v>
      </c>
      <c r="N316" t="inlineStr">
        <is>
          <t>alt</t>
        </is>
      </c>
      <c r="O316" t="n">
        <v>35</v>
      </c>
      <c r="P316" t="n">
        <v>0.000511</v>
      </c>
      <c r="Q316" t="n">
        <v>-25</v>
      </c>
      <c r="R316" t="n">
        <v>0.09314</v>
      </c>
      <c r="S316">
        <f>IMAGE("https://mitra.stanford.edu/kundaje/oak/projects/neuro-variants/variant_position/credible/roussos_2024/variant_figures/roussos_2024.adolescence.GLU/rs12135111_count_position.png",4,220,900)</f>
        <v/>
      </c>
      <c r="T316">
        <f>IMAGE("https://mitra.stanford.edu/kundaje/oak/projects/neuro-variants/variant_position/credible/roussos_2024/variant_figures/roussos_2024.adolescence.GLU/rs12135111_profile_position.png",4,220,900)</f>
        <v/>
      </c>
    </row>
    <row r="317">
      <c r="A317" t="inlineStr">
        <is>
          <t>chr1</t>
        </is>
      </c>
      <c r="B317" t="n">
        <v>179410866</v>
      </c>
      <c r="C317" t="inlineStr">
        <is>
          <t>A</t>
        </is>
      </c>
      <c r="D317" t="inlineStr">
        <is>
          <t>G</t>
        </is>
      </c>
      <c r="E317" t="inlineStr">
        <is>
          <t>rs6674331</t>
        </is>
      </c>
      <c r="F317" t="n">
        <v>0.001425009254</v>
      </c>
      <c r="G317" t="n">
        <v>0.847194053184104</v>
      </c>
      <c r="H317" t="n">
        <v>0.0178378102726098</v>
      </c>
      <c r="I317" t="n">
        <v>0.0842516837963134</v>
      </c>
      <c r="J317" t="n">
        <v>0.0016331954476283</v>
      </c>
      <c r="K317" t="n">
        <v>0.9589775457657038</v>
      </c>
      <c r="L317" t="b">
        <v>0</v>
      </c>
      <c r="M317" t="b">
        <v>0</v>
      </c>
      <c r="N317" t="inlineStr">
        <is>
          <t>alt</t>
        </is>
      </c>
      <c r="O317" t="n">
        <v>85</v>
      </c>
      <c r="P317" t="n">
        <v>0.0214</v>
      </c>
      <c r="Q317" t="n">
        <v>-10</v>
      </c>
      <c r="R317" t="n">
        <v>0.001953</v>
      </c>
      <c r="S317">
        <f>IMAGE("https://mitra.stanford.edu/kundaje/oak/projects/neuro-variants/variant_position/credible/roussos_2024/variant_figures/roussos_2024.adolescence.GLU/rs6674331_count_position.png",4,220,900)</f>
        <v/>
      </c>
      <c r="T317">
        <f>IMAGE("https://mitra.stanford.edu/kundaje/oak/projects/neuro-variants/variant_position/credible/roussos_2024/variant_figures/roussos_2024.adolescence.GLU/rs6674331_profile_position.png",4,220,900)</f>
        <v/>
      </c>
    </row>
    <row r="318">
      <c r="A318" t="inlineStr">
        <is>
          <t>chr1</t>
        </is>
      </c>
      <c r="B318" t="n">
        <v>179418596</v>
      </c>
      <c r="C318" t="inlineStr">
        <is>
          <t>G</t>
        </is>
      </c>
      <c r="D318" t="inlineStr">
        <is>
          <t>A</t>
        </is>
      </c>
      <c r="E318" t="inlineStr">
        <is>
          <t>rs202196017</t>
        </is>
      </c>
      <c r="F318" t="n">
        <v>-0.00746201966</v>
      </c>
      <c r="G318" t="n">
        <v>0.6158458590541462</v>
      </c>
      <c r="H318" t="n">
        <v>0.0217428832774476</v>
      </c>
      <c r="I318" t="n">
        <v>0.0402782952530377</v>
      </c>
      <c r="J318" t="n">
        <v>0.5179901551035572</v>
      </c>
      <c r="K318" t="n">
        <v>0.075694825287957</v>
      </c>
      <c r="L318" t="b">
        <v>0</v>
      </c>
      <c r="M318" t="b">
        <v>0</v>
      </c>
      <c r="N318" t="inlineStr">
        <is>
          <t>ref</t>
        </is>
      </c>
      <c r="O318" t="n">
        <v>60</v>
      </c>
      <c r="P318" t="n">
        <v>0.02026</v>
      </c>
      <c r="Q318" t="n">
        <v>100</v>
      </c>
      <c r="R318" t="n">
        <v>0.08466</v>
      </c>
      <c r="S318">
        <f>IMAGE("https://mitra.stanford.edu/kundaje/oak/projects/neuro-variants/variant_position/credible/roussos_2024/variant_figures/roussos_2024.adolescence.GLU/rs202196017_count_position.png",4,220,900)</f>
        <v/>
      </c>
      <c r="T318">
        <f>IMAGE("https://mitra.stanford.edu/kundaje/oak/projects/neuro-variants/variant_position/credible/roussos_2024/variant_figures/roussos_2024.adolescence.GLU/rs202196017_profile_position.png",4,220,900)</f>
        <v/>
      </c>
    </row>
    <row r="319">
      <c r="A319" t="inlineStr">
        <is>
          <t>chr1</t>
        </is>
      </c>
      <c r="B319" t="n">
        <v>179431748</v>
      </c>
      <c r="C319" t="inlineStr">
        <is>
          <t>G</t>
        </is>
      </c>
      <c r="D319" t="inlineStr">
        <is>
          <t>A</t>
        </is>
      </c>
      <c r="E319" t="inlineStr">
        <is>
          <t>rs12120123</t>
        </is>
      </c>
      <c r="F319" t="n">
        <v>-0.01344849738</v>
      </c>
      <c r="G319" t="n">
        <v>0.4470160329216209</v>
      </c>
      <c r="H319" t="n">
        <v>0.008973119677925599</v>
      </c>
      <c r="I319" t="n">
        <v>0.6601687774804466</v>
      </c>
      <c r="J319" t="n">
        <v>0.0334669324360045</v>
      </c>
      <c r="K319" t="n">
        <v>0.7574127779070536</v>
      </c>
      <c r="L319" t="b">
        <v>0</v>
      </c>
      <c r="M319" t="b">
        <v>0</v>
      </c>
      <c r="N319" t="inlineStr">
        <is>
          <t>ref</t>
        </is>
      </c>
      <c r="O319" t="n">
        <v>-65</v>
      </c>
      <c r="P319" t="n">
        <v>0.04083</v>
      </c>
      <c r="Q319" t="n">
        <v>80</v>
      </c>
      <c r="R319" t="n">
        <v>0.0457</v>
      </c>
      <c r="S319">
        <f>IMAGE("https://mitra.stanford.edu/kundaje/oak/projects/neuro-variants/variant_position/credible/roussos_2024/variant_figures/roussos_2024.adolescence.GLU/rs12120123_count_position.png",4,220,900)</f>
        <v/>
      </c>
      <c r="T319">
        <f>IMAGE("https://mitra.stanford.edu/kundaje/oak/projects/neuro-variants/variant_position/credible/roussos_2024/variant_figures/roussos_2024.adolescence.GLU/rs12120123_profile_position.png",4,220,900)</f>
        <v/>
      </c>
    </row>
    <row r="320">
      <c r="A320" t="inlineStr">
        <is>
          <t>chr1</t>
        </is>
      </c>
      <c r="B320" t="n">
        <v>179432368</v>
      </c>
      <c r="C320" t="inlineStr">
        <is>
          <t>G</t>
        </is>
      </c>
      <c r="D320" t="inlineStr">
        <is>
          <t>A</t>
        </is>
      </c>
      <c r="E320" t="inlineStr">
        <is>
          <t>rs12097041</t>
        </is>
      </c>
      <c r="F320" t="n">
        <v>-0.0267566686</v>
      </c>
      <c r="G320" t="n">
        <v>0.2094857996828986</v>
      </c>
      <c r="H320" t="n">
        <v>0.0130178978513083</v>
      </c>
      <c r="I320" t="n">
        <v>0.2814964929692444</v>
      </c>
      <c r="J320" t="n">
        <v>0.0386251437797829</v>
      </c>
      <c r="K320" t="n">
        <v>0.7378857600220814</v>
      </c>
      <c r="L320" t="b">
        <v>0</v>
      </c>
      <c r="M320" t="b">
        <v>0</v>
      </c>
      <c r="N320" t="inlineStr">
        <is>
          <t>ref</t>
        </is>
      </c>
      <c r="O320" t="n">
        <v>-15</v>
      </c>
      <c r="P320" t="n">
        <v>0.0005493</v>
      </c>
      <c r="Q320" t="n">
        <v>90</v>
      </c>
      <c r="R320" t="n">
        <v>0.013824</v>
      </c>
      <c r="S320">
        <f>IMAGE("https://mitra.stanford.edu/kundaje/oak/projects/neuro-variants/variant_position/credible/roussos_2024/variant_figures/roussos_2024.adolescence.GLU/rs12097041_count_position.png",4,220,900)</f>
        <v/>
      </c>
      <c r="T320">
        <f>IMAGE("https://mitra.stanford.edu/kundaje/oak/projects/neuro-variants/variant_position/credible/roussos_2024/variant_figures/roussos_2024.adolescence.GLU/rs12097041_profile_position.png",4,220,900)</f>
        <v/>
      </c>
    </row>
    <row r="321">
      <c r="A321" t="inlineStr">
        <is>
          <t>chr1</t>
        </is>
      </c>
      <c r="B321" t="n">
        <v>179438855</v>
      </c>
      <c r="C321" t="inlineStr">
        <is>
          <t>A</t>
        </is>
      </c>
      <c r="D321" t="inlineStr">
        <is>
          <t>G</t>
        </is>
      </c>
      <c r="E321" t="inlineStr">
        <is>
          <t>rs12118625</t>
        </is>
      </c>
      <c r="F321" t="n">
        <v>0.0359352935999999</v>
      </c>
      <c r="G321" t="n">
        <v>0.1264239693918352</v>
      </c>
      <c r="H321" t="n">
        <v>0.0120466954231707</v>
      </c>
      <c r="I321" t="n">
        <v>0.3341828040668613</v>
      </c>
      <c r="J321" t="n">
        <v>0.3636153203163512</v>
      </c>
      <c r="K321" t="n">
        <v>0.2016325627097041</v>
      </c>
      <c r="L321" t="b">
        <v>0</v>
      </c>
      <c r="M321" t="b">
        <v>0</v>
      </c>
      <c r="N321" t="inlineStr">
        <is>
          <t>alt</t>
        </is>
      </c>
      <c r="O321" t="n">
        <v>90</v>
      </c>
      <c r="P321" t="n">
        <v>0.01898</v>
      </c>
      <c r="Q321" t="n">
        <v>75</v>
      </c>
      <c r="R321" t="n">
        <v>0.2096</v>
      </c>
      <c r="S321">
        <f>IMAGE("https://mitra.stanford.edu/kundaje/oak/projects/neuro-variants/variant_position/credible/roussos_2024/variant_figures/roussos_2024.adolescence.GLU/rs12118625_count_position.png",4,220,900)</f>
        <v/>
      </c>
      <c r="T321">
        <f>IMAGE("https://mitra.stanford.edu/kundaje/oak/projects/neuro-variants/variant_position/credible/roussos_2024/variant_figures/roussos_2024.adolescence.GLU/rs12118625_profile_position.png",4,220,900)</f>
        <v/>
      </c>
    </row>
    <row r="322">
      <c r="A322" t="inlineStr">
        <is>
          <t>chr1</t>
        </is>
      </c>
      <c r="B322" t="n">
        <v>179441828</v>
      </c>
      <c r="C322" t="inlineStr">
        <is>
          <t>T</t>
        </is>
      </c>
      <c r="D322" t="inlineStr">
        <is>
          <t>C</t>
        </is>
      </c>
      <c r="E322" t="inlineStr">
        <is>
          <t>rs10913758</t>
        </is>
      </c>
      <c r="F322" t="n">
        <v>0.0230178112</v>
      </c>
      <c r="G322" t="n">
        <v>0.2453899015446959</v>
      </c>
      <c r="H322" t="n">
        <v>0.0122574251887956</v>
      </c>
      <c r="I322" t="n">
        <v>0.3373807690792977</v>
      </c>
      <c r="J322" t="n">
        <v>0.4495602660551114</v>
      </c>
      <c r="K322" t="n">
        <v>0.1257399798949766</v>
      </c>
      <c r="L322" t="b">
        <v>0</v>
      </c>
      <c r="M322" t="b">
        <v>0</v>
      </c>
      <c r="N322" t="inlineStr">
        <is>
          <t>alt</t>
        </is>
      </c>
      <c r="O322" t="n">
        <v>65</v>
      </c>
      <c r="P322" t="n">
        <v>0.005653</v>
      </c>
      <c r="Q322" t="n">
        <v>-25</v>
      </c>
      <c r="R322" t="n">
        <v>0.001801</v>
      </c>
      <c r="S322">
        <f>IMAGE("https://mitra.stanford.edu/kundaje/oak/projects/neuro-variants/variant_position/credible/roussos_2024/variant_figures/roussos_2024.adolescence.GLU/rs10913758_count_position.png",4,220,900)</f>
        <v/>
      </c>
      <c r="T322">
        <f>IMAGE("https://mitra.stanford.edu/kundaje/oak/projects/neuro-variants/variant_position/credible/roussos_2024/variant_figures/roussos_2024.adolescence.GLU/rs10913758_profile_position.png",4,220,900)</f>
        <v/>
      </c>
    </row>
    <row r="323">
      <c r="A323" t="inlineStr">
        <is>
          <t>chr1</t>
        </is>
      </c>
      <c r="B323" t="n">
        <v>179460507</v>
      </c>
      <c r="C323" t="inlineStr">
        <is>
          <t>C</t>
        </is>
      </c>
      <c r="D323" t="inlineStr">
        <is>
          <t>T</t>
        </is>
      </c>
      <c r="E323" t="inlineStr">
        <is>
          <t>rs36144856</t>
        </is>
      </c>
      <c r="F323" t="n">
        <v>-0.0361498828</v>
      </c>
      <c r="G323" t="n">
        <v>0.1393848711370635</v>
      </c>
      <c r="H323" t="n">
        <v>0.009973315293420999</v>
      </c>
      <c r="I323" t="n">
        <v>0.5127832603744351</v>
      </c>
      <c r="J323" t="n">
        <v>0.0296232791078151</v>
      </c>
      <c r="K323" t="n">
        <v>0.7748939591607847</v>
      </c>
      <c r="L323" t="b">
        <v>0</v>
      </c>
      <c r="M323" t="b">
        <v>0</v>
      </c>
      <c r="N323" t="inlineStr">
        <is>
          <t>ref</t>
        </is>
      </c>
      <c r="O323" t="n">
        <v>65</v>
      </c>
      <c r="P323" t="n">
        <v>0.002258</v>
      </c>
      <c r="Q323" t="n">
        <v>0</v>
      </c>
      <c r="R323" t="n">
        <v>0</v>
      </c>
      <c r="S323">
        <f>IMAGE("https://mitra.stanford.edu/kundaje/oak/projects/neuro-variants/variant_position/credible/roussos_2024/variant_figures/roussos_2024.adolescence.GLU/rs36144856_count_position.png",4,220,900)</f>
        <v/>
      </c>
      <c r="T323">
        <f>IMAGE("https://mitra.stanford.edu/kundaje/oak/projects/neuro-variants/variant_position/credible/roussos_2024/variant_figures/roussos_2024.adolescence.GLU/rs36144856_profile_position.png",4,220,900)</f>
        <v/>
      </c>
    </row>
    <row r="324">
      <c r="A324" t="inlineStr">
        <is>
          <t>chr1</t>
        </is>
      </c>
      <c r="B324" t="n">
        <v>179467153</v>
      </c>
      <c r="C324" t="inlineStr">
        <is>
          <t>A</t>
        </is>
      </c>
      <c r="D324" t="inlineStr">
        <is>
          <t>G</t>
        </is>
      </c>
      <c r="E324" t="inlineStr">
        <is>
          <t>rs12131475</t>
        </is>
      </c>
      <c r="F324" t="n">
        <v>0.0161957259399999</v>
      </c>
      <c r="G324" t="n">
        <v>0.3536061086350185</v>
      </c>
      <c r="H324" t="n">
        <v>0.0172680902876798</v>
      </c>
      <c r="I324" t="n">
        <v>0.1012832021804616</v>
      </c>
      <c r="J324" t="n">
        <v>0.020682855734402</v>
      </c>
      <c r="K324" t="n">
        <v>0.81687058223656</v>
      </c>
      <c r="L324" t="b">
        <v>0</v>
      </c>
      <c r="M324" t="b">
        <v>0</v>
      </c>
      <c r="N324" t="inlineStr">
        <is>
          <t>alt</t>
        </is>
      </c>
      <c r="O324" t="n">
        <v>15</v>
      </c>
      <c r="P324" t="n">
        <v>0.004227</v>
      </c>
      <c r="Q324" t="n">
        <v>15</v>
      </c>
      <c r="R324" t="n">
        <v>0.009549999999999999</v>
      </c>
      <c r="S324">
        <f>IMAGE("https://mitra.stanford.edu/kundaje/oak/projects/neuro-variants/variant_position/credible/roussos_2024/variant_figures/roussos_2024.adolescence.GLU/rs12131475_count_position.png",4,220,900)</f>
        <v/>
      </c>
      <c r="T324">
        <f>IMAGE("https://mitra.stanford.edu/kundaje/oak/projects/neuro-variants/variant_position/credible/roussos_2024/variant_figures/roussos_2024.adolescence.GLU/rs12131475_profile_position.png",4,220,900)</f>
        <v/>
      </c>
    </row>
    <row r="325">
      <c r="A325" t="inlineStr">
        <is>
          <t>chr1</t>
        </is>
      </c>
      <c r="B325" t="n">
        <v>179469373</v>
      </c>
      <c r="C325" t="inlineStr">
        <is>
          <t>C</t>
        </is>
      </c>
      <c r="D325" t="inlineStr">
        <is>
          <t>T</t>
        </is>
      </c>
      <c r="E325" t="inlineStr">
        <is>
          <t>rs1928006</t>
        </is>
      </c>
      <c r="F325" t="n">
        <v>-0.00148912212</v>
      </c>
      <c r="G325" t="n">
        <v>0.7295188196072357</v>
      </c>
      <c r="H325" t="n">
        <v>0.0110506736378573</v>
      </c>
      <c r="I325" t="n">
        <v>0.4197990047435787</v>
      </c>
      <c r="J325" t="n">
        <v>0.0141400718720305</v>
      </c>
      <c r="K325" t="n">
        <v>0.8539009448928225</v>
      </c>
      <c r="L325" t="b">
        <v>0</v>
      </c>
      <c r="M325" t="b">
        <v>0</v>
      </c>
      <c r="N325" t="inlineStr">
        <is>
          <t>ref</t>
        </is>
      </c>
      <c r="O325" t="n">
        <v>-80</v>
      </c>
      <c r="P325" t="n">
        <v>0.007584</v>
      </c>
      <c r="Q325" t="n">
        <v>95</v>
      </c>
      <c r="R325" t="n">
        <v>0.02942</v>
      </c>
      <c r="S325">
        <f>IMAGE("https://mitra.stanford.edu/kundaje/oak/projects/neuro-variants/variant_position/credible/roussos_2024/variant_figures/roussos_2024.adolescence.GLU/rs1928006_count_position.png",4,220,900)</f>
        <v/>
      </c>
      <c r="T325">
        <f>IMAGE("https://mitra.stanford.edu/kundaje/oak/projects/neuro-variants/variant_position/credible/roussos_2024/variant_figures/roussos_2024.adolescence.GLU/rs1928006_profile_position.png",4,220,900)</f>
        <v/>
      </c>
    </row>
    <row r="326">
      <c r="A326" t="inlineStr">
        <is>
          <t>chr1</t>
        </is>
      </c>
      <c r="B326" t="n">
        <v>179474904</v>
      </c>
      <c r="C326" t="inlineStr">
        <is>
          <t>G</t>
        </is>
      </c>
      <c r="D326" t="inlineStr">
        <is>
          <t>A</t>
        </is>
      </c>
      <c r="E326" t="inlineStr">
        <is>
          <t>rs36100834</t>
        </is>
      </c>
      <c r="F326" t="n">
        <v>0.001017347914</v>
      </c>
      <c r="G326" t="n">
        <v>0.837569688253059</v>
      </c>
      <c r="H326" t="n">
        <v>0.0073082259069169</v>
      </c>
      <c r="I326" t="n">
        <v>0.8703067015457997</v>
      </c>
      <c r="J326" t="n">
        <v>0.1559451600688713</v>
      </c>
      <c r="K326" t="n">
        <v>0.4747414858525577</v>
      </c>
      <c r="L326" t="b">
        <v>0</v>
      </c>
      <c r="M326" t="b">
        <v>0</v>
      </c>
      <c r="N326" t="inlineStr">
        <is>
          <t>alt</t>
        </is>
      </c>
      <c r="O326" t="n">
        <v>-100</v>
      </c>
      <c r="P326" t="n">
        <v>0.03732</v>
      </c>
      <c r="Q326" t="n">
        <v>-40</v>
      </c>
      <c r="R326" t="n">
        <v>0.0917</v>
      </c>
      <c r="S326">
        <f>IMAGE("https://mitra.stanford.edu/kundaje/oak/projects/neuro-variants/variant_position/credible/roussos_2024/variant_figures/roussos_2024.adolescence.GLU/rs36100834_count_position.png",4,220,900)</f>
        <v/>
      </c>
      <c r="T326">
        <f>IMAGE("https://mitra.stanford.edu/kundaje/oak/projects/neuro-variants/variant_position/credible/roussos_2024/variant_figures/roussos_2024.adolescence.GLU/rs36100834_profile_position.png",4,220,900)</f>
        <v/>
      </c>
    </row>
    <row r="327">
      <c r="A327" t="inlineStr">
        <is>
          <t>chr1</t>
        </is>
      </c>
      <c r="B327" t="n">
        <v>179475676</v>
      </c>
      <c r="C327" t="inlineStr">
        <is>
          <t>A</t>
        </is>
      </c>
      <c r="D327" t="inlineStr">
        <is>
          <t>G</t>
        </is>
      </c>
      <c r="E327" t="inlineStr">
        <is>
          <t>rs61826032</t>
        </is>
      </c>
      <c r="F327" t="n">
        <v>-0.020794944</v>
      </c>
      <c r="G327" t="n">
        <v>0.292135444981711</v>
      </c>
      <c r="H327" t="n">
        <v>0.0216636796931738</v>
      </c>
      <c r="I327" t="n">
        <v>0.0447898091189057</v>
      </c>
      <c r="J327" t="n">
        <v>0.0712604753841866</v>
      </c>
      <c r="K327" t="n">
        <v>0.6456928690964497</v>
      </c>
      <c r="L327" t="b">
        <v>0</v>
      </c>
      <c r="M327" t="b">
        <v>0</v>
      </c>
      <c r="N327" t="inlineStr">
        <is>
          <t>ref</t>
        </is>
      </c>
      <c r="O327" t="n">
        <v>-100</v>
      </c>
      <c r="P327" t="n">
        <v>0.003365</v>
      </c>
      <c r="Q327" t="n">
        <v>65</v>
      </c>
      <c r="R327" t="n">
        <v>0.02936</v>
      </c>
      <c r="S327">
        <f>IMAGE("https://mitra.stanford.edu/kundaje/oak/projects/neuro-variants/variant_position/credible/roussos_2024/variant_figures/roussos_2024.adolescence.GLU/rs61826032_count_position.png",4,220,900)</f>
        <v/>
      </c>
      <c r="T327">
        <f>IMAGE("https://mitra.stanford.edu/kundaje/oak/projects/neuro-variants/variant_position/credible/roussos_2024/variant_figures/roussos_2024.adolescence.GLU/rs61826032_profile_position.png",4,220,900)</f>
        <v/>
      </c>
    </row>
    <row r="328">
      <c r="A328" t="inlineStr">
        <is>
          <t>chr1</t>
        </is>
      </c>
      <c r="B328" t="n">
        <v>179484912</v>
      </c>
      <c r="C328" t="inlineStr">
        <is>
          <t>C</t>
        </is>
      </c>
      <c r="D328" t="inlineStr">
        <is>
          <t>A</t>
        </is>
      </c>
      <c r="E328" t="inlineStr">
        <is>
          <t>rs35954891</t>
        </is>
      </c>
      <c r="F328" t="n">
        <v>0.025504803</v>
      </c>
      <c r="G328" t="n">
        <v>0.2073838775151253</v>
      </c>
      <c r="H328" t="n">
        <v>0.0198605811805149</v>
      </c>
      <c r="I328" t="n">
        <v>0.0570818936923317</v>
      </c>
      <c r="J328" t="n">
        <v>0.2895299740660565</v>
      </c>
      <c r="K328" t="n">
        <v>0.2819673978319147</v>
      </c>
      <c r="L328" t="b">
        <v>0</v>
      </c>
      <c r="M328" t="b">
        <v>0</v>
      </c>
      <c r="N328" t="inlineStr">
        <is>
          <t>alt</t>
        </is>
      </c>
      <c r="O328" t="n">
        <v>-50</v>
      </c>
      <c r="P328" t="n">
        <v>0.004425</v>
      </c>
      <c r="Q328" t="n">
        <v>-50</v>
      </c>
      <c r="R328" t="n">
        <v>0.03586</v>
      </c>
      <c r="S328">
        <f>IMAGE("https://mitra.stanford.edu/kundaje/oak/projects/neuro-variants/variant_position/credible/roussos_2024/variant_figures/roussos_2024.adolescence.GLU/rs35954891_count_position.png",4,220,900)</f>
        <v/>
      </c>
      <c r="T328">
        <f>IMAGE("https://mitra.stanford.edu/kundaje/oak/projects/neuro-variants/variant_position/credible/roussos_2024/variant_figures/roussos_2024.adolescence.GLU/rs35954891_profile_position.png",4,220,900)</f>
        <v/>
      </c>
    </row>
    <row r="329">
      <c r="A329" t="inlineStr">
        <is>
          <t>chr1</t>
        </is>
      </c>
      <c r="B329" t="n">
        <v>179515686</v>
      </c>
      <c r="C329" t="inlineStr">
        <is>
          <t>C</t>
        </is>
      </c>
      <c r="D329" t="inlineStr">
        <is>
          <t>A</t>
        </is>
      </c>
      <c r="E329" t="inlineStr">
        <is>
          <t>rs10913808</t>
        </is>
      </c>
      <c r="F329" t="n">
        <v>-0.0055714167799999</v>
      </c>
      <c r="G329" t="n">
        <v>0.7012114717704168</v>
      </c>
      <c r="H329" t="n">
        <v>0.0149438749675523</v>
      </c>
      <c r="I329" t="n">
        <v>0.1670665862507316</v>
      </c>
      <c r="J329" t="n">
        <v>0.0314808067385386</v>
      </c>
      <c r="K329" t="n">
        <v>0.762794377855547</v>
      </c>
      <c r="L329" t="b">
        <v>0</v>
      </c>
      <c r="M329" t="b">
        <v>0</v>
      </c>
      <c r="N329" t="inlineStr">
        <is>
          <t>ref</t>
        </is>
      </c>
      <c r="O329" t="n">
        <v>90</v>
      </c>
      <c r="P329" t="n">
        <v>0.002762</v>
      </c>
      <c r="Q329" t="n">
        <v>-85</v>
      </c>
      <c r="R329" t="n">
        <v>0.05603</v>
      </c>
      <c r="S329">
        <f>IMAGE("https://mitra.stanford.edu/kundaje/oak/projects/neuro-variants/variant_position/credible/roussos_2024/variant_figures/roussos_2024.adolescence.GLU/rs10913808_count_position.png",4,220,900)</f>
        <v/>
      </c>
      <c r="T329">
        <f>IMAGE("https://mitra.stanford.edu/kundaje/oak/projects/neuro-variants/variant_position/credible/roussos_2024/variant_figures/roussos_2024.adolescence.GLU/rs10913808_profile_position.png",4,220,900)</f>
        <v/>
      </c>
    </row>
    <row r="330">
      <c r="A330" t="inlineStr">
        <is>
          <t>chr1</t>
        </is>
      </c>
      <c r="B330" t="n">
        <v>179542905</v>
      </c>
      <c r="C330" t="inlineStr">
        <is>
          <t>G</t>
        </is>
      </c>
      <c r="D330" t="inlineStr">
        <is>
          <t>A</t>
        </is>
      </c>
      <c r="E330" t="inlineStr">
        <is>
          <t>rs12135209</t>
        </is>
      </c>
      <c r="F330" t="n">
        <v>-0.0849413502</v>
      </c>
      <c r="G330" t="n">
        <v>0.0135060087769752</v>
      </c>
      <c r="H330" t="n">
        <v>0.0172939356462873</v>
      </c>
      <c r="I330" t="n">
        <v>0.1062382388379108</v>
      </c>
      <c r="J330" t="n">
        <v>0.2279329289638568</v>
      </c>
      <c r="K330" t="n">
        <v>0.3622567091096463</v>
      </c>
      <c r="L330" t="b">
        <v>1</v>
      </c>
      <c r="M330" t="b">
        <v>0</v>
      </c>
      <c r="N330" t="inlineStr">
        <is>
          <t>ref</t>
        </is>
      </c>
      <c r="O330" t="n">
        <v>75</v>
      </c>
      <c r="P330" t="n">
        <v>0.002577</v>
      </c>
      <c r="Q330" t="n">
        <v>-80</v>
      </c>
      <c r="R330" t="n">
        <v>0.04395</v>
      </c>
      <c r="S330">
        <f>IMAGE("https://mitra.stanford.edu/kundaje/oak/projects/neuro-variants/variant_position/credible/roussos_2024/variant_figures/roussos_2024.adolescence.GLU/rs12135209_count_position.png",4,220,900)</f>
        <v/>
      </c>
      <c r="T330">
        <f>IMAGE("https://mitra.stanford.edu/kundaje/oak/projects/neuro-variants/variant_position/credible/roussos_2024/variant_figures/roussos_2024.adolescence.GLU/rs12135209_profile_position.png",4,220,900)</f>
        <v/>
      </c>
    </row>
    <row r="331">
      <c r="A331" t="inlineStr">
        <is>
          <t>chr1</t>
        </is>
      </c>
      <c r="B331" t="n">
        <v>200895854</v>
      </c>
      <c r="C331" t="inlineStr">
        <is>
          <t>C</t>
        </is>
      </c>
      <c r="D331" t="inlineStr">
        <is>
          <t>T</t>
        </is>
      </c>
      <c r="E331" t="inlineStr">
        <is>
          <t>rs296534</t>
        </is>
      </c>
      <c r="F331" t="n">
        <v>-0.00080000202</v>
      </c>
      <c r="G331" t="n">
        <v>0.8134334491987395</v>
      </c>
      <c r="H331" t="n">
        <v>0.0083625405037816</v>
      </c>
      <c r="I331" t="n">
        <v>0.7498329169338606</v>
      </c>
      <c r="J331" t="n">
        <v>0.5076637303441427</v>
      </c>
      <c r="K331" t="n">
        <v>0.0842079712997167</v>
      </c>
      <c r="L331" t="b">
        <v>0</v>
      </c>
      <c r="M331" t="b">
        <v>0</v>
      </c>
      <c r="N331" t="inlineStr">
        <is>
          <t>ref</t>
        </is>
      </c>
      <c r="O331" t="n">
        <v>-25</v>
      </c>
      <c r="P331" t="n">
        <v>0.0005436</v>
      </c>
      <c r="Q331" t="n">
        <v>95</v>
      </c>
      <c r="R331" t="n">
        <v>0.09436</v>
      </c>
      <c r="S331">
        <f>IMAGE("https://mitra.stanford.edu/kundaje/oak/projects/neuro-variants/variant_position/credible/roussos_2024/variant_figures/roussos_2024.adolescence.GLU/rs296534_count_position.png",4,220,900)</f>
        <v/>
      </c>
      <c r="T331">
        <f>IMAGE("https://mitra.stanford.edu/kundaje/oak/projects/neuro-variants/variant_position/credible/roussos_2024/variant_figures/roussos_2024.adolescence.GLU/rs296534_profile_position.png",4,220,900)</f>
        <v/>
      </c>
    </row>
    <row r="332">
      <c r="A332" t="inlineStr">
        <is>
          <t>chr1</t>
        </is>
      </c>
      <c r="B332" t="n">
        <v>200951234</v>
      </c>
      <c r="C332" t="inlineStr">
        <is>
          <t>G</t>
        </is>
      </c>
      <c r="D332" t="inlineStr">
        <is>
          <t>A</t>
        </is>
      </c>
      <c r="E332" t="inlineStr">
        <is>
          <t>rs11579874</t>
        </is>
      </c>
      <c r="F332" t="n">
        <v>0.01065330566</v>
      </c>
      <c r="G332" t="n">
        <v>0.481315477852239</v>
      </c>
      <c r="H332" t="n">
        <v>0.0086359931514607</v>
      </c>
      <c r="I332" t="n">
        <v>0.6914736119575593</v>
      </c>
      <c r="J332" t="n">
        <v>0.06536925505997659</v>
      </c>
      <c r="K332" t="n">
        <v>0.6534118894001312</v>
      </c>
      <c r="L332" t="b">
        <v>0</v>
      </c>
      <c r="M332" t="b">
        <v>0</v>
      </c>
      <c r="N332" t="inlineStr">
        <is>
          <t>alt</t>
        </is>
      </c>
      <c r="O332" t="n">
        <v>-90</v>
      </c>
      <c r="P332" t="n">
        <v>0.02676</v>
      </c>
      <c r="Q332" t="n">
        <v>-100</v>
      </c>
      <c r="R332" t="n">
        <v>0.0538</v>
      </c>
      <c r="S332">
        <f>IMAGE("https://mitra.stanford.edu/kundaje/oak/projects/neuro-variants/variant_position/credible/roussos_2024/variant_figures/roussos_2024.adolescence.GLU/rs11579874_count_position.png",4,220,900)</f>
        <v/>
      </c>
      <c r="T332">
        <f>IMAGE("https://mitra.stanford.edu/kundaje/oak/projects/neuro-variants/variant_position/credible/roussos_2024/variant_figures/roussos_2024.adolescence.GLU/rs11579874_profile_position.png",4,220,900)</f>
        <v/>
      </c>
    </row>
    <row r="333">
      <c r="A333" t="inlineStr">
        <is>
          <t>chr1</t>
        </is>
      </c>
      <c r="B333" t="n">
        <v>200965304</v>
      </c>
      <c r="C333" t="inlineStr">
        <is>
          <t>C</t>
        </is>
      </c>
      <c r="D333" t="inlineStr">
        <is>
          <t>T</t>
        </is>
      </c>
      <c r="E333" t="inlineStr">
        <is>
          <t>rs4915471</t>
        </is>
      </c>
      <c r="F333" t="n">
        <v>0.0323385204</v>
      </c>
      <c r="G333" t="n">
        <v>0.1490073903677269</v>
      </c>
      <c r="H333" t="n">
        <v>0.0208305172662313</v>
      </c>
      <c r="I333" t="n">
        <v>0.0501961688655271</v>
      </c>
      <c r="J333" t="n">
        <v>0.370728222274614</v>
      </c>
      <c r="K333" t="n">
        <v>0.1941373973074913</v>
      </c>
      <c r="L333" t="b">
        <v>0</v>
      </c>
      <c r="M333" t="b">
        <v>0</v>
      </c>
      <c r="N333" t="inlineStr">
        <is>
          <t>alt</t>
        </is>
      </c>
      <c r="O333" t="n">
        <v>5</v>
      </c>
      <c r="P333" t="n">
        <v>0.0002365</v>
      </c>
      <c r="Q333" t="n">
        <v>80</v>
      </c>
      <c r="R333" t="n">
        <v>0.07153</v>
      </c>
      <c r="S333">
        <f>IMAGE("https://mitra.stanford.edu/kundaje/oak/projects/neuro-variants/variant_position/credible/roussos_2024/variant_figures/roussos_2024.adolescence.GLU/rs4915471_count_position.png",4,220,900)</f>
        <v/>
      </c>
      <c r="T333">
        <f>IMAGE("https://mitra.stanford.edu/kundaje/oak/projects/neuro-variants/variant_position/credible/roussos_2024/variant_figures/roussos_2024.adolescence.GLU/rs4915471_profile_position.png",4,220,900)</f>
        <v/>
      </c>
    </row>
    <row r="334">
      <c r="A334" t="inlineStr">
        <is>
          <t>chr1</t>
        </is>
      </c>
      <c r="B334" t="n">
        <v>200971955</v>
      </c>
      <c r="C334" t="inlineStr">
        <is>
          <t>T</t>
        </is>
      </c>
      <c r="D334" t="inlineStr">
        <is>
          <t>C</t>
        </is>
      </c>
      <c r="E334" t="inlineStr">
        <is>
          <t>rs148277892</t>
        </is>
      </c>
      <c r="F334" t="n">
        <v>0.0312663134</v>
      </c>
      <c r="G334" t="n">
        <v>0.1615542552504852</v>
      </c>
      <c r="H334" t="n">
        <v>0.0093486137539478</v>
      </c>
      <c r="I334" t="n">
        <v>0.5794651929231538</v>
      </c>
      <c r="J334" t="n">
        <v>0.6910002786291447</v>
      </c>
      <c r="K334" t="n">
        <v>0.0162824272605314</v>
      </c>
      <c r="L334" t="b">
        <v>0</v>
      </c>
      <c r="M334" t="b">
        <v>0</v>
      </c>
      <c r="N334" t="inlineStr">
        <is>
          <t>alt</t>
        </is>
      </c>
      <c r="O334" t="n">
        <v>95</v>
      </c>
      <c r="P334" t="n">
        <v>0.1396</v>
      </c>
      <c r="Q334" t="n">
        <v>95</v>
      </c>
      <c r="R334" t="n">
        <v>0.2947</v>
      </c>
      <c r="S334">
        <f>IMAGE("https://mitra.stanford.edu/kundaje/oak/projects/neuro-variants/variant_position/credible/roussos_2024/variant_figures/roussos_2024.adolescence.GLU/rs148277892_count_position.png",4,220,900)</f>
        <v/>
      </c>
      <c r="T334">
        <f>IMAGE("https://mitra.stanford.edu/kundaje/oak/projects/neuro-variants/variant_position/credible/roussos_2024/variant_figures/roussos_2024.adolescence.GLU/rs148277892_profile_position.png",4,220,900)</f>
        <v/>
      </c>
    </row>
    <row r="335">
      <c r="A335" t="inlineStr">
        <is>
          <t>chr1</t>
        </is>
      </c>
      <c r="B335" t="n">
        <v>200975712</v>
      </c>
      <c r="C335" t="inlineStr">
        <is>
          <t>T</t>
        </is>
      </c>
      <c r="D335" t="inlineStr">
        <is>
          <t>G</t>
        </is>
      </c>
      <c r="E335" t="inlineStr">
        <is>
          <t>rs296563</t>
        </is>
      </c>
      <c r="F335" t="n">
        <v>0.0252107368</v>
      </c>
      <c r="G335" t="n">
        <v>0.209902717045309</v>
      </c>
      <c r="H335" t="n">
        <v>0.0090592386247027</v>
      </c>
      <c r="I335" t="n">
        <v>0.6564632663014517</v>
      </c>
      <c r="J335" t="n">
        <v>0.4636560430374863</v>
      </c>
      <c r="K335" t="n">
        <v>0.1140225897576718</v>
      </c>
      <c r="L335" t="b">
        <v>0</v>
      </c>
      <c r="M335" t="b">
        <v>0</v>
      </c>
      <c r="N335" t="inlineStr">
        <is>
          <t>alt</t>
        </is>
      </c>
      <c r="O335" t="n">
        <v>-40</v>
      </c>
      <c r="P335" t="n">
        <v>0.00206</v>
      </c>
      <c r="Q335" t="n">
        <v>0</v>
      </c>
      <c r="R335" t="n">
        <v>0</v>
      </c>
      <c r="S335">
        <f>IMAGE("https://mitra.stanford.edu/kundaje/oak/projects/neuro-variants/variant_position/credible/roussos_2024/variant_figures/roussos_2024.adolescence.GLU/rs296563_count_position.png",4,220,900)</f>
        <v/>
      </c>
      <c r="T335">
        <f>IMAGE("https://mitra.stanford.edu/kundaje/oak/projects/neuro-variants/variant_position/credible/roussos_2024/variant_figures/roussos_2024.adolescence.GLU/rs296563_profile_position.png",4,220,900)</f>
        <v/>
      </c>
    </row>
    <row r="336">
      <c r="A336" t="inlineStr">
        <is>
          <t>chr1</t>
        </is>
      </c>
      <c r="B336" t="n">
        <v>200991179</v>
      </c>
      <c r="C336" t="inlineStr">
        <is>
          <t>G</t>
        </is>
      </c>
      <c r="D336" t="inlineStr">
        <is>
          <t>A</t>
        </is>
      </c>
      <c r="E336" t="inlineStr">
        <is>
          <t>rs2297909</t>
        </is>
      </c>
      <c r="F336" t="n">
        <v>-0.017269626</v>
      </c>
      <c r="G336" t="n">
        <v>0.3513044638608371</v>
      </c>
      <c r="H336" t="n">
        <v>0.007890344432183101</v>
      </c>
      <c r="I336" t="n">
        <v>0.8099086319884243</v>
      </c>
      <c r="J336" t="n">
        <v>0.5356623872087789</v>
      </c>
      <c r="K336" t="n">
        <v>0.0670949514732105</v>
      </c>
      <c r="L336" t="b">
        <v>0</v>
      </c>
      <c r="M336" t="b">
        <v>0</v>
      </c>
      <c r="N336" t="inlineStr">
        <is>
          <t>ref</t>
        </is>
      </c>
      <c r="O336" t="n">
        <v>55</v>
      </c>
      <c r="P336" t="n">
        <v>0.002922</v>
      </c>
      <c r="Q336" t="n">
        <v>-65</v>
      </c>
      <c r="R336" t="n">
        <v>0.07543999999999999</v>
      </c>
      <c r="S336">
        <f>IMAGE("https://mitra.stanford.edu/kundaje/oak/projects/neuro-variants/variant_position/credible/roussos_2024/variant_figures/roussos_2024.adolescence.GLU/rs2297909_count_position.png",4,220,900)</f>
        <v/>
      </c>
      <c r="T336">
        <f>IMAGE("https://mitra.stanford.edu/kundaje/oak/projects/neuro-variants/variant_position/credible/roussos_2024/variant_figures/roussos_2024.adolescence.GLU/rs2297909_profile_position.png",4,220,900)</f>
        <v/>
      </c>
    </row>
    <row r="337">
      <c r="A337" t="inlineStr">
        <is>
          <t>chr1</t>
        </is>
      </c>
      <c r="B337" t="n">
        <v>200992755</v>
      </c>
      <c r="C337" t="inlineStr">
        <is>
          <t>T</t>
        </is>
      </c>
      <c r="D337" t="inlineStr">
        <is>
          <t>G</t>
        </is>
      </c>
      <c r="E337" t="inlineStr">
        <is>
          <t>rs59682551</t>
        </is>
      </c>
      <c r="F337" t="n">
        <v>0.0191030009999999</v>
      </c>
      <c r="G337" t="n">
        <v>0.2968954428876995</v>
      </c>
      <c r="H337" t="n">
        <v>0.0163886239195898</v>
      </c>
      <c r="I337" t="n">
        <v>0.1281041003157636</v>
      </c>
      <c r="J337" t="n">
        <v>0.3251044859292281</v>
      </c>
      <c r="K337" t="n">
        <v>0.2432042843729807</v>
      </c>
      <c r="L337" t="b">
        <v>0</v>
      </c>
      <c r="M337" t="b">
        <v>0</v>
      </c>
      <c r="N337" t="inlineStr">
        <is>
          <t>alt</t>
        </is>
      </c>
      <c r="O337" t="n">
        <v>100</v>
      </c>
      <c r="P337" t="n">
        <v>0.0066</v>
      </c>
      <c r="Q337" t="n">
        <v>-95</v>
      </c>
      <c r="R337" t="n">
        <v>0.1099</v>
      </c>
      <c r="S337">
        <f>IMAGE("https://mitra.stanford.edu/kundaje/oak/projects/neuro-variants/variant_position/credible/roussos_2024/variant_figures/roussos_2024.adolescence.GLU/rs59682551_count_position.png",4,220,900)</f>
        <v/>
      </c>
      <c r="T337">
        <f>IMAGE("https://mitra.stanford.edu/kundaje/oak/projects/neuro-variants/variant_position/credible/roussos_2024/variant_figures/roussos_2024.adolescence.GLU/rs59682551_profile_position.png",4,220,900)</f>
        <v/>
      </c>
    </row>
    <row r="338">
      <c r="A338" t="inlineStr">
        <is>
          <t>chr1</t>
        </is>
      </c>
      <c r="B338" t="n">
        <v>200993159</v>
      </c>
      <c r="C338" t="inlineStr">
        <is>
          <t>G</t>
        </is>
      </c>
      <c r="D338" t="inlineStr">
        <is>
          <t>A</t>
        </is>
      </c>
      <c r="E338" t="inlineStr">
        <is>
          <t>rs12140420</t>
        </is>
      </c>
      <c r="F338" t="n">
        <v>-0.0596030749999999</v>
      </c>
      <c r="G338" t="n">
        <v>0.0429002155857364</v>
      </c>
      <c r="H338" t="n">
        <v>0.0109265553200942</v>
      </c>
      <c r="I338" t="n">
        <v>0.4273101430764948</v>
      </c>
      <c r="J338" t="n">
        <v>0.2588307577998299</v>
      </c>
      <c r="K338" t="n">
        <v>0.322962125269739</v>
      </c>
      <c r="L338" t="b">
        <v>0</v>
      </c>
      <c r="M338" t="b">
        <v>0</v>
      </c>
      <c r="N338" t="inlineStr">
        <is>
          <t>ref</t>
        </is>
      </c>
      <c r="O338" t="n">
        <v>-100</v>
      </c>
      <c r="P338" t="n">
        <v>0.005596</v>
      </c>
      <c r="Q338" t="n">
        <v>-25</v>
      </c>
      <c r="R338" t="n">
        <v>0.07199999999999999</v>
      </c>
      <c r="S338">
        <f>IMAGE("https://mitra.stanford.edu/kundaje/oak/projects/neuro-variants/variant_position/credible/roussos_2024/variant_figures/roussos_2024.adolescence.GLU/rs12140420_count_position.png",4,220,900)</f>
        <v/>
      </c>
      <c r="T338">
        <f>IMAGE("https://mitra.stanford.edu/kundaje/oak/projects/neuro-variants/variant_position/credible/roussos_2024/variant_figures/roussos_2024.adolescence.GLU/rs12140420_profile_position.png",4,220,900)</f>
        <v/>
      </c>
    </row>
    <row r="339">
      <c r="A339" t="inlineStr">
        <is>
          <t>chr1</t>
        </is>
      </c>
      <c r="B339" t="n">
        <v>200993667</v>
      </c>
      <c r="C339" t="inlineStr">
        <is>
          <t>T</t>
        </is>
      </c>
      <c r="D339" t="inlineStr">
        <is>
          <t>G</t>
        </is>
      </c>
      <c r="E339" t="inlineStr">
        <is>
          <t>rs10920084</t>
        </is>
      </c>
      <c r="F339" t="n">
        <v>0.191377096</v>
      </c>
      <c r="G339" t="n">
        <v>0.0013042912144801</v>
      </c>
      <c r="H339" t="n">
        <v>0.0417396541260315</v>
      </c>
      <c r="I339" t="n">
        <v>0.0042528186248135</v>
      </c>
      <c r="J339" t="n">
        <v>0.3436969086453622</v>
      </c>
      <c r="K339" t="n">
        <v>0.2223723699100109</v>
      </c>
      <c r="L339" t="b">
        <v>1</v>
      </c>
      <c r="M339" t="b">
        <v>1</v>
      </c>
      <c r="N339" t="inlineStr">
        <is>
          <t>alt</t>
        </is>
      </c>
      <c r="O339" t="n">
        <v>20</v>
      </c>
      <c r="P339" t="n">
        <v>0.003662</v>
      </c>
      <c r="Q339" t="n">
        <v>100</v>
      </c>
      <c r="R339" t="n">
        <v>0.1189</v>
      </c>
      <c r="S339">
        <f>IMAGE("https://mitra.stanford.edu/kundaje/oak/projects/neuro-variants/variant_position/credible/roussos_2024/variant_figures/roussos_2024.adolescence.GLU/rs10920084_count_position.png",4,220,900)</f>
        <v/>
      </c>
      <c r="T339">
        <f>IMAGE("https://mitra.stanford.edu/kundaje/oak/projects/neuro-variants/variant_position/credible/roussos_2024/variant_figures/roussos_2024.adolescence.GLU/rs10920084_profile_position.png",4,220,900)</f>
        <v/>
      </c>
    </row>
    <row r="340">
      <c r="A340" t="inlineStr">
        <is>
          <t>chr1</t>
        </is>
      </c>
      <c r="B340" t="n">
        <v>200997848</v>
      </c>
      <c r="C340" t="inlineStr">
        <is>
          <t>C</t>
        </is>
      </c>
      <c r="D340" t="inlineStr">
        <is>
          <t>T</t>
        </is>
      </c>
      <c r="E340" t="inlineStr">
        <is>
          <t>rs55757739</t>
        </is>
      </c>
      <c r="F340" t="n">
        <v>-0.0208178166</v>
      </c>
      <c r="G340" t="n">
        <v>0.2906857072936686</v>
      </c>
      <c r="H340" t="n">
        <v>0.007646528347296</v>
      </c>
      <c r="I340" t="n">
        <v>0.8433905559856957</v>
      </c>
      <c r="J340" t="n">
        <v>0.2964528366590222</v>
      </c>
      <c r="K340" t="n">
        <v>0.2765358676213529</v>
      </c>
      <c r="L340" t="b">
        <v>0</v>
      </c>
      <c r="M340" t="b">
        <v>0</v>
      </c>
      <c r="N340" t="inlineStr">
        <is>
          <t>ref</t>
        </is>
      </c>
      <c r="O340" t="n">
        <v>25</v>
      </c>
      <c r="P340" t="n">
        <v>0.002201</v>
      </c>
      <c r="Q340" t="n">
        <v>-25</v>
      </c>
      <c r="R340" t="n">
        <v>0.02338</v>
      </c>
      <c r="S340">
        <f>IMAGE("https://mitra.stanford.edu/kundaje/oak/projects/neuro-variants/variant_position/credible/roussos_2024/variant_figures/roussos_2024.adolescence.GLU/rs55757739_count_position.png",4,220,900)</f>
        <v/>
      </c>
      <c r="T340">
        <f>IMAGE("https://mitra.stanford.edu/kundaje/oak/projects/neuro-variants/variant_position/credible/roussos_2024/variant_figures/roussos_2024.adolescence.GLU/rs55757739_profile_position.png",4,220,900)</f>
        <v/>
      </c>
    </row>
    <row r="341">
      <c r="A341" t="inlineStr">
        <is>
          <t>chr1</t>
        </is>
      </c>
      <c r="B341" t="n">
        <v>201015352</v>
      </c>
      <c r="C341" t="inlineStr">
        <is>
          <t>G</t>
        </is>
      </c>
      <c r="D341" t="inlineStr">
        <is>
          <t>A</t>
        </is>
      </c>
      <c r="E341" t="inlineStr">
        <is>
          <t>rs12122721</t>
        </is>
      </c>
      <c r="F341" t="n">
        <v>-0.0511498604</v>
      </c>
      <c r="G341" t="n">
        <v>0.0620639652578482</v>
      </c>
      <c r="H341" t="n">
        <v>0.0157797451670101</v>
      </c>
      <c r="I341" t="n">
        <v>0.1364888494450812</v>
      </c>
      <c r="J341" t="n">
        <v>0.3592487015167427</v>
      </c>
      <c r="K341" t="n">
        <v>0.2063596796724493</v>
      </c>
      <c r="L341" t="b">
        <v>0</v>
      </c>
      <c r="M341" t="b">
        <v>0</v>
      </c>
      <c r="N341" t="inlineStr">
        <is>
          <t>ref</t>
        </is>
      </c>
      <c r="O341" t="n">
        <v>100</v>
      </c>
      <c r="P341" t="n">
        <v>0.01253</v>
      </c>
      <c r="Q341" t="n">
        <v>100</v>
      </c>
      <c r="R341" t="n">
        <v>0.0392</v>
      </c>
      <c r="S341">
        <f>IMAGE("https://mitra.stanford.edu/kundaje/oak/projects/neuro-variants/variant_position/credible/roussos_2024/variant_figures/roussos_2024.adolescence.GLU/rs12122721_count_position.png",4,220,900)</f>
        <v/>
      </c>
      <c r="T341">
        <f>IMAGE("https://mitra.stanford.edu/kundaje/oak/projects/neuro-variants/variant_position/credible/roussos_2024/variant_figures/roussos_2024.adolescence.GLU/rs12122721_profile_position.png",4,220,900)</f>
        <v/>
      </c>
    </row>
    <row r="342">
      <c r="A342" t="inlineStr">
        <is>
          <t>chr1</t>
        </is>
      </c>
      <c r="B342" t="n">
        <v>201038700</v>
      </c>
      <c r="C342" t="inlineStr">
        <is>
          <t>G</t>
        </is>
      </c>
      <c r="D342" t="inlineStr">
        <is>
          <t>A</t>
        </is>
      </c>
      <c r="E342" t="inlineStr">
        <is>
          <t>rs6701496</t>
        </is>
      </c>
      <c r="F342" t="n">
        <v>0.0550419604</v>
      </c>
      <c r="G342" t="n">
        <v>0.0491145584301769</v>
      </c>
      <c r="H342" t="n">
        <v>0.0177295442937924</v>
      </c>
      <c r="I342" t="n">
        <v>0.0911453071411078</v>
      </c>
      <c r="J342" t="n">
        <v>0.5789799315572511</v>
      </c>
      <c r="K342" t="n">
        <v>0.0469564486395076</v>
      </c>
      <c r="L342" t="b">
        <v>0</v>
      </c>
      <c r="M342" t="b">
        <v>0</v>
      </c>
      <c r="N342" t="inlineStr">
        <is>
          <t>alt</t>
        </is>
      </c>
      <c r="O342" t="n">
        <v>25</v>
      </c>
      <c r="P342" t="n">
        <v>0.0006713999999999999</v>
      </c>
      <c r="Q342" t="n">
        <v>-35</v>
      </c>
      <c r="R342" t="n">
        <v>0.02246</v>
      </c>
      <c r="S342">
        <f>IMAGE("https://mitra.stanford.edu/kundaje/oak/projects/neuro-variants/variant_position/credible/roussos_2024/variant_figures/roussos_2024.adolescence.GLU/rs6701496_count_position.png",4,220,900)</f>
        <v/>
      </c>
      <c r="T342">
        <f>IMAGE("https://mitra.stanford.edu/kundaje/oak/projects/neuro-variants/variant_position/credible/roussos_2024/variant_figures/roussos_2024.adolescence.GLU/rs6701496_profile_position.png",4,220,900)</f>
        <v/>
      </c>
    </row>
    <row r="343">
      <c r="A343" t="inlineStr">
        <is>
          <t>chr1</t>
        </is>
      </c>
      <c r="B343" t="n">
        <v>207053793</v>
      </c>
      <c r="C343" t="inlineStr">
        <is>
          <t>A</t>
        </is>
      </c>
      <c r="D343" t="inlineStr">
        <is>
          <t>T</t>
        </is>
      </c>
      <c r="E343" t="inlineStr">
        <is>
          <t>rs4844565</t>
        </is>
      </c>
      <c r="F343" t="n">
        <v>0.057868457</v>
      </c>
      <c r="G343" t="n">
        <v>0.0439527622565903</v>
      </c>
      <c r="H343" t="n">
        <v>0.0172503233929347</v>
      </c>
      <c r="I343" t="n">
        <v>0.09611376973000969</v>
      </c>
      <c r="J343" t="n">
        <v>0.667128190839531</v>
      </c>
      <c r="K343" t="n">
        <v>0.0200249077253049</v>
      </c>
      <c r="L343" t="b">
        <v>0</v>
      </c>
      <c r="M343" t="b">
        <v>0</v>
      </c>
      <c r="N343" t="inlineStr">
        <is>
          <t>alt</t>
        </is>
      </c>
      <c r="O343" t="n">
        <v>5</v>
      </c>
      <c r="P343" t="n">
        <v>0.001282</v>
      </c>
      <c r="Q343" t="n">
        <v>-100</v>
      </c>
      <c r="R343" t="n">
        <v>0.1235</v>
      </c>
      <c r="S343">
        <f>IMAGE("https://mitra.stanford.edu/kundaje/oak/projects/neuro-variants/variant_position/credible/roussos_2024/variant_figures/roussos_2024.adolescence.GLU/rs4844565_count_position.png",4,220,900)</f>
        <v/>
      </c>
      <c r="T343">
        <f>IMAGE("https://mitra.stanford.edu/kundaje/oak/projects/neuro-variants/variant_position/credible/roussos_2024/variant_figures/roussos_2024.adolescence.GLU/rs4844565_profile_position.png",4,220,900)</f>
        <v/>
      </c>
    </row>
    <row r="344">
      <c r="A344" t="inlineStr">
        <is>
          <t>chr1</t>
        </is>
      </c>
      <c r="B344" t="n">
        <v>207065830</v>
      </c>
      <c r="C344" t="inlineStr">
        <is>
          <t>C</t>
        </is>
      </c>
      <c r="D344" t="inlineStr">
        <is>
          <t>G</t>
        </is>
      </c>
      <c r="E344" t="inlineStr">
        <is>
          <t>rs2075864</t>
        </is>
      </c>
      <c r="F344" t="n">
        <v>0.0408866332</v>
      </c>
      <c r="G344" t="n">
        <v>0.1037969612477759</v>
      </c>
      <c r="H344" t="n">
        <v>0.0147700012325171</v>
      </c>
      <c r="I344" t="n">
        <v>0.179792032671451</v>
      </c>
      <c r="J344" t="n">
        <v>0.2096877210279271</v>
      </c>
      <c r="K344" t="n">
        <v>0.3761690596483572</v>
      </c>
      <c r="L344" t="b">
        <v>0</v>
      </c>
      <c r="M344" t="b">
        <v>0</v>
      </c>
      <c r="N344" t="inlineStr">
        <is>
          <t>alt</t>
        </is>
      </c>
      <c r="O344" t="n">
        <v>-100</v>
      </c>
      <c r="P344" t="n">
        <v>0.00392</v>
      </c>
      <c r="Q344" t="n">
        <v>-100</v>
      </c>
      <c r="R344" t="n">
        <v>0.04993</v>
      </c>
      <c r="S344">
        <f>IMAGE("https://mitra.stanford.edu/kundaje/oak/projects/neuro-variants/variant_position/credible/roussos_2024/variant_figures/roussos_2024.adolescence.GLU/rs2075864_count_position.png",4,220,900)</f>
        <v/>
      </c>
      <c r="T344">
        <f>IMAGE("https://mitra.stanford.edu/kundaje/oak/projects/neuro-variants/variant_position/credible/roussos_2024/variant_figures/roussos_2024.adolescence.GLU/rs2075864_profile_position.png",4,220,900)</f>
        <v/>
      </c>
    </row>
    <row r="345">
      <c r="A345" t="inlineStr">
        <is>
          <t>chr1</t>
        </is>
      </c>
      <c r="B345" t="n">
        <v>207065831</v>
      </c>
      <c r="C345" t="inlineStr">
        <is>
          <t>C</t>
        </is>
      </c>
      <c r="D345" t="inlineStr">
        <is>
          <t>A</t>
        </is>
      </c>
      <c r="E345" t="inlineStr">
        <is>
          <t>rs2075865</t>
        </is>
      </c>
      <c r="F345" t="n">
        <v>0.009692109188</v>
      </c>
      <c r="G345" t="n">
        <v>0.3900515001758773</v>
      </c>
      <c r="H345" t="n">
        <v>0.0119498755359825</v>
      </c>
      <c r="I345" t="n">
        <v>0.3245137103368771</v>
      </c>
      <c r="J345" t="n">
        <v>0.1978881339706081</v>
      </c>
      <c r="K345" t="n">
        <v>0.3935340491906446</v>
      </c>
      <c r="L345" t="b">
        <v>0</v>
      </c>
      <c r="M345" t="b">
        <v>0</v>
      </c>
      <c r="N345" t="inlineStr">
        <is>
          <t>alt</t>
        </is>
      </c>
      <c r="O345" t="n">
        <v>-100</v>
      </c>
      <c r="P345" t="n">
        <v>0.003616</v>
      </c>
      <c r="Q345" t="n">
        <v>-100</v>
      </c>
      <c r="R345" t="n">
        <v>0.05957</v>
      </c>
      <c r="S345">
        <f>IMAGE("https://mitra.stanford.edu/kundaje/oak/projects/neuro-variants/variant_position/credible/roussos_2024/variant_figures/roussos_2024.adolescence.GLU/rs2075865_count_position.png",4,220,900)</f>
        <v/>
      </c>
      <c r="T345">
        <f>IMAGE("https://mitra.stanford.edu/kundaje/oak/projects/neuro-variants/variant_position/credible/roussos_2024/variant_figures/roussos_2024.adolescence.GLU/rs2075865_profile_position.png",4,220,900)</f>
        <v/>
      </c>
    </row>
    <row r="346">
      <c r="A346" t="inlineStr">
        <is>
          <t>chr1</t>
        </is>
      </c>
      <c r="B346" t="n">
        <v>208129244</v>
      </c>
      <c r="C346" t="inlineStr">
        <is>
          <t>C</t>
        </is>
      </c>
      <c r="D346" t="inlineStr">
        <is>
          <t>T</t>
        </is>
      </c>
      <c r="E346" t="inlineStr">
        <is>
          <t>rs895239</t>
        </is>
      </c>
      <c r="F346" t="n">
        <v>-0.06265627360000001</v>
      </c>
      <c r="G346" t="n">
        <v>0.0405247166074957</v>
      </c>
      <c r="H346" t="n">
        <v>0.0129797451541629</v>
      </c>
      <c r="I346" t="n">
        <v>0.2886810073201144</v>
      </c>
      <c r="J346" t="n">
        <v>0.2288459752377278</v>
      </c>
      <c r="K346" t="n">
        <v>0.3588103181300534</v>
      </c>
      <c r="L346" t="b">
        <v>0</v>
      </c>
      <c r="M346" t="b">
        <v>0</v>
      </c>
      <c r="N346" t="inlineStr">
        <is>
          <t>ref</t>
        </is>
      </c>
      <c r="O346" t="n">
        <v>-75</v>
      </c>
      <c r="P346" t="n">
        <v>0.001106</v>
      </c>
      <c r="Q346" t="n">
        <v>65</v>
      </c>
      <c r="R346" t="n">
        <v>0.0558</v>
      </c>
      <c r="S346">
        <f>IMAGE("https://mitra.stanford.edu/kundaje/oak/projects/neuro-variants/variant_position/credible/roussos_2024/variant_figures/roussos_2024.adolescence.GLU/rs895239_count_position.png",4,220,900)</f>
        <v/>
      </c>
      <c r="T346">
        <f>IMAGE("https://mitra.stanford.edu/kundaje/oak/projects/neuro-variants/variant_position/credible/roussos_2024/variant_figures/roussos_2024.adolescence.GLU/rs895239_profile_position.png",4,220,900)</f>
        <v/>
      </c>
    </row>
    <row r="347">
      <c r="A347" t="inlineStr">
        <is>
          <t>chr1</t>
        </is>
      </c>
      <c r="B347" t="n">
        <v>208129256</v>
      </c>
      <c r="C347" t="inlineStr">
        <is>
          <t>C</t>
        </is>
      </c>
      <c r="D347" t="inlineStr">
        <is>
          <t>T</t>
        </is>
      </c>
      <c r="E347" t="inlineStr">
        <is>
          <t>rs895240</t>
        </is>
      </c>
      <c r="F347" t="n">
        <v>0.008727834699999999</v>
      </c>
      <c r="G347" t="n">
        <v>0.5142243027525727</v>
      </c>
      <c r="H347" t="n">
        <v>0.008457908698639899</v>
      </c>
      <c r="I347" t="n">
        <v>0.7266484947250702</v>
      </c>
      <c r="J347" t="n">
        <v>0.2328010802237606</v>
      </c>
      <c r="K347" t="n">
        <v>0.3534274622780269</v>
      </c>
      <c r="L347" t="b">
        <v>0</v>
      </c>
      <c r="M347" t="b">
        <v>0</v>
      </c>
      <c r="N347" t="inlineStr">
        <is>
          <t>alt</t>
        </is>
      </c>
      <c r="O347" t="n">
        <v>-85</v>
      </c>
      <c r="P347" t="n">
        <v>0.003399</v>
      </c>
      <c r="Q347" t="n">
        <v>50</v>
      </c>
      <c r="R347" t="n">
        <v>0.05887</v>
      </c>
      <c r="S347">
        <f>IMAGE("https://mitra.stanford.edu/kundaje/oak/projects/neuro-variants/variant_position/credible/roussos_2024/variant_figures/roussos_2024.adolescence.GLU/rs895240_count_position.png",4,220,900)</f>
        <v/>
      </c>
      <c r="T347">
        <f>IMAGE("https://mitra.stanford.edu/kundaje/oak/projects/neuro-variants/variant_position/credible/roussos_2024/variant_figures/roussos_2024.adolescence.GLU/rs895240_profile_position.png",4,220,900)</f>
        <v/>
      </c>
    </row>
    <row r="348">
      <c r="A348" t="inlineStr">
        <is>
          <t>chr1</t>
        </is>
      </c>
      <c r="B348" t="n">
        <v>208151856</v>
      </c>
      <c r="C348" t="inlineStr">
        <is>
          <t>A</t>
        </is>
      </c>
      <c r="D348" t="inlineStr">
        <is>
          <t>G</t>
        </is>
      </c>
      <c r="E348" t="inlineStr">
        <is>
          <t>rs600396</t>
        </is>
      </c>
      <c r="F348" t="n">
        <v>0.0427337614</v>
      </c>
      <c r="G348" t="n">
        <v>0.09888906026920299</v>
      </c>
      <c r="H348" t="n">
        <v>0.0161142611695676</v>
      </c>
      <c r="I348" t="n">
        <v>0.1443585032249021</v>
      </c>
      <c r="J348" t="n">
        <v>0.328485186217145</v>
      </c>
      <c r="K348" t="n">
        <v>0.2392212580173012</v>
      </c>
      <c r="L348" t="b">
        <v>0</v>
      </c>
      <c r="M348" t="b">
        <v>0</v>
      </c>
      <c r="N348" t="inlineStr">
        <is>
          <t>alt</t>
        </is>
      </c>
      <c r="O348" t="n">
        <v>-55</v>
      </c>
      <c r="P348" t="n">
        <v>0.003239</v>
      </c>
      <c r="Q348" t="n">
        <v>45</v>
      </c>
      <c r="R348" t="n">
        <v>0.03992</v>
      </c>
      <c r="S348">
        <f>IMAGE("https://mitra.stanford.edu/kundaje/oak/projects/neuro-variants/variant_position/credible/roussos_2024/variant_figures/roussos_2024.adolescence.GLU/rs600396_count_position.png",4,220,900)</f>
        <v/>
      </c>
      <c r="T348">
        <f>IMAGE("https://mitra.stanford.edu/kundaje/oak/projects/neuro-variants/variant_position/credible/roussos_2024/variant_figures/roussos_2024.adolescence.GLU/rs600396_profile_position.png",4,220,900)</f>
        <v/>
      </c>
    </row>
    <row r="349">
      <c r="A349" t="inlineStr">
        <is>
          <t>chr1</t>
        </is>
      </c>
      <c r="B349" t="n">
        <v>230096333</v>
      </c>
      <c r="C349" t="inlineStr">
        <is>
          <t>A</t>
        </is>
      </c>
      <c r="D349" t="inlineStr">
        <is>
          <t>G</t>
        </is>
      </c>
      <c r="E349" t="inlineStr">
        <is>
          <t>rs7529009</t>
        </is>
      </c>
      <c r="F349" t="n">
        <v>0.00954908222</v>
      </c>
      <c r="G349" t="n">
        <v>0.3639895057457672</v>
      </c>
      <c r="H349" t="n">
        <v>0.013494428855289</v>
      </c>
      <c r="I349" t="n">
        <v>0.23983236362417</v>
      </c>
      <c r="J349" t="n">
        <v>0.3006808553200305</v>
      </c>
      <c r="K349" t="n">
        <v>0.2714188010028086</v>
      </c>
      <c r="L349" t="b">
        <v>0</v>
      </c>
      <c r="M349" t="b">
        <v>0</v>
      </c>
      <c r="N349" t="inlineStr">
        <is>
          <t>alt</t>
        </is>
      </c>
      <c r="O349" t="n">
        <v>-100</v>
      </c>
      <c r="P349" t="n">
        <v>0.0011215</v>
      </c>
      <c r="Q349" t="n">
        <v>100</v>
      </c>
      <c r="R349" t="n">
        <v>0.06444999999999999</v>
      </c>
      <c r="S349">
        <f>IMAGE("https://mitra.stanford.edu/kundaje/oak/projects/neuro-variants/variant_position/credible/roussos_2024/variant_figures/roussos_2024.adolescence.GLU/rs7529009_count_position.png",4,220,900)</f>
        <v/>
      </c>
      <c r="T349">
        <f>IMAGE("https://mitra.stanford.edu/kundaje/oak/projects/neuro-variants/variant_position/credible/roussos_2024/variant_figures/roussos_2024.adolescence.GLU/rs7529009_profile_position.png",4,220,900)</f>
        <v/>
      </c>
    </row>
    <row r="350">
      <c r="A350" t="inlineStr">
        <is>
          <t>chr1</t>
        </is>
      </c>
      <c r="B350" t="n">
        <v>230098337</v>
      </c>
      <c r="C350" t="inlineStr">
        <is>
          <t>C</t>
        </is>
      </c>
      <c r="D350" t="inlineStr">
        <is>
          <t>T</t>
        </is>
      </c>
      <c r="E350" t="inlineStr">
        <is>
          <t>rs7530960</t>
        </is>
      </c>
      <c r="F350" t="n">
        <v>0.00430268444</v>
      </c>
      <c r="G350" t="n">
        <v>0.7474842913040376</v>
      </c>
      <c r="H350" t="n">
        <v>0.0278277575795665</v>
      </c>
      <c r="I350" t="n">
        <v>0.012836977618664</v>
      </c>
      <c r="J350" t="n">
        <v>0.3123289824320752</v>
      </c>
      <c r="K350" t="n">
        <v>0.2572729425684508</v>
      </c>
      <c r="L350" t="b">
        <v>1</v>
      </c>
      <c r="M350" t="b">
        <v>0</v>
      </c>
      <c r="N350" t="inlineStr">
        <is>
          <t>alt</t>
        </is>
      </c>
      <c r="O350" t="n">
        <v>45</v>
      </c>
      <c r="P350" t="n">
        <v>0.01311</v>
      </c>
      <c r="Q350" t="n">
        <v>100</v>
      </c>
      <c r="R350" t="n">
        <v>0.1351</v>
      </c>
      <c r="S350">
        <f>IMAGE("https://mitra.stanford.edu/kundaje/oak/projects/neuro-variants/variant_position/credible/roussos_2024/variant_figures/roussos_2024.adolescence.GLU/rs7530960_count_position.png",4,220,900)</f>
        <v/>
      </c>
      <c r="T350">
        <f>IMAGE("https://mitra.stanford.edu/kundaje/oak/projects/neuro-variants/variant_position/credible/roussos_2024/variant_figures/roussos_2024.adolescence.GLU/rs7530960_profile_position.png",4,220,900)</f>
        <v/>
      </c>
    </row>
    <row r="351">
      <c r="A351" t="inlineStr">
        <is>
          <t>chr1</t>
        </is>
      </c>
      <c r="B351" t="n">
        <v>230103512</v>
      </c>
      <c r="C351" t="inlineStr">
        <is>
          <t>T</t>
        </is>
      </c>
      <c r="D351" t="inlineStr">
        <is>
          <t>C</t>
        </is>
      </c>
      <c r="E351" t="inlineStr">
        <is>
          <t>rs3811489</t>
        </is>
      </c>
      <c r="F351" t="n">
        <v>0.0558827874</v>
      </c>
      <c r="G351" t="n">
        <v>0.0449835490426097</v>
      </c>
      <c r="H351" t="n">
        <v>0.0122319628096355</v>
      </c>
      <c r="I351" t="n">
        <v>0.28927729609179</v>
      </c>
      <c r="J351" t="n">
        <v>0.3279465032042351</v>
      </c>
      <c r="K351" t="n">
        <v>0.2378415016723727</v>
      </c>
      <c r="L351" t="b">
        <v>0</v>
      </c>
      <c r="M351" t="b">
        <v>0</v>
      </c>
      <c r="N351" t="inlineStr">
        <is>
          <t>alt</t>
        </is>
      </c>
      <c r="O351" t="n">
        <v>95</v>
      </c>
      <c r="P351" t="n">
        <v>0.1398</v>
      </c>
      <c r="Q351" t="n">
        <v>40</v>
      </c>
      <c r="R351" t="n">
        <v>0.1765</v>
      </c>
      <c r="S351">
        <f>IMAGE("https://mitra.stanford.edu/kundaje/oak/projects/neuro-variants/variant_position/credible/roussos_2024/variant_figures/roussos_2024.adolescence.GLU/rs3811489_count_position.png",4,220,900)</f>
        <v/>
      </c>
      <c r="T351">
        <f>IMAGE("https://mitra.stanford.edu/kundaje/oak/projects/neuro-variants/variant_position/credible/roussos_2024/variant_figures/roussos_2024.adolescence.GLU/rs3811489_profile_position.png",4,220,900)</f>
        <v/>
      </c>
    </row>
    <row r="352">
      <c r="A352" t="inlineStr">
        <is>
          <t>chr1</t>
        </is>
      </c>
      <c r="B352" t="n">
        <v>230107008</v>
      </c>
      <c r="C352" t="inlineStr">
        <is>
          <t>G</t>
        </is>
      </c>
      <c r="D352" t="inlineStr">
        <is>
          <t>A</t>
        </is>
      </c>
      <c r="E352" t="inlineStr">
        <is>
          <t>rs4412597</t>
        </is>
      </c>
      <c r="F352" t="n">
        <v>-0.0489324382</v>
      </c>
      <c r="G352" t="n">
        <v>0.0723808964465701</v>
      </c>
      <c r="H352" t="n">
        <v>0.0118517367797146</v>
      </c>
      <c r="I352" t="n">
        <v>0.3415747281994111</v>
      </c>
      <c r="J352" t="n">
        <v>0.4242750283987397</v>
      </c>
      <c r="K352" t="n">
        <v>0.1456985604996492</v>
      </c>
      <c r="L352" t="b">
        <v>0</v>
      </c>
      <c r="M352" t="b">
        <v>0</v>
      </c>
      <c r="N352" t="inlineStr">
        <is>
          <t>ref</t>
        </is>
      </c>
      <c r="O352" t="n">
        <v>55</v>
      </c>
      <c r="P352" t="n">
        <v>0.000454</v>
      </c>
      <c r="Q352" t="n">
        <v>100</v>
      </c>
      <c r="R352" t="n">
        <v>0.0605</v>
      </c>
      <c r="S352">
        <f>IMAGE("https://mitra.stanford.edu/kundaje/oak/projects/neuro-variants/variant_position/credible/roussos_2024/variant_figures/roussos_2024.adolescence.GLU/rs4412597_count_position.png",4,220,900)</f>
        <v/>
      </c>
      <c r="T352">
        <f>IMAGE("https://mitra.stanford.edu/kundaje/oak/projects/neuro-variants/variant_position/credible/roussos_2024/variant_figures/roussos_2024.adolescence.GLU/rs4412597_profile_position.png",4,220,900)</f>
        <v/>
      </c>
    </row>
    <row r="353">
      <c r="A353" t="inlineStr">
        <is>
          <t>chr1</t>
        </is>
      </c>
      <c r="B353" t="n">
        <v>230107215</v>
      </c>
      <c r="C353" t="inlineStr">
        <is>
          <t>C</t>
        </is>
      </c>
      <c r="D353" t="inlineStr">
        <is>
          <t>T</t>
        </is>
      </c>
      <c r="E353" t="inlineStr">
        <is>
          <t>rs2078219</t>
        </is>
      </c>
      <c r="F353" t="n">
        <v>-0.00331787128</v>
      </c>
      <c r="G353" t="n">
        <v>0.5803047662870204</v>
      </c>
      <c r="H353" t="n">
        <v>0.0159357868390224</v>
      </c>
      <c r="I353" t="n">
        <v>0.1314539826730001</v>
      </c>
      <c r="J353" t="n">
        <v>0.3811546677526058</v>
      </c>
      <c r="K353" t="n">
        <v>0.1846585847033022</v>
      </c>
      <c r="L353" t="b">
        <v>0</v>
      </c>
      <c r="M353" t="b">
        <v>0</v>
      </c>
      <c r="N353" t="inlineStr">
        <is>
          <t>ref</t>
        </is>
      </c>
      <c r="O353" t="n">
        <v>15</v>
      </c>
      <c r="P353" t="n">
        <v>5.72e-05</v>
      </c>
      <c r="Q353" t="n">
        <v>-60</v>
      </c>
      <c r="R353" t="n">
        <v>0.1218</v>
      </c>
      <c r="S353">
        <f>IMAGE("https://mitra.stanford.edu/kundaje/oak/projects/neuro-variants/variant_position/credible/roussos_2024/variant_figures/roussos_2024.adolescence.GLU/rs2078219_count_position.png",4,220,900)</f>
        <v/>
      </c>
      <c r="T353">
        <f>IMAGE("https://mitra.stanford.edu/kundaje/oak/projects/neuro-variants/variant_position/credible/roussos_2024/variant_figures/roussos_2024.adolescence.GLU/rs2078219_profile_position.png",4,220,900)</f>
        <v/>
      </c>
    </row>
    <row r="354">
      <c r="A354" t="inlineStr">
        <is>
          <t>chr1</t>
        </is>
      </c>
      <c r="B354" t="n">
        <v>230111139</v>
      </c>
      <c r="C354" t="inlineStr">
        <is>
          <t>G</t>
        </is>
      </c>
      <c r="D354" t="inlineStr">
        <is>
          <t>A</t>
        </is>
      </c>
      <c r="E354" t="inlineStr">
        <is>
          <t>rs880329</t>
        </is>
      </c>
      <c r="F354" t="n">
        <v>-0.1250799</v>
      </c>
      <c r="G354" t="n">
        <v>0.0045926783501798</v>
      </c>
      <c r="H354" t="n">
        <v>0.0281963908011477</v>
      </c>
      <c r="I354" t="n">
        <v>0.013690632917368</v>
      </c>
      <c r="J354" t="n">
        <v>0.3373098713304898</v>
      </c>
      <c r="K354" t="n">
        <v>0.2284984844208464</v>
      </c>
      <c r="L354" t="b">
        <v>1</v>
      </c>
      <c r="M354" t="b">
        <v>1</v>
      </c>
      <c r="N354" t="inlineStr">
        <is>
          <t>ref</t>
        </is>
      </c>
      <c r="O354" t="n">
        <v>-100</v>
      </c>
      <c r="P354" t="n">
        <v>0.006905</v>
      </c>
      <c r="Q354" t="n">
        <v>-10</v>
      </c>
      <c r="R354" t="n">
        <v>0.001709</v>
      </c>
      <c r="S354">
        <f>IMAGE("https://mitra.stanford.edu/kundaje/oak/projects/neuro-variants/variant_position/credible/roussos_2024/variant_figures/roussos_2024.adolescence.GLU/rs880329_count_position.png",4,220,900)</f>
        <v/>
      </c>
      <c r="T354">
        <f>IMAGE("https://mitra.stanford.edu/kundaje/oak/projects/neuro-variants/variant_position/credible/roussos_2024/variant_figures/roussos_2024.adolescence.GLU/rs880329_profile_position.png",4,220,900)</f>
        <v/>
      </c>
    </row>
    <row r="355">
      <c r="A355" t="inlineStr">
        <is>
          <t>chr1</t>
        </is>
      </c>
      <c r="B355" t="n">
        <v>230117287</v>
      </c>
      <c r="C355" t="inlineStr">
        <is>
          <t>C</t>
        </is>
      </c>
      <c r="D355" t="inlineStr">
        <is>
          <t>T</t>
        </is>
      </c>
      <c r="E355" t="inlineStr">
        <is>
          <t>rs12083455</t>
        </is>
      </c>
      <c r="F355" t="n">
        <v>0.0330180122</v>
      </c>
      <c r="G355" t="n">
        <v>0.1451465958230295</v>
      </c>
      <c r="H355" t="n">
        <v>0.0239262735325674</v>
      </c>
      <c r="I355" t="n">
        <v>0.0254431517034559</v>
      </c>
      <c r="J355" t="n">
        <v>0.3021125804630958</v>
      </c>
      <c r="K355" t="n">
        <v>0.2697327002078967</v>
      </c>
      <c r="L355" t="b">
        <v>0</v>
      </c>
      <c r="M355" t="b">
        <v>0</v>
      </c>
      <c r="N355" t="inlineStr">
        <is>
          <t>alt</t>
        </is>
      </c>
      <c r="O355" t="n">
        <v>100</v>
      </c>
      <c r="P355" t="n">
        <v>0.002443</v>
      </c>
      <c r="Q355" t="n">
        <v>-80</v>
      </c>
      <c r="R355" t="n">
        <v>0.01184</v>
      </c>
      <c r="S355">
        <f>IMAGE("https://mitra.stanford.edu/kundaje/oak/projects/neuro-variants/variant_position/credible/roussos_2024/variant_figures/roussos_2024.adolescence.GLU/rs12083455_count_position.png",4,220,900)</f>
        <v/>
      </c>
      <c r="T355">
        <f>IMAGE("https://mitra.stanford.edu/kundaje/oak/projects/neuro-variants/variant_position/credible/roussos_2024/variant_figures/roussos_2024.adolescence.GLU/rs12083455_profile_position.png",4,220,900)</f>
        <v/>
      </c>
    </row>
    <row r="356">
      <c r="A356" t="inlineStr">
        <is>
          <t>chr1</t>
        </is>
      </c>
      <c r="B356" t="n">
        <v>230117500</v>
      </c>
      <c r="C356" t="inlineStr">
        <is>
          <t>C</t>
        </is>
      </c>
      <c r="D356" t="inlineStr">
        <is>
          <t>T</t>
        </is>
      </c>
      <c r="E356" t="inlineStr">
        <is>
          <t>rs7512794</t>
        </is>
      </c>
      <c r="F356" t="n">
        <v>0.004663581872</v>
      </c>
      <c r="G356" t="n">
        <v>0.714127101733171</v>
      </c>
      <c r="H356" t="n">
        <v>0.009235509886962799</v>
      </c>
      <c r="I356" t="n">
        <v>0.6151399155791059</v>
      </c>
      <c r="J356" t="n">
        <v>0.2770016646305305</v>
      </c>
      <c r="K356" t="n">
        <v>0.3001130549396261</v>
      </c>
      <c r="L356" t="b">
        <v>0</v>
      </c>
      <c r="M356" t="b">
        <v>0</v>
      </c>
      <c r="N356" t="inlineStr">
        <is>
          <t>alt</t>
        </is>
      </c>
      <c r="O356" t="n">
        <v>-100</v>
      </c>
      <c r="P356" t="n">
        <v>0.001995</v>
      </c>
      <c r="Q356" t="n">
        <v>-5</v>
      </c>
      <c r="R356" t="n">
        <v>0.00119</v>
      </c>
      <c r="S356">
        <f>IMAGE("https://mitra.stanford.edu/kundaje/oak/projects/neuro-variants/variant_position/credible/roussos_2024/variant_figures/roussos_2024.adolescence.GLU/rs7512794_count_position.png",4,220,900)</f>
        <v/>
      </c>
      <c r="T356">
        <f>IMAGE("https://mitra.stanford.edu/kundaje/oak/projects/neuro-variants/variant_position/credible/roussos_2024/variant_figures/roussos_2024.adolescence.GLU/rs7512794_profile_position.png",4,220,900)</f>
        <v/>
      </c>
    </row>
    <row r="357">
      <c r="A357" t="inlineStr">
        <is>
          <t>chr1</t>
        </is>
      </c>
      <c r="B357" t="n">
        <v>230117553</v>
      </c>
      <c r="C357" t="inlineStr">
        <is>
          <t>T</t>
        </is>
      </c>
      <c r="D357" t="inlineStr">
        <is>
          <t>A</t>
        </is>
      </c>
      <c r="E357" t="inlineStr">
        <is>
          <t>rs7520068</t>
        </is>
      </c>
      <c r="F357" t="n">
        <v>0.042857229</v>
      </c>
      <c r="G357" t="n">
        <v>0.0895433724357089</v>
      </c>
      <c r="H357" t="n">
        <v>0.010619977946469</v>
      </c>
      <c r="I357" t="n">
        <v>0.4501584199209931</v>
      </c>
      <c r="J357" t="n">
        <v>0.287390959555908</v>
      </c>
      <c r="K357" t="n">
        <v>0.2873304115569481</v>
      </c>
      <c r="L357" t="b">
        <v>0</v>
      </c>
      <c r="M357" t="b">
        <v>0</v>
      </c>
      <c r="N357" t="inlineStr">
        <is>
          <t>alt</t>
        </is>
      </c>
      <c r="O357" t="n">
        <v>-100</v>
      </c>
      <c r="P357" t="n">
        <v>0.00747</v>
      </c>
      <c r="Q357" t="n">
        <v>-55</v>
      </c>
      <c r="R357" t="n">
        <v>0.05164</v>
      </c>
      <c r="S357">
        <f>IMAGE("https://mitra.stanford.edu/kundaje/oak/projects/neuro-variants/variant_position/credible/roussos_2024/variant_figures/roussos_2024.adolescence.GLU/rs7520068_count_position.png",4,220,900)</f>
        <v/>
      </c>
      <c r="T357">
        <f>IMAGE("https://mitra.stanford.edu/kundaje/oak/projects/neuro-variants/variant_position/credible/roussos_2024/variant_figures/roussos_2024.adolescence.GLU/rs7520068_profile_position.png",4,220,900)</f>
        <v/>
      </c>
    </row>
    <row r="358">
      <c r="A358" t="inlineStr">
        <is>
          <t>chr1</t>
        </is>
      </c>
      <c r="B358" t="n">
        <v>230228204</v>
      </c>
      <c r="C358" t="inlineStr">
        <is>
          <t>A</t>
        </is>
      </c>
      <c r="D358" t="inlineStr">
        <is>
          <t>G</t>
        </is>
      </c>
      <c r="E358" t="inlineStr">
        <is>
          <t>rs7531956</t>
        </is>
      </c>
      <c r="F358" t="n">
        <v>0.0468682672</v>
      </c>
      <c r="G358" t="n">
        <v>0.0714723546703758</v>
      </c>
      <c r="H358" t="n">
        <v>0.0128781320693782</v>
      </c>
      <c r="I358" t="n">
        <v>0.2619330423554872</v>
      </c>
      <c r="J358" t="n">
        <v>0.1157382600681569</v>
      </c>
      <c r="K358" t="n">
        <v>0.5427521751620782</v>
      </c>
      <c r="L358" t="b">
        <v>0</v>
      </c>
      <c r="M358" t="b">
        <v>0</v>
      </c>
      <c r="N358" t="inlineStr">
        <is>
          <t>alt</t>
        </is>
      </c>
      <c r="O358" t="n">
        <v>85</v>
      </c>
      <c r="P358" t="n">
        <v>0.003632</v>
      </c>
      <c r="Q358" t="n">
        <v>-35</v>
      </c>
      <c r="R358" t="n">
        <v>0.09669999999999999</v>
      </c>
      <c r="S358">
        <f>IMAGE("https://mitra.stanford.edu/kundaje/oak/projects/neuro-variants/variant_position/credible/roussos_2024/variant_figures/roussos_2024.adolescence.GLU/rs7531956_count_position.png",4,220,900)</f>
        <v/>
      </c>
      <c r="T358">
        <f>IMAGE("https://mitra.stanford.edu/kundaje/oak/projects/neuro-variants/variant_position/credible/roussos_2024/variant_figures/roussos_2024.adolescence.GLU/rs7531956_profile_position.png",4,220,900)</f>
        <v/>
      </c>
    </row>
    <row r="359">
      <c r="A359" t="inlineStr">
        <is>
          <t>chr1</t>
        </is>
      </c>
      <c r="B359" t="n">
        <v>239002470</v>
      </c>
      <c r="C359" t="inlineStr">
        <is>
          <t>T</t>
        </is>
      </c>
      <c r="D359" t="inlineStr">
        <is>
          <t>G</t>
        </is>
      </c>
      <c r="E359" t="inlineStr">
        <is>
          <t>rs9428451</t>
        </is>
      </c>
      <c r="F359" t="n">
        <v>-6.944787400000002e-05</v>
      </c>
      <c r="G359" t="n">
        <v>0.8954570039940102</v>
      </c>
      <c r="H359" t="n">
        <v>0.0232175397826715</v>
      </c>
      <c r="I359" t="n">
        <v>0.0292307462025391</v>
      </c>
      <c r="J359" t="n">
        <v>0.0009159040086874</v>
      </c>
      <c r="K359" t="n">
        <v>0.9718830627891796</v>
      </c>
      <c r="L359" t="b">
        <v>0</v>
      </c>
      <c r="M359" t="b">
        <v>0</v>
      </c>
      <c r="N359" t="inlineStr">
        <is>
          <t>ref</t>
        </is>
      </c>
      <c r="O359" t="n">
        <v>-25</v>
      </c>
      <c r="P359" t="n">
        <v>0.00448</v>
      </c>
      <c r="Q359" t="n">
        <v>70</v>
      </c>
      <c r="R359" t="n">
        <v>0.005066</v>
      </c>
      <c r="S359">
        <f>IMAGE("https://mitra.stanford.edu/kundaje/oak/projects/neuro-variants/variant_position/credible/roussos_2024/variant_figures/roussos_2024.adolescence.GLU/rs9428451_count_position.png",4,220,900)</f>
        <v/>
      </c>
      <c r="T359">
        <f>IMAGE("https://mitra.stanford.edu/kundaje/oak/projects/neuro-variants/variant_position/credible/roussos_2024/variant_figures/roussos_2024.adolescence.GLU/rs9428451_profile_position.png",4,220,900)</f>
        <v/>
      </c>
    </row>
    <row r="360">
      <c r="A360" t="inlineStr">
        <is>
          <t>chr1</t>
        </is>
      </c>
      <c r="B360" t="n">
        <v>243264850</v>
      </c>
      <c r="C360" t="inlineStr">
        <is>
          <t>T</t>
        </is>
      </c>
      <c r="D360" t="inlineStr">
        <is>
          <t>G</t>
        </is>
      </c>
      <c r="E360" t="inlineStr">
        <is>
          <t>rs12741781</t>
        </is>
      </c>
      <c r="F360" t="n">
        <v>0.0145263338999999</v>
      </c>
      <c r="G360" t="n">
        <v>0.394717575530955</v>
      </c>
      <c r="H360" t="n">
        <v>0.0108864848822656</v>
      </c>
      <c r="I360" t="n">
        <v>0.4195238065900988</v>
      </c>
      <c r="J360" t="n">
        <v>0.1149452386565788</v>
      </c>
      <c r="K360" t="n">
        <v>0.5495480983914085</v>
      </c>
      <c r="L360" t="b">
        <v>0</v>
      </c>
      <c r="M360" t="b">
        <v>0</v>
      </c>
      <c r="N360" t="inlineStr">
        <is>
          <t>alt</t>
        </is>
      </c>
      <c r="O360" t="n">
        <v>-100</v>
      </c>
      <c r="P360" t="n">
        <v>0.02423</v>
      </c>
      <c r="Q360" t="n">
        <v>0</v>
      </c>
      <c r="R360" t="n">
        <v>0</v>
      </c>
      <c r="S360">
        <f>IMAGE("https://mitra.stanford.edu/kundaje/oak/projects/neuro-variants/variant_position/credible/roussos_2024/variant_figures/roussos_2024.adolescence.GLU/rs12741781_count_position.png",4,220,900)</f>
        <v/>
      </c>
      <c r="T360">
        <f>IMAGE("https://mitra.stanford.edu/kundaje/oak/projects/neuro-variants/variant_position/credible/roussos_2024/variant_figures/roussos_2024.adolescence.GLU/rs12741781_profile_position.png",4,220,900)</f>
        <v/>
      </c>
    </row>
    <row r="361">
      <c r="A361" t="inlineStr">
        <is>
          <t>chr1</t>
        </is>
      </c>
      <c r="B361" t="n">
        <v>243270352</v>
      </c>
      <c r="C361" t="inlineStr">
        <is>
          <t>A</t>
        </is>
      </c>
      <c r="D361" t="inlineStr">
        <is>
          <t>G</t>
        </is>
      </c>
      <c r="E361" t="inlineStr">
        <is>
          <t>rs2275154</t>
        </is>
      </c>
      <c r="F361" t="n">
        <v>0.0186531557</v>
      </c>
      <c r="G361" t="n">
        <v>0.3231230616313676</v>
      </c>
      <c r="H361" t="n">
        <v>0.0088552351362274</v>
      </c>
      <c r="I361" t="n">
        <v>0.6661671047545675</v>
      </c>
      <c r="J361" t="n">
        <v>0.2549242343056775</v>
      </c>
      <c r="K361" t="n">
        <v>0.3239483988502319</v>
      </c>
      <c r="L361" t="b">
        <v>0</v>
      </c>
      <c r="M361" t="b">
        <v>0</v>
      </c>
      <c r="N361" t="inlineStr">
        <is>
          <t>alt</t>
        </is>
      </c>
      <c r="O361" t="n">
        <v>-75</v>
      </c>
      <c r="P361" t="n">
        <v>0.005287</v>
      </c>
      <c r="Q361" t="n">
        <v>-75</v>
      </c>
      <c r="R361" t="n">
        <v>0.0606</v>
      </c>
      <c r="S361">
        <f>IMAGE("https://mitra.stanford.edu/kundaje/oak/projects/neuro-variants/variant_position/credible/roussos_2024/variant_figures/roussos_2024.adolescence.GLU/rs2275154_count_position.png",4,220,900)</f>
        <v/>
      </c>
      <c r="T361">
        <f>IMAGE("https://mitra.stanford.edu/kundaje/oak/projects/neuro-variants/variant_position/credible/roussos_2024/variant_figures/roussos_2024.adolescence.GLU/rs2275154_profile_position.png",4,220,900)</f>
        <v/>
      </c>
    </row>
    <row r="362">
      <c r="A362" t="inlineStr">
        <is>
          <t>chr1</t>
        </is>
      </c>
      <c r="B362" t="n">
        <v>243490976</v>
      </c>
      <c r="C362" t="inlineStr">
        <is>
          <t>A</t>
        </is>
      </c>
      <c r="D362" t="inlineStr">
        <is>
          <t>G</t>
        </is>
      </c>
      <c r="E362" t="inlineStr">
        <is>
          <t>rs884328</t>
        </is>
      </c>
      <c r="F362" t="n">
        <v>0.0866563914</v>
      </c>
      <c r="G362" t="n">
        <v>0.0127022722286199</v>
      </c>
      <c r="H362" t="n">
        <v>0.0148161719403702</v>
      </c>
      <c r="I362" t="n">
        <v>0.1658622616266771</v>
      </c>
      <c r="J362" t="n">
        <v>0.4799665645026469</v>
      </c>
      <c r="K362" t="n">
        <v>0.1026351756100514</v>
      </c>
      <c r="L362" t="b">
        <v>1</v>
      </c>
      <c r="M362" t="b">
        <v>0</v>
      </c>
      <c r="N362" t="inlineStr">
        <is>
          <t>alt</t>
        </is>
      </c>
      <c r="O362" t="n">
        <v>30</v>
      </c>
      <c r="P362" t="n">
        <v>0.0015335</v>
      </c>
      <c r="Q362" t="n">
        <v>60</v>
      </c>
      <c r="R362" t="n">
        <v>0.01633</v>
      </c>
      <c r="S362">
        <f>IMAGE("https://mitra.stanford.edu/kundaje/oak/projects/neuro-variants/variant_position/credible/roussos_2024/variant_figures/roussos_2024.adolescence.GLU/rs884328_count_position.png",4,220,900)</f>
        <v/>
      </c>
      <c r="T362">
        <f>IMAGE("https://mitra.stanford.edu/kundaje/oak/projects/neuro-variants/variant_position/credible/roussos_2024/variant_figures/roussos_2024.adolescence.GLU/rs884328_profile_position.png",4,220,900)</f>
        <v/>
      </c>
    </row>
    <row r="363">
      <c r="A363" t="inlineStr">
        <is>
          <t>chr1</t>
        </is>
      </c>
      <c r="B363" t="n">
        <v>243554380</v>
      </c>
      <c r="C363" t="inlineStr">
        <is>
          <t>A</t>
        </is>
      </c>
      <c r="D363" t="inlineStr">
        <is>
          <t>G</t>
        </is>
      </c>
      <c r="E363" t="inlineStr">
        <is>
          <t>rs1352162</t>
        </is>
      </c>
      <c r="F363" t="n">
        <v>0.04861145786</v>
      </c>
      <c r="G363" t="n">
        <v>0.1087670425817924</v>
      </c>
      <c r="H363" t="n">
        <v>0.0233327453452996</v>
      </c>
      <c r="I363" t="n">
        <v>0.0676149143754418</v>
      </c>
      <c r="J363" t="n">
        <v>0.0492473440927048</v>
      </c>
      <c r="K363" t="n">
        <v>0.7013714162485606</v>
      </c>
      <c r="L363" t="b">
        <v>0</v>
      </c>
      <c r="M363" t="b">
        <v>0</v>
      </c>
      <c r="N363" t="inlineStr">
        <is>
          <t>alt</t>
        </is>
      </c>
      <c r="O363" t="n">
        <v>100</v>
      </c>
      <c r="P363" t="n">
        <v>0.01123</v>
      </c>
      <c r="Q363" t="n">
        <v>50</v>
      </c>
      <c r="R363" t="n">
        <v>0.0868</v>
      </c>
      <c r="S363">
        <f>IMAGE("https://mitra.stanford.edu/kundaje/oak/projects/neuro-variants/variant_position/credible/roussos_2024/variant_figures/roussos_2024.adolescence.GLU/rs1352162_count_position.png",4,220,900)</f>
        <v/>
      </c>
      <c r="T363">
        <f>IMAGE("https://mitra.stanford.edu/kundaje/oak/projects/neuro-variants/variant_position/credible/roussos_2024/variant_figures/roussos_2024.adolescence.GLU/rs1352162_profile_position.png",4,220,900)</f>
        <v/>
      </c>
    </row>
    <row r="364">
      <c r="A364" t="inlineStr">
        <is>
          <t>chr1</t>
        </is>
      </c>
      <c r="B364" t="n">
        <v>243629710</v>
      </c>
      <c r="C364" t="inlineStr">
        <is>
          <t>T</t>
        </is>
      </c>
      <c r="D364" t="inlineStr">
        <is>
          <t>C</t>
        </is>
      </c>
      <c r="E364" t="inlineStr">
        <is>
          <t>rs145071536</t>
        </is>
      </c>
      <c r="F364" t="n">
        <v>0.0619289164</v>
      </c>
      <c r="G364" t="n">
        <v>0.0360024235979841</v>
      </c>
      <c r="H364" t="n">
        <v>0.0143248118056119</v>
      </c>
      <c r="I364" t="n">
        <v>0.1857853456528508</v>
      </c>
      <c r="J364" t="n">
        <v>0.1448400025719613</v>
      </c>
      <c r="K364" t="n">
        <v>0.493939933509945</v>
      </c>
      <c r="L364" t="b">
        <v>0</v>
      </c>
      <c r="M364" t="b">
        <v>0</v>
      </c>
      <c r="N364" t="inlineStr">
        <is>
          <t>alt</t>
        </is>
      </c>
      <c r="O364" t="n">
        <v>100</v>
      </c>
      <c r="P364" t="n">
        <v>0.001343</v>
      </c>
      <c r="Q364" t="n">
        <v>100</v>
      </c>
      <c r="R364" t="n">
        <v>0.1061</v>
      </c>
      <c r="S364">
        <f>IMAGE("https://mitra.stanford.edu/kundaje/oak/projects/neuro-variants/variant_position/credible/roussos_2024/variant_figures/roussos_2024.adolescence.GLU/rs145071536_count_position.png",4,220,900)</f>
        <v/>
      </c>
      <c r="T364">
        <f>IMAGE("https://mitra.stanford.edu/kundaje/oak/projects/neuro-variants/variant_position/credible/roussos_2024/variant_figures/roussos_2024.adolescence.GLU/rs145071536_profile_position.png",4,220,900)</f>
        <v/>
      </c>
    </row>
    <row r="365">
      <c r="A365" t="inlineStr">
        <is>
          <t>chr1</t>
        </is>
      </c>
      <c r="B365" t="n">
        <v>243746765</v>
      </c>
      <c r="C365" t="inlineStr">
        <is>
          <t>C</t>
        </is>
      </c>
      <c r="D365" t="inlineStr">
        <is>
          <t>T</t>
        </is>
      </c>
      <c r="E365" t="inlineStr">
        <is>
          <t>rs11586029</t>
        </is>
      </c>
      <c r="F365" t="n">
        <v>0.00417093035</v>
      </c>
      <c r="G365" t="n">
        <v>0.750107506632121</v>
      </c>
      <c r="H365" t="n">
        <v>0.0208183218178831</v>
      </c>
      <c r="I365" t="n">
        <v>0.0474052714077913</v>
      </c>
      <c r="J365" t="n">
        <v>0.0188924848718662</v>
      </c>
      <c r="K365" t="n">
        <v>0.827066034080977</v>
      </c>
      <c r="L365" t="b">
        <v>0</v>
      </c>
      <c r="M365" t="b">
        <v>0</v>
      </c>
      <c r="N365" t="inlineStr">
        <is>
          <t>alt</t>
        </is>
      </c>
      <c r="O365" t="n">
        <v>-85</v>
      </c>
      <c r="P365" t="n">
        <v>0.005745</v>
      </c>
      <c r="Q365" t="n">
        <v>100</v>
      </c>
      <c r="R365" t="n">
        <v>0.1033</v>
      </c>
      <c r="S365">
        <f>IMAGE("https://mitra.stanford.edu/kundaje/oak/projects/neuro-variants/variant_position/credible/roussos_2024/variant_figures/roussos_2024.adolescence.GLU/rs11586029_count_position.png",4,220,900)</f>
        <v/>
      </c>
      <c r="T365">
        <f>IMAGE("https://mitra.stanford.edu/kundaje/oak/projects/neuro-variants/variant_position/credible/roussos_2024/variant_figures/roussos_2024.adolescence.GLU/rs11586029_profile_position.png",4,220,900)</f>
        <v/>
      </c>
    </row>
    <row r="366">
      <c r="A366" t="inlineStr">
        <is>
          <t>chr1</t>
        </is>
      </c>
      <c r="B366" t="n">
        <v>243847139</v>
      </c>
      <c r="C366" t="inlineStr">
        <is>
          <t>T</t>
        </is>
      </c>
      <c r="D366" t="inlineStr">
        <is>
          <t>G</t>
        </is>
      </c>
      <c r="E366" t="inlineStr">
        <is>
          <t>rs61833239</t>
        </is>
      </c>
      <c r="F366" t="n">
        <v>0.0153169322</v>
      </c>
      <c r="G366" t="n">
        <v>0.3610139981277229</v>
      </c>
      <c r="H366" t="n">
        <v>0.019729433771456</v>
      </c>
      <c r="I366" t="n">
        <v>0.0607556121552799</v>
      </c>
      <c r="J366" t="n">
        <v>0.0073086567931928</v>
      </c>
      <c r="K366" t="n">
        <v>0.8986229336905631</v>
      </c>
      <c r="L366" t="b">
        <v>0</v>
      </c>
      <c r="M366" t="b">
        <v>0</v>
      </c>
      <c r="N366" t="inlineStr">
        <is>
          <t>alt</t>
        </is>
      </c>
      <c r="O366" t="n">
        <v>75</v>
      </c>
      <c r="P366" t="n">
        <v>0.0094</v>
      </c>
      <c r="Q366" t="n">
        <v>-75</v>
      </c>
      <c r="R366" t="n">
        <v>0.02615</v>
      </c>
      <c r="S366">
        <f>IMAGE("https://mitra.stanford.edu/kundaje/oak/projects/neuro-variants/variant_position/credible/roussos_2024/variant_figures/roussos_2024.adolescence.GLU/rs61833239_count_position.png",4,220,900)</f>
        <v/>
      </c>
      <c r="T366">
        <f>IMAGE("https://mitra.stanford.edu/kundaje/oak/projects/neuro-variants/variant_position/credible/roussos_2024/variant_figures/roussos_2024.adolescence.GLU/rs61833239_profile_position.png",4,220,900)</f>
        <v/>
      </c>
    </row>
    <row r="367">
      <c r="A367" t="inlineStr">
        <is>
          <t>chr10</t>
        </is>
      </c>
      <c r="B367" t="n">
        <v>3778595</v>
      </c>
      <c r="C367" t="inlineStr">
        <is>
          <t>T</t>
        </is>
      </c>
      <c r="D367" t="inlineStr">
        <is>
          <t>C</t>
        </is>
      </c>
      <c r="E367" t="inlineStr">
        <is>
          <t>rs1043003</t>
        </is>
      </c>
      <c r="F367" t="n">
        <v>0.15666101</v>
      </c>
      <c r="G367" t="n">
        <v>0.0025213674632838</v>
      </c>
      <c r="H367" t="n">
        <v>0.0296326601091987</v>
      </c>
      <c r="I367" t="n">
        <v>0.0244867228399423</v>
      </c>
      <c r="J367" t="n">
        <v>0.3052718063027341</v>
      </c>
      <c r="K367" t="n">
        <v>0.2636225748885443</v>
      </c>
      <c r="L367" t="b">
        <v>1</v>
      </c>
      <c r="M367" t="b">
        <v>1</v>
      </c>
      <c r="N367" t="inlineStr">
        <is>
          <t>alt</t>
        </is>
      </c>
      <c r="O367" t="n">
        <v>-45</v>
      </c>
      <c r="P367" t="n">
        <v>0.004387</v>
      </c>
      <c r="Q367" t="n">
        <v>-75</v>
      </c>
      <c r="R367" t="n">
        <v>0.037</v>
      </c>
      <c r="S367">
        <f>IMAGE("https://mitra.stanford.edu/kundaje/oak/projects/neuro-variants/variant_position/credible/roussos_2024/variant_figures/roussos_2024.adolescence.GLU/rs1043003_count_position.png",4,220,900)</f>
        <v/>
      </c>
      <c r="T367">
        <f>IMAGE("https://mitra.stanford.edu/kundaje/oak/projects/neuro-variants/variant_position/credible/roussos_2024/variant_figures/roussos_2024.adolescence.GLU/rs1043003_profile_position.png",4,220,900)</f>
        <v/>
      </c>
    </row>
    <row r="368">
      <c r="A368" t="inlineStr">
        <is>
          <t>chr10</t>
        </is>
      </c>
      <c r="B368" t="n">
        <v>18421239</v>
      </c>
      <c r="C368" t="inlineStr">
        <is>
          <t>T</t>
        </is>
      </c>
      <c r="D368" t="inlineStr">
        <is>
          <t>C</t>
        </is>
      </c>
      <c r="E368" t="inlineStr">
        <is>
          <t>rs11014167</t>
        </is>
      </c>
      <c r="F368" t="n">
        <v>0.01096079246</v>
      </c>
      <c r="G368" t="n">
        <v>0.4647844296956955</v>
      </c>
      <c r="H368" t="n">
        <v>0.0186113632764956</v>
      </c>
      <c r="I368" t="n">
        <v>0.0764229418635073</v>
      </c>
      <c r="J368" t="n">
        <v>0.0077930428445892</v>
      </c>
      <c r="K368" t="n">
        <v>0.8941270116062178</v>
      </c>
      <c r="L368" t="b">
        <v>0</v>
      </c>
      <c r="M368" t="b">
        <v>0</v>
      </c>
      <c r="N368" t="inlineStr">
        <is>
          <t>alt</t>
        </is>
      </c>
      <c r="O368" t="n">
        <v>-45</v>
      </c>
      <c r="P368" t="n">
        <v>0.002686</v>
      </c>
      <c r="Q368" t="n">
        <v>100</v>
      </c>
      <c r="R368" t="n">
        <v>0.08790000000000001</v>
      </c>
      <c r="S368">
        <f>IMAGE("https://mitra.stanford.edu/kundaje/oak/projects/neuro-variants/variant_position/credible/roussos_2024/variant_figures/roussos_2024.adolescence.GLU/rs11014167_count_position.png",4,220,900)</f>
        <v/>
      </c>
      <c r="T368">
        <f>IMAGE("https://mitra.stanford.edu/kundaje/oak/projects/neuro-variants/variant_position/credible/roussos_2024/variant_figures/roussos_2024.adolescence.GLU/rs11014167_profile_position.png",4,220,900)</f>
        <v/>
      </c>
    </row>
    <row r="369">
      <c r="A369" t="inlineStr">
        <is>
          <t>chr10</t>
        </is>
      </c>
      <c r="B369" t="n">
        <v>21030071</v>
      </c>
      <c r="C369" t="inlineStr">
        <is>
          <t>G</t>
        </is>
      </c>
      <c r="D369" t="inlineStr">
        <is>
          <t>A</t>
        </is>
      </c>
      <c r="E369" t="inlineStr">
        <is>
          <t>rs640729</t>
        </is>
      </c>
      <c r="F369" t="n">
        <v>-0.0446360736</v>
      </c>
      <c r="G369" t="n">
        <v>0.08773091365571591</v>
      </c>
      <c r="H369" t="n">
        <v>0.0099173164519024</v>
      </c>
      <c r="I369" t="n">
        <v>0.5510423682980591</v>
      </c>
      <c r="J369" t="n">
        <v>0.5778725593158583</v>
      </c>
      <c r="K369" t="n">
        <v>0.0475965395189947</v>
      </c>
      <c r="L369" t="b">
        <v>0</v>
      </c>
      <c r="M369" t="b">
        <v>0</v>
      </c>
      <c r="N369" t="inlineStr">
        <is>
          <t>ref</t>
        </is>
      </c>
      <c r="O369" t="n">
        <v>95</v>
      </c>
      <c r="P369" t="n">
        <v>0.010826</v>
      </c>
      <c r="Q369" t="n">
        <v>100</v>
      </c>
      <c r="R369" t="n">
        <v>0.0774</v>
      </c>
      <c r="S369">
        <f>IMAGE("https://mitra.stanford.edu/kundaje/oak/projects/neuro-variants/variant_position/credible/roussos_2024/variant_figures/roussos_2024.adolescence.GLU/rs640729_count_position.png",4,220,900)</f>
        <v/>
      </c>
      <c r="T369">
        <f>IMAGE("https://mitra.stanford.edu/kundaje/oak/projects/neuro-variants/variant_position/credible/roussos_2024/variant_figures/roussos_2024.adolescence.GLU/rs640729_profile_position.png",4,220,900)</f>
        <v/>
      </c>
    </row>
    <row r="370">
      <c r="A370" t="inlineStr">
        <is>
          <t>chr10</t>
        </is>
      </c>
      <c r="B370" t="n">
        <v>21038664</v>
      </c>
      <c r="C370" t="inlineStr">
        <is>
          <t>A</t>
        </is>
      </c>
      <c r="D370" t="inlineStr">
        <is>
          <t>G</t>
        </is>
      </c>
      <c r="E370" t="inlineStr">
        <is>
          <t>rs663759</t>
        </is>
      </c>
      <c r="F370" t="n">
        <v>0.009474128119999901</v>
      </c>
      <c r="G370" t="n">
        <v>0.5091377332169403</v>
      </c>
      <c r="H370" t="n">
        <v>0.0072712886595328</v>
      </c>
      <c r="I370" t="n">
        <v>0.8753194455148845</v>
      </c>
      <c r="J370" t="n">
        <v>0.1294925377399603</v>
      </c>
      <c r="K370" t="n">
        <v>0.513285878034792</v>
      </c>
      <c r="L370" t="b">
        <v>0</v>
      </c>
      <c r="M370" t="b">
        <v>0</v>
      </c>
      <c r="N370" t="inlineStr">
        <is>
          <t>alt</t>
        </is>
      </c>
      <c r="O370" t="n">
        <v>90</v>
      </c>
      <c r="P370" t="n">
        <v>0.013</v>
      </c>
      <c r="Q370" t="n">
        <v>85</v>
      </c>
      <c r="R370" t="n">
        <v>0.11383</v>
      </c>
      <c r="S370">
        <f>IMAGE("https://mitra.stanford.edu/kundaje/oak/projects/neuro-variants/variant_position/credible/roussos_2024/variant_figures/roussos_2024.adolescence.GLU/rs663759_count_position.png",4,220,900)</f>
        <v/>
      </c>
      <c r="T370">
        <f>IMAGE("https://mitra.stanford.edu/kundaje/oak/projects/neuro-variants/variant_position/credible/roussos_2024/variant_figures/roussos_2024.adolescence.GLU/rs663759_profile_position.png",4,220,900)</f>
        <v/>
      </c>
    </row>
    <row r="371">
      <c r="A371" t="inlineStr">
        <is>
          <t>chr10</t>
        </is>
      </c>
      <c r="B371" t="n">
        <v>21110940</v>
      </c>
      <c r="C371" t="inlineStr">
        <is>
          <t>G</t>
        </is>
      </c>
      <c r="D371" t="inlineStr">
        <is>
          <t>A</t>
        </is>
      </c>
      <c r="E371" t="inlineStr">
        <is>
          <t>rs602572</t>
        </is>
      </c>
      <c r="F371" t="n">
        <v>-0.0181601816</v>
      </c>
      <c r="G371" t="n">
        <v>0.3274233572795908</v>
      </c>
      <c r="H371" t="n">
        <v>0.0143145831077394</v>
      </c>
      <c r="I371" t="n">
        <v>0.1819117052727178</v>
      </c>
      <c r="J371" t="n">
        <v>0.0272999407020025</v>
      </c>
      <c r="K371" t="n">
        <v>0.7838535958388977</v>
      </c>
      <c r="L371" t="b">
        <v>0</v>
      </c>
      <c r="M371" t="b">
        <v>0</v>
      </c>
      <c r="N371" t="inlineStr">
        <is>
          <t>ref</t>
        </is>
      </c>
      <c r="O371" t="n">
        <v>-100</v>
      </c>
      <c r="P371" t="n">
        <v>0.002829</v>
      </c>
      <c r="Q371" t="n">
        <v>5</v>
      </c>
      <c r="R371" t="n">
        <v>0.002762</v>
      </c>
      <c r="S371">
        <f>IMAGE("https://mitra.stanford.edu/kundaje/oak/projects/neuro-variants/variant_position/credible/roussos_2024/variant_figures/roussos_2024.adolescence.GLU/rs602572_count_position.png",4,220,900)</f>
        <v/>
      </c>
      <c r="T371">
        <f>IMAGE("https://mitra.stanford.edu/kundaje/oak/projects/neuro-variants/variant_position/credible/roussos_2024/variant_figures/roussos_2024.adolescence.GLU/rs602572_profile_position.png",4,220,900)</f>
        <v/>
      </c>
    </row>
    <row r="372">
      <c r="A372" t="inlineStr">
        <is>
          <t>chr10</t>
        </is>
      </c>
      <c r="B372" t="n">
        <v>60375448</v>
      </c>
      <c r="C372" t="inlineStr">
        <is>
          <t>G</t>
        </is>
      </c>
      <c r="D372" t="inlineStr">
        <is>
          <t>A</t>
        </is>
      </c>
      <c r="E372" t="inlineStr">
        <is>
          <t>rs10994321</t>
        </is>
      </c>
      <c r="F372" t="n">
        <v>0.0410549564799999</v>
      </c>
      <c r="G372" t="n">
        <v>0.08687339687648871</v>
      </c>
      <c r="H372" t="n">
        <v>0.0167033368453271</v>
      </c>
      <c r="I372" t="n">
        <v>0.0974291178351953</v>
      </c>
      <c r="J372" t="n">
        <v>0.1790099377728243</v>
      </c>
      <c r="K372" t="n">
        <v>0.4375676573584249</v>
      </c>
      <c r="L372" t="b">
        <v>0</v>
      </c>
      <c r="M372" t="b">
        <v>0</v>
      </c>
      <c r="N372" t="inlineStr">
        <is>
          <t>alt</t>
        </is>
      </c>
      <c r="O372" t="n">
        <v>-95</v>
      </c>
      <c r="P372" t="n">
        <v>0.003876</v>
      </c>
      <c r="Q372" t="n">
        <v>85</v>
      </c>
      <c r="R372" t="n">
        <v>0.04712</v>
      </c>
      <c r="S372">
        <f>IMAGE("https://mitra.stanford.edu/kundaje/oak/projects/neuro-variants/variant_position/credible/roussos_2024/variant_figures/roussos_2024.adolescence.GLU/rs10994321_count_position.png",4,220,900)</f>
        <v/>
      </c>
      <c r="T372">
        <f>IMAGE("https://mitra.stanford.edu/kundaje/oak/projects/neuro-variants/variant_position/credible/roussos_2024/variant_figures/roussos_2024.adolescence.GLU/rs10994321_profile_position.png",4,220,900)</f>
        <v/>
      </c>
    </row>
    <row r="373">
      <c r="A373" t="inlineStr">
        <is>
          <t>chr10</t>
        </is>
      </c>
      <c r="B373" t="n">
        <v>60420054</v>
      </c>
      <c r="C373" t="inlineStr">
        <is>
          <t>C</t>
        </is>
      </c>
      <c r="D373" t="inlineStr">
        <is>
          <t>T</t>
        </is>
      </c>
      <c r="E373" t="inlineStr">
        <is>
          <t>rs10994336</t>
        </is>
      </c>
      <c r="F373" t="n">
        <v>0.0871577288</v>
      </c>
      <c r="G373" t="n">
        <v>0.0170878452022942</v>
      </c>
      <c r="H373" t="n">
        <v>0.0293573488679344</v>
      </c>
      <c r="I373" t="n">
        <v>0.015177586856741</v>
      </c>
      <c r="J373" t="n">
        <v>0.2049667431110729</v>
      </c>
      <c r="K373" t="n">
        <v>0.3949033758198542</v>
      </c>
      <c r="L373" t="b">
        <v>1</v>
      </c>
      <c r="M373" t="b">
        <v>0</v>
      </c>
      <c r="N373" t="inlineStr">
        <is>
          <t>alt</t>
        </is>
      </c>
      <c r="O373" t="n">
        <v>80</v>
      </c>
      <c r="P373" t="n">
        <v>0.01034</v>
      </c>
      <c r="Q373" t="n">
        <v>-55</v>
      </c>
      <c r="R373" t="n">
        <v>0.03052</v>
      </c>
      <c r="S373">
        <f>IMAGE("https://mitra.stanford.edu/kundaje/oak/projects/neuro-variants/variant_position/credible/roussos_2024/variant_figures/roussos_2024.adolescence.GLU/rs10994336_count_position.png",4,220,900)</f>
        <v/>
      </c>
      <c r="T373">
        <f>IMAGE("https://mitra.stanford.edu/kundaje/oak/projects/neuro-variants/variant_position/credible/roussos_2024/variant_figures/roussos_2024.adolescence.GLU/rs10994336_profile_position.png",4,220,900)</f>
        <v/>
      </c>
    </row>
    <row r="374">
      <c r="A374" t="inlineStr">
        <is>
          <t>chr10</t>
        </is>
      </c>
      <c r="B374" t="n">
        <v>60421123</v>
      </c>
      <c r="C374" t="inlineStr">
        <is>
          <t>A</t>
        </is>
      </c>
      <c r="D374" t="inlineStr">
        <is>
          <t>G</t>
        </is>
      </c>
      <c r="E374" t="inlineStr">
        <is>
          <t>rs10994337</t>
        </is>
      </c>
      <c r="F374" t="n">
        <v>0.0546299308</v>
      </c>
      <c r="G374" t="n">
        <v>0.06075340042536</v>
      </c>
      <c r="H374" t="n">
        <v>0.0199341591541227</v>
      </c>
      <c r="I374" t="n">
        <v>0.0835704663302853</v>
      </c>
      <c r="J374" t="n">
        <v>0.1006508491044572</v>
      </c>
      <c r="K374" t="n">
        <v>0.567307905131656</v>
      </c>
      <c r="L374" t="b">
        <v>0</v>
      </c>
      <c r="M374" t="b">
        <v>0</v>
      </c>
      <c r="N374" t="inlineStr">
        <is>
          <t>alt</t>
        </is>
      </c>
      <c r="O374" t="n">
        <v>100</v>
      </c>
      <c r="P374" t="n">
        <v>0.01437</v>
      </c>
      <c r="Q374" t="n">
        <v>-55</v>
      </c>
      <c r="R374" t="n">
        <v>0.02075</v>
      </c>
      <c r="S374">
        <f>IMAGE("https://mitra.stanford.edu/kundaje/oak/projects/neuro-variants/variant_position/credible/roussos_2024/variant_figures/roussos_2024.adolescence.GLU/rs10994337_count_position.png",4,220,900)</f>
        <v/>
      </c>
      <c r="T374">
        <f>IMAGE("https://mitra.stanford.edu/kundaje/oak/projects/neuro-variants/variant_position/credible/roussos_2024/variant_figures/roussos_2024.adolescence.GLU/rs10994337_profile_position.png",4,220,900)</f>
        <v/>
      </c>
    </row>
    <row r="375">
      <c r="A375" t="inlineStr">
        <is>
          <t>chr10</t>
        </is>
      </c>
      <c r="B375" t="n">
        <v>60447629</v>
      </c>
      <c r="C375" t="inlineStr">
        <is>
          <t>T</t>
        </is>
      </c>
      <c r="D375" t="inlineStr">
        <is>
          <t>C</t>
        </is>
      </c>
      <c r="E375" t="inlineStr">
        <is>
          <t>rs61847646</t>
        </is>
      </c>
      <c r="F375" t="n">
        <v>0.0235541088</v>
      </c>
      <c r="G375" t="n">
        <v>0.238655091901862</v>
      </c>
      <c r="H375" t="n">
        <v>0.0071895237165418</v>
      </c>
      <c r="I375" t="n">
        <v>0.8885665701888001</v>
      </c>
      <c r="J375" t="n">
        <v>0.1609290495888433</v>
      </c>
      <c r="K375" t="n">
        <v>0.4646300875075651</v>
      </c>
      <c r="L375" t="b">
        <v>0</v>
      </c>
      <c r="M375" t="b">
        <v>0</v>
      </c>
      <c r="N375" t="inlineStr">
        <is>
          <t>alt</t>
        </is>
      </c>
      <c r="O375" t="n">
        <v>-55</v>
      </c>
      <c r="P375" t="n">
        <v>0.00148</v>
      </c>
      <c r="Q375" t="n">
        <v>50</v>
      </c>
      <c r="R375" t="n">
        <v>0.06168</v>
      </c>
      <c r="S375">
        <f>IMAGE("https://mitra.stanford.edu/kundaje/oak/projects/neuro-variants/variant_position/credible/roussos_2024/variant_figures/roussos_2024.adolescence.GLU/rs61847646_count_position.png",4,220,900)</f>
        <v/>
      </c>
      <c r="T375">
        <f>IMAGE("https://mitra.stanford.edu/kundaje/oak/projects/neuro-variants/variant_position/credible/roussos_2024/variant_figures/roussos_2024.adolescence.GLU/rs61847646_profile_position.png",4,220,900)</f>
        <v/>
      </c>
    </row>
    <row r="376">
      <c r="A376" t="inlineStr">
        <is>
          <t>chr10</t>
        </is>
      </c>
      <c r="B376" t="n">
        <v>60514979</v>
      </c>
      <c r="C376" t="inlineStr">
        <is>
          <t>T</t>
        </is>
      </c>
      <c r="D376" t="inlineStr">
        <is>
          <t>G</t>
        </is>
      </c>
      <c r="E376" t="inlineStr">
        <is>
          <t>rs9633553</t>
        </is>
      </c>
      <c r="F376" t="n">
        <v>0.0017922880199999</v>
      </c>
      <c r="G376" t="n">
        <v>0.7516997955795789</v>
      </c>
      <c r="H376" t="n">
        <v>0.0253276498440537</v>
      </c>
      <c r="I376" t="n">
        <v>0.0213724931828424</v>
      </c>
      <c r="J376" t="n">
        <v>0.0111723142650977</v>
      </c>
      <c r="K376" t="n">
        <v>0.8771715355597776</v>
      </c>
      <c r="L376" t="b">
        <v>0</v>
      </c>
      <c r="M376" t="b">
        <v>0</v>
      </c>
      <c r="N376" t="inlineStr">
        <is>
          <t>alt</t>
        </is>
      </c>
      <c r="O376" t="n">
        <v>-65</v>
      </c>
      <c r="P376" t="n">
        <v>0.006027</v>
      </c>
      <c r="Q376" t="n">
        <v>-45</v>
      </c>
      <c r="R376" t="n">
        <v>0.01514</v>
      </c>
      <c r="S376">
        <f>IMAGE("https://mitra.stanford.edu/kundaje/oak/projects/neuro-variants/variant_position/credible/roussos_2024/variant_figures/roussos_2024.adolescence.GLU/rs9633553_count_position.png",4,220,900)</f>
        <v/>
      </c>
      <c r="T376">
        <f>IMAGE("https://mitra.stanford.edu/kundaje/oak/projects/neuro-variants/variant_position/credible/roussos_2024/variant_figures/roussos_2024.adolescence.GLU/rs9633553_profile_position.png",4,220,900)</f>
        <v/>
      </c>
    </row>
    <row r="377">
      <c r="A377" t="inlineStr">
        <is>
          <t>chr10</t>
        </is>
      </c>
      <c r="B377" t="n">
        <v>60525580</v>
      </c>
      <c r="C377" t="inlineStr">
        <is>
          <t>G</t>
        </is>
      </c>
      <c r="D377" t="inlineStr">
        <is>
          <t>A</t>
        </is>
      </c>
      <c r="E377" t="inlineStr">
        <is>
          <t>rs10821789</t>
        </is>
      </c>
      <c r="F377" t="n">
        <v>-0.069698223</v>
      </c>
      <c r="G377" t="n">
        <v>0.0292194148266109</v>
      </c>
      <c r="H377" t="n">
        <v>0.0131563946562293</v>
      </c>
      <c r="I377" t="n">
        <v>0.2791270470590371</v>
      </c>
      <c r="J377" t="n">
        <v>0.1883275821420151</v>
      </c>
      <c r="K377" t="n">
        <v>0.4119144116479049</v>
      </c>
      <c r="L377" t="b">
        <v>0</v>
      </c>
      <c r="M377" t="b">
        <v>0</v>
      </c>
      <c r="N377" t="inlineStr">
        <is>
          <t>ref</t>
        </is>
      </c>
      <c r="O377" t="n">
        <v>-45</v>
      </c>
      <c r="P377" t="n">
        <v>0.004063</v>
      </c>
      <c r="Q377" t="n">
        <v>95</v>
      </c>
      <c r="R377" t="n">
        <v>0.0332</v>
      </c>
      <c r="S377">
        <f>IMAGE("https://mitra.stanford.edu/kundaje/oak/projects/neuro-variants/variant_position/credible/roussos_2024/variant_figures/roussos_2024.adolescence.GLU/rs10821789_count_position.png",4,220,900)</f>
        <v/>
      </c>
      <c r="T377">
        <f>IMAGE("https://mitra.stanford.edu/kundaje/oak/projects/neuro-variants/variant_position/credible/roussos_2024/variant_figures/roussos_2024.adolescence.GLU/rs10821789_profile_position.png",4,220,900)</f>
        <v/>
      </c>
    </row>
    <row r="378">
      <c r="A378" t="inlineStr">
        <is>
          <t>chr10</t>
        </is>
      </c>
      <c r="B378" t="n">
        <v>62910533</v>
      </c>
      <c r="C378" t="inlineStr">
        <is>
          <t>A</t>
        </is>
      </c>
      <c r="D378" t="inlineStr">
        <is>
          <t>G</t>
        </is>
      </c>
      <c r="E378" t="inlineStr">
        <is>
          <t>rs7915640</t>
        </is>
      </c>
      <c r="F378" t="n">
        <v>0.06418531919999999</v>
      </c>
      <c r="G378" t="n">
        <v>0.030007040797232</v>
      </c>
      <c r="H378" t="n">
        <v>0.0127039145334602</v>
      </c>
      <c r="I378" t="n">
        <v>0.2617725609886108</v>
      </c>
      <c r="J378" t="n">
        <v>0.2748597923855655</v>
      </c>
      <c r="K378" t="n">
        <v>0.3000035337769418</v>
      </c>
      <c r="L378" t="b">
        <v>0</v>
      </c>
      <c r="M378" t="b">
        <v>0</v>
      </c>
      <c r="N378" t="inlineStr">
        <is>
          <t>alt</t>
        </is>
      </c>
      <c r="O378" t="n">
        <v>60</v>
      </c>
      <c r="P378" t="n">
        <v>0.008514000000000001</v>
      </c>
      <c r="Q378" t="n">
        <v>-95</v>
      </c>
      <c r="R378" t="n">
        <v>0.05017</v>
      </c>
      <c r="S378">
        <f>IMAGE("https://mitra.stanford.edu/kundaje/oak/projects/neuro-variants/variant_position/credible/roussos_2024/variant_figures/roussos_2024.adolescence.GLU/rs7915640_count_position.png",4,220,900)</f>
        <v/>
      </c>
      <c r="T378">
        <f>IMAGE("https://mitra.stanford.edu/kundaje/oak/projects/neuro-variants/variant_position/credible/roussos_2024/variant_figures/roussos_2024.adolescence.GLU/rs7915640_profile_position.png",4,220,900)</f>
        <v/>
      </c>
    </row>
    <row r="379">
      <c r="A379" t="inlineStr">
        <is>
          <t>chr10</t>
        </is>
      </c>
      <c r="B379" t="n">
        <v>62915331</v>
      </c>
      <c r="C379" t="inlineStr">
        <is>
          <t>C</t>
        </is>
      </c>
      <c r="D379" t="inlineStr">
        <is>
          <t>T</t>
        </is>
      </c>
      <c r="E379" t="inlineStr">
        <is>
          <t>rs10740096</t>
        </is>
      </c>
      <c r="F379" t="n">
        <v>-0.0190407721</v>
      </c>
      <c r="G379" t="n">
        <v>0.3140804986484582</v>
      </c>
      <c r="H379" t="n">
        <v>0.0131133901761709</v>
      </c>
      <c r="I379" t="n">
        <v>0.2506891410347757</v>
      </c>
      <c r="J379" t="n">
        <v>0.2485786341456444</v>
      </c>
      <c r="K379" t="n">
        <v>0.3321348939057812</v>
      </c>
      <c r="L379" t="b">
        <v>0</v>
      </c>
      <c r="M379" t="b">
        <v>0</v>
      </c>
      <c r="N379" t="inlineStr">
        <is>
          <t>ref</t>
        </is>
      </c>
      <c r="O379" t="n">
        <v>-100</v>
      </c>
      <c r="P379" t="n">
        <v>0.01608</v>
      </c>
      <c r="Q379" t="n">
        <v>-100</v>
      </c>
      <c r="R379" t="n">
        <v>0.02417</v>
      </c>
      <c r="S379">
        <f>IMAGE("https://mitra.stanford.edu/kundaje/oak/projects/neuro-variants/variant_position/credible/roussos_2024/variant_figures/roussos_2024.adolescence.GLU/rs10740096_count_position.png",4,220,900)</f>
        <v/>
      </c>
      <c r="T379">
        <f>IMAGE("https://mitra.stanford.edu/kundaje/oak/projects/neuro-variants/variant_position/credible/roussos_2024/variant_figures/roussos_2024.adolescence.GLU/rs10740096_profile_position.png",4,220,900)</f>
        <v/>
      </c>
    </row>
    <row r="380">
      <c r="A380" t="inlineStr">
        <is>
          <t>chr10</t>
        </is>
      </c>
      <c r="B380" t="n">
        <v>62957155</v>
      </c>
      <c r="C380" t="inlineStr">
        <is>
          <t>G</t>
        </is>
      </c>
      <c r="D380" t="inlineStr">
        <is>
          <t>A</t>
        </is>
      </c>
      <c r="E380" t="inlineStr">
        <is>
          <t>rs10822098</t>
        </is>
      </c>
      <c r="F380" t="n">
        <v>-0.22875989</v>
      </c>
      <c r="G380" t="n">
        <v>0.0006185228901114</v>
      </c>
      <c r="H380" t="n">
        <v>0.0445047325357574</v>
      </c>
      <c r="I380" t="n">
        <v>0.0019881184530933</v>
      </c>
      <c r="J380" t="n">
        <v>0.2342885311957477</v>
      </c>
      <c r="K380" t="n">
        <v>0.3563530210879741</v>
      </c>
      <c r="L380" t="b">
        <v>1</v>
      </c>
      <c r="M380" t="b">
        <v>1</v>
      </c>
      <c r="N380" t="inlineStr">
        <is>
          <t>ref</t>
        </is>
      </c>
      <c r="O380" t="n">
        <v>100</v>
      </c>
      <c r="P380" t="n">
        <v>0.0004387</v>
      </c>
      <c r="Q380" t="n">
        <v>100</v>
      </c>
      <c r="R380" t="n">
        <v>0.03662</v>
      </c>
      <c r="S380">
        <f>IMAGE("https://mitra.stanford.edu/kundaje/oak/projects/neuro-variants/variant_position/credible/roussos_2024/variant_figures/roussos_2024.adolescence.GLU/rs10822098_count_position.png",4,220,900)</f>
        <v/>
      </c>
      <c r="T380">
        <f>IMAGE("https://mitra.stanford.edu/kundaje/oak/projects/neuro-variants/variant_position/credible/roussos_2024/variant_figures/roussos_2024.adolescence.GLU/rs10822098_profile_position.png",4,220,900)</f>
        <v/>
      </c>
    </row>
    <row r="381">
      <c r="A381" t="inlineStr">
        <is>
          <t>chr10</t>
        </is>
      </c>
      <c r="B381" t="n">
        <v>62960604</v>
      </c>
      <c r="C381" t="inlineStr">
        <is>
          <t>C</t>
        </is>
      </c>
      <c r="D381" t="inlineStr">
        <is>
          <t>T</t>
        </is>
      </c>
      <c r="E381" t="inlineStr">
        <is>
          <t>rs10761684</t>
        </is>
      </c>
      <c r="F381" t="n">
        <v>0.0169266895999999</v>
      </c>
      <c r="G381" t="n">
        <v>0.3366947435302357</v>
      </c>
      <c r="H381" t="n">
        <v>0.0089584670429307</v>
      </c>
      <c r="I381" t="n">
        <v>0.6232296030191048</v>
      </c>
      <c r="J381" t="n">
        <v>0.1639853969750876</v>
      </c>
      <c r="K381" t="n">
        <v>0.4523491525458046</v>
      </c>
      <c r="L381" t="b">
        <v>0</v>
      </c>
      <c r="M381" t="b">
        <v>0</v>
      </c>
      <c r="N381" t="inlineStr">
        <is>
          <t>alt</t>
        </is>
      </c>
      <c r="O381" t="n">
        <v>-95</v>
      </c>
      <c r="P381" t="n">
        <v>0.01059</v>
      </c>
      <c r="Q381" t="n">
        <v>-50</v>
      </c>
      <c r="R381" t="n">
        <v>0.04236</v>
      </c>
      <c r="S381">
        <f>IMAGE("https://mitra.stanford.edu/kundaje/oak/projects/neuro-variants/variant_position/credible/roussos_2024/variant_figures/roussos_2024.adolescence.GLU/rs10761684_count_position.png",4,220,900)</f>
        <v/>
      </c>
      <c r="T381">
        <f>IMAGE("https://mitra.stanford.edu/kundaje/oak/projects/neuro-variants/variant_position/credible/roussos_2024/variant_figures/roussos_2024.adolescence.GLU/rs10761684_profile_position.png",4,220,900)</f>
        <v/>
      </c>
    </row>
    <row r="382">
      <c r="A382" t="inlineStr">
        <is>
          <t>chr10</t>
        </is>
      </c>
      <c r="B382" t="n">
        <v>62988546</v>
      </c>
      <c r="C382" t="inlineStr">
        <is>
          <t>A</t>
        </is>
      </c>
      <c r="D382" t="inlineStr">
        <is>
          <t>G</t>
        </is>
      </c>
      <c r="E382" t="inlineStr">
        <is>
          <t>rs73300318</t>
        </is>
      </c>
      <c r="F382" t="n">
        <v>0.0172522534</v>
      </c>
      <c r="G382" t="n">
        <v>0.3319057688605925</v>
      </c>
      <c r="H382" t="n">
        <v>0.0117700859421082</v>
      </c>
      <c r="I382" t="n">
        <v>0.3430049967809073</v>
      </c>
      <c r="J382" t="n">
        <v>0.0870880396653592</v>
      </c>
      <c r="K382" t="n">
        <v>0.5946510289331951</v>
      </c>
      <c r="L382" t="b">
        <v>0</v>
      </c>
      <c r="M382" t="b">
        <v>0</v>
      </c>
      <c r="N382" t="inlineStr">
        <is>
          <t>alt</t>
        </is>
      </c>
      <c r="O382" t="n">
        <v>65</v>
      </c>
      <c r="P382" t="n">
        <v>0.0165</v>
      </c>
      <c r="Q382" t="n">
        <v>100</v>
      </c>
      <c r="R382" t="n">
        <v>0.05273</v>
      </c>
      <c r="S382">
        <f>IMAGE("https://mitra.stanford.edu/kundaje/oak/projects/neuro-variants/variant_position/credible/roussos_2024/variant_figures/roussos_2024.adolescence.GLU/rs73300318_count_position.png",4,220,900)</f>
        <v/>
      </c>
      <c r="T382">
        <f>IMAGE("https://mitra.stanford.edu/kundaje/oak/projects/neuro-variants/variant_position/credible/roussos_2024/variant_figures/roussos_2024.adolescence.GLU/rs73300318_profile_position.png",4,220,900)</f>
        <v/>
      </c>
    </row>
    <row r="383">
      <c r="A383" t="inlineStr">
        <is>
          <t>chr10</t>
        </is>
      </c>
      <c r="B383" t="n">
        <v>62998737</v>
      </c>
      <c r="C383" t="inlineStr">
        <is>
          <t>T</t>
        </is>
      </c>
      <c r="D383" t="inlineStr">
        <is>
          <t>C</t>
        </is>
      </c>
      <c r="E383" t="inlineStr">
        <is>
          <t>rs10995385</t>
        </is>
      </c>
      <c r="F383" t="n">
        <v>-0.000801425734</v>
      </c>
      <c r="G383" t="n">
        <v>0.8111167910836109</v>
      </c>
      <c r="H383" t="n">
        <v>0.007705762470493</v>
      </c>
      <c r="I383" t="n">
        <v>0.827438480398365</v>
      </c>
      <c r="J383" t="n">
        <v>0.08262568674939801</v>
      </c>
      <c r="K383" t="n">
        <v>0.615538157002713</v>
      </c>
      <c r="L383" t="b">
        <v>0</v>
      </c>
      <c r="M383" t="b">
        <v>0</v>
      </c>
      <c r="N383" t="inlineStr">
        <is>
          <t>ref</t>
        </is>
      </c>
      <c r="O383" t="n">
        <v>85</v>
      </c>
      <c r="P383" t="n">
        <v>0.006557</v>
      </c>
      <c r="Q383" t="n">
        <v>-85</v>
      </c>
      <c r="R383" t="n">
        <v>0.04694</v>
      </c>
      <c r="S383">
        <f>IMAGE("https://mitra.stanford.edu/kundaje/oak/projects/neuro-variants/variant_position/credible/roussos_2024/variant_figures/roussos_2024.adolescence.GLU/rs10995385_count_position.png",4,220,900)</f>
        <v/>
      </c>
      <c r="T383">
        <f>IMAGE("https://mitra.stanford.edu/kundaje/oak/projects/neuro-variants/variant_position/credible/roussos_2024/variant_figures/roussos_2024.adolescence.GLU/rs10995385_profile_position.png",4,220,900)</f>
        <v/>
      </c>
    </row>
    <row r="384">
      <c r="A384" t="inlineStr">
        <is>
          <t>chr10</t>
        </is>
      </c>
      <c r="B384" t="n">
        <v>63090314</v>
      </c>
      <c r="C384" t="inlineStr">
        <is>
          <t>C</t>
        </is>
      </c>
      <c r="D384" t="inlineStr">
        <is>
          <t>T</t>
        </is>
      </c>
      <c r="E384" t="inlineStr">
        <is>
          <t>rs113899647</t>
        </is>
      </c>
      <c r="F384" t="n">
        <v>-0.0467090876</v>
      </c>
      <c r="G384" t="n">
        <v>0.07906591996708701</v>
      </c>
      <c r="H384" t="n">
        <v>0.0143809751256765</v>
      </c>
      <c r="I384" t="n">
        <v>0.1903551698281611</v>
      </c>
      <c r="J384" t="n">
        <v>0.088292574890513</v>
      </c>
      <c r="K384" t="n">
        <v>0.5993298492912268</v>
      </c>
      <c r="L384" t="b">
        <v>0</v>
      </c>
      <c r="M384" t="b">
        <v>0</v>
      </c>
      <c r="N384" t="inlineStr">
        <is>
          <t>ref</t>
        </is>
      </c>
      <c r="O384" t="n">
        <v>35</v>
      </c>
      <c r="P384" t="n">
        <v>0.005585</v>
      </c>
      <c r="Q384" t="n">
        <v>60</v>
      </c>
      <c r="R384" t="n">
        <v>0.03802</v>
      </c>
      <c r="S384">
        <f>IMAGE("https://mitra.stanford.edu/kundaje/oak/projects/neuro-variants/variant_position/credible/roussos_2024/variant_figures/roussos_2024.adolescence.GLU/rs113899647_count_position.png",4,220,900)</f>
        <v/>
      </c>
      <c r="T384">
        <f>IMAGE("https://mitra.stanford.edu/kundaje/oak/projects/neuro-variants/variant_position/credible/roussos_2024/variant_figures/roussos_2024.adolescence.GLU/rs113899647_profile_position.png",4,220,900)</f>
        <v/>
      </c>
    </row>
    <row r="385">
      <c r="A385" t="inlineStr">
        <is>
          <t>chr10</t>
        </is>
      </c>
      <c r="B385" t="n">
        <v>63115969</v>
      </c>
      <c r="C385" t="inlineStr">
        <is>
          <t>G</t>
        </is>
      </c>
      <c r="D385" t="inlineStr">
        <is>
          <t>T</t>
        </is>
      </c>
      <c r="E385" t="inlineStr">
        <is>
          <t>rs59113396</t>
        </is>
      </c>
      <c r="F385" t="n">
        <v>-0.0121805166</v>
      </c>
      <c r="G385" t="n">
        <v>0.4828093406237524</v>
      </c>
      <c r="H385" t="n">
        <v>0.0092909185803258</v>
      </c>
      <c r="I385" t="n">
        <v>0.5946272134811029</v>
      </c>
      <c r="J385" t="n">
        <v>0.0834187081609761</v>
      </c>
      <c r="K385" t="n">
        <v>0.6147290466392655</v>
      </c>
      <c r="L385" t="b">
        <v>0</v>
      </c>
      <c r="M385" t="b">
        <v>0</v>
      </c>
      <c r="N385" t="inlineStr">
        <is>
          <t>ref</t>
        </is>
      </c>
      <c r="O385" t="n">
        <v>-95</v>
      </c>
      <c r="P385" t="n">
        <v>0.00727</v>
      </c>
      <c r="Q385" t="n">
        <v>-95</v>
      </c>
      <c r="R385" t="n">
        <v>0.05957</v>
      </c>
      <c r="S385">
        <f>IMAGE("https://mitra.stanford.edu/kundaje/oak/projects/neuro-variants/variant_position/credible/roussos_2024/variant_figures/roussos_2024.adolescence.GLU/rs59113396_count_position.png",4,220,900)</f>
        <v/>
      </c>
      <c r="T385">
        <f>IMAGE("https://mitra.stanford.edu/kundaje/oak/projects/neuro-variants/variant_position/credible/roussos_2024/variant_figures/roussos_2024.adolescence.GLU/rs59113396_profile_position.png",4,220,900)</f>
        <v/>
      </c>
    </row>
    <row r="386">
      <c r="A386" t="inlineStr">
        <is>
          <t>chr10</t>
        </is>
      </c>
      <c r="B386" t="n">
        <v>63154433</v>
      </c>
      <c r="C386" t="inlineStr">
        <is>
          <t>T</t>
        </is>
      </c>
      <c r="D386" t="inlineStr">
        <is>
          <t>C</t>
        </is>
      </c>
      <c r="E386" t="inlineStr">
        <is>
          <t>rs16918239</t>
        </is>
      </c>
      <c r="F386" t="n">
        <v>-0.0460957698</v>
      </c>
      <c r="G386" t="n">
        <v>0.0824481144956397</v>
      </c>
      <c r="H386" t="n">
        <v>0.0218791843488123</v>
      </c>
      <c r="I386" t="n">
        <v>0.0386882777859859</v>
      </c>
      <c r="J386" t="n">
        <v>0.2932750355430767</v>
      </c>
      <c r="K386" t="n">
        <v>0.2790592680742203</v>
      </c>
      <c r="L386" t="b">
        <v>0</v>
      </c>
      <c r="M386" t="b">
        <v>0</v>
      </c>
      <c r="N386" t="inlineStr">
        <is>
          <t>ref</t>
        </is>
      </c>
      <c r="O386" t="n">
        <v>-35</v>
      </c>
      <c r="P386" t="n">
        <v>0.006454</v>
      </c>
      <c r="Q386" t="n">
        <v>-40</v>
      </c>
      <c r="R386" t="n">
        <v>0.0409</v>
      </c>
      <c r="S386">
        <f>IMAGE("https://mitra.stanford.edu/kundaje/oak/projects/neuro-variants/variant_position/credible/roussos_2024/variant_figures/roussos_2024.adolescence.GLU/rs16918239_count_position.png",4,220,900)</f>
        <v/>
      </c>
      <c r="T386">
        <f>IMAGE("https://mitra.stanford.edu/kundaje/oak/projects/neuro-variants/variant_position/credible/roussos_2024/variant_figures/roussos_2024.adolescence.GLU/rs16918239_profile_position.png",4,220,900)</f>
        <v/>
      </c>
    </row>
    <row r="387">
      <c r="A387" t="inlineStr">
        <is>
          <t>chr10</t>
        </is>
      </c>
      <c r="B387" t="n">
        <v>63171485</v>
      </c>
      <c r="C387" t="inlineStr">
        <is>
          <t>C</t>
        </is>
      </c>
      <c r="D387" t="inlineStr">
        <is>
          <t>T</t>
        </is>
      </c>
      <c r="E387" t="inlineStr">
        <is>
          <t>rs74557321</t>
        </is>
      </c>
      <c r="F387" t="n">
        <v>-0.043567556</v>
      </c>
      <c r="G387" t="n">
        <v>0.097201487920191</v>
      </c>
      <c r="H387" t="n">
        <v>0.0129320192110706</v>
      </c>
      <c r="I387" t="n">
        <v>0.2732749494420238</v>
      </c>
      <c r="J387" t="n">
        <v>0.0939108815397474</v>
      </c>
      <c r="K387" t="n">
        <v>0.5887240224698504</v>
      </c>
      <c r="L387" t="b">
        <v>0</v>
      </c>
      <c r="M387" t="b">
        <v>0</v>
      </c>
      <c r="N387" t="inlineStr">
        <is>
          <t>ref</t>
        </is>
      </c>
      <c r="O387" t="n">
        <v>45</v>
      </c>
      <c r="P387" t="n">
        <v>0.00464</v>
      </c>
      <c r="Q387" t="n">
        <v>-75</v>
      </c>
      <c r="R387" t="n">
        <v>0.04614</v>
      </c>
      <c r="S387">
        <f>IMAGE("https://mitra.stanford.edu/kundaje/oak/projects/neuro-variants/variant_position/credible/roussos_2024/variant_figures/roussos_2024.adolescence.GLU/rs74557321_count_position.png",4,220,900)</f>
        <v/>
      </c>
      <c r="T387">
        <f>IMAGE("https://mitra.stanford.edu/kundaje/oak/projects/neuro-variants/variant_position/credible/roussos_2024/variant_figures/roussos_2024.adolescence.GLU/rs74557321_profile_position.png",4,220,900)</f>
        <v/>
      </c>
    </row>
    <row r="388">
      <c r="A388" t="inlineStr">
        <is>
          <t>chr10</t>
        </is>
      </c>
      <c r="B388" t="n">
        <v>63174840</v>
      </c>
      <c r="C388" t="inlineStr">
        <is>
          <t>A</t>
        </is>
      </c>
      <c r="D388" t="inlineStr">
        <is>
          <t>C</t>
        </is>
      </c>
      <c r="E388" t="inlineStr">
        <is>
          <t>rs112637649</t>
        </is>
      </c>
      <c r="F388" t="n">
        <v>0.0038093753679999</v>
      </c>
      <c r="G388" t="n">
        <v>0.7586321127838104</v>
      </c>
      <c r="H388" t="n">
        <v>0.0289081849831144</v>
      </c>
      <c r="I388" t="n">
        <v>0.009750868670385099</v>
      </c>
      <c r="J388" t="n">
        <v>0.0259239413878588</v>
      </c>
      <c r="K388" t="n">
        <v>0.7876124490014503</v>
      </c>
      <c r="L388" t="b">
        <v>1</v>
      </c>
      <c r="M388" t="b">
        <v>0</v>
      </c>
      <c r="N388" t="inlineStr">
        <is>
          <t>alt</t>
        </is>
      </c>
      <c r="O388" t="n">
        <v>-55</v>
      </c>
      <c r="P388" t="n">
        <v>0.013916</v>
      </c>
      <c r="Q388" t="n">
        <v>-75</v>
      </c>
      <c r="R388" t="n">
        <v>0.04907</v>
      </c>
      <c r="S388">
        <f>IMAGE("https://mitra.stanford.edu/kundaje/oak/projects/neuro-variants/variant_position/credible/roussos_2024/variant_figures/roussos_2024.adolescence.GLU/rs112637649_count_position.png",4,220,900)</f>
        <v/>
      </c>
      <c r="T388">
        <f>IMAGE("https://mitra.stanford.edu/kundaje/oak/projects/neuro-variants/variant_position/credible/roussos_2024/variant_figures/roussos_2024.adolescence.GLU/rs112637649_profile_position.png",4,220,900)</f>
        <v/>
      </c>
    </row>
    <row r="389">
      <c r="A389" t="inlineStr">
        <is>
          <t>chr10</t>
        </is>
      </c>
      <c r="B389" t="n">
        <v>63178899</v>
      </c>
      <c r="C389" t="inlineStr">
        <is>
          <t>T</t>
        </is>
      </c>
      <c r="D389" t="inlineStr">
        <is>
          <t>C</t>
        </is>
      </c>
      <c r="E389" t="inlineStr">
        <is>
          <t>rs76032436</t>
        </is>
      </c>
      <c r="F389" t="n">
        <v>0.00175733002</v>
      </c>
      <c r="G389" t="n">
        <v>0.8302721730156336</v>
      </c>
      <c r="H389" t="n">
        <v>0.0375250767415217</v>
      </c>
      <c r="I389" t="n">
        <v>0.0035757095661687</v>
      </c>
      <c r="J389" t="n">
        <v>0.0087460974058911</v>
      </c>
      <c r="K389" t="n">
        <v>0.8926396294881759</v>
      </c>
      <c r="L389" t="b">
        <v>0</v>
      </c>
      <c r="M389" t="b">
        <v>0</v>
      </c>
      <c r="N389" t="inlineStr">
        <is>
          <t>alt</t>
        </is>
      </c>
      <c r="O389" t="n">
        <v>-90</v>
      </c>
      <c r="P389" t="n">
        <v>0.01545</v>
      </c>
      <c r="Q389" t="n">
        <v>-75</v>
      </c>
      <c r="R389" t="n">
        <v>0.05798</v>
      </c>
      <c r="S389">
        <f>IMAGE("https://mitra.stanford.edu/kundaje/oak/projects/neuro-variants/variant_position/credible/roussos_2024/variant_figures/roussos_2024.adolescence.GLU/rs76032436_count_position.png",4,220,900)</f>
        <v/>
      </c>
      <c r="T389">
        <f>IMAGE("https://mitra.stanford.edu/kundaje/oak/projects/neuro-variants/variant_position/credible/roussos_2024/variant_figures/roussos_2024.adolescence.GLU/rs76032436_profile_position.png",4,220,900)</f>
        <v/>
      </c>
    </row>
    <row r="390">
      <c r="A390" t="inlineStr">
        <is>
          <t>chr10</t>
        </is>
      </c>
      <c r="B390" t="n">
        <v>63254190</v>
      </c>
      <c r="C390" t="inlineStr">
        <is>
          <t>A</t>
        </is>
      </c>
      <c r="D390" t="inlineStr">
        <is>
          <t>C</t>
        </is>
      </c>
      <c r="E390" t="inlineStr">
        <is>
          <t>rs76460998</t>
        </is>
      </c>
      <c r="F390" t="n">
        <v>-0.004200290666</v>
      </c>
      <c r="G390" t="n">
        <v>0.780130504399827</v>
      </c>
      <c r="H390" t="n">
        <v>0.0229668560173246</v>
      </c>
      <c r="I390" t="n">
        <v>0.0304661779992778</v>
      </c>
      <c r="J390" t="n">
        <v>0.0777261004065127</v>
      </c>
      <c r="K390" t="n">
        <v>0.6261454268780461</v>
      </c>
      <c r="L390" t="b">
        <v>0</v>
      </c>
      <c r="M390" t="b">
        <v>0</v>
      </c>
      <c r="N390" t="inlineStr">
        <is>
          <t>ref</t>
        </is>
      </c>
      <c r="O390" t="n">
        <v>30</v>
      </c>
      <c r="P390" t="n">
        <v>0.00522</v>
      </c>
      <c r="Q390" t="n">
        <v>30</v>
      </c>
      <c r="R390" t="n">
        <v>0.03387</v>
      </c>
      <c r="S390">
        <f>IMAGE("https://mitra.stanford.edu/kundaje/oak/projects/neuro-variants/variant_position/credible/roussos_2024/variant_figures/roussos_2024.adolescence.GLU/rs76460998_count_position.png",4,220,900)</f>
        <v/>
      </c>
      <c r="T390">
        <f>IMAGE("https://mitra.stanford.edu/kundaje/oak/projects/neuro-variants/variant_position/credible/roussos_2024/variant_figures/roussos_2024.adolescence.GLU/rs76460998_profile_position.png",4,220,900)</f>
        <v/>
      </c>
    </row>
    <row r="391">
      <c r="A391" t="inlineStr">
        <is>
          <t>chr10</t>
        </is>
      </c>
      <c r="B391" t="n">
        <v>63293746</v>
      </c>
      <c r="C391" t="inlineStr">
        <is>
          <t>G</t>
        </is>
      </c>
      <c r="D391" t="inlineStr">
        <is>
          <t>C</t>
        </is>
      </c>
      <c r="E391" t="inlineStr">
        <is>
          <t>rs58429288</t>
        </is>
      </c>
      <c r="F391" t="n">
        <v>0.018672763</v>
      </c>
      <c r="G391" t="n">
        <v>0.3041572042734753</v>
      </c>
      <c r="H391" t="n">
        <v>0.0165579127180086</v>
      </c>
      <c r="I391" t="n">
        <v>0.1164148087618056</v>
      </c>
      <c r="J391" t="n">
        <v>0.011972480013717</v>
      </c>
      <c r="K391" t="n">
        <v>0.8692774339871718</v>
      </c>
      <c r="L391" t="b">
        <v>0</v>
      </c>
      <c r="M391" t="b">
        <v>0</v>
      </c>
      <c r="N391" t="inlineStr">
        <is>
          <t>alt</t>
        </is>
      </c>
      <c r="O391" t="n">
        <v>100</v>
      </c>
      <c r="P391" t="n">
        <v>0.007477</v>
      </c>
      <c r="Q391" t="n">
        <v>-10</v>
      </c>
      <c r="R391" t="n">
        <v>0.002502</v>
      </c>
      <c r="S391">
        <f>IMAGE("https://mitra.stanford.edu/kundaje/oak/projects/neuro-variants/variant_position/credible/roussos_2024/variant_figures/roussos_2024.adolescence.GLU/rs58429288_count_position.png",4,220,900)</f>
        <v/>
      </c>
      <c r="T391">
        <f>IMAGE("https://mitra.stanford.edu/kundaje/oak/projects/neuro-variants/variant_position/credible/roussos_2024/variant_figures/roussos_2024.adolescence.GLU/rs58429288_profile_position.png",4,220,900)</f>
        <v/>
      </c>
    </row>
    <row r="392">
      <c r="A392" t="inlineStr">
        <is>
          <t>chr10</t>
        </is>
      </c>
      <c r="B392" t="n">
        <v>63297322</v>
      </c>
      <c r="C392" t="inlineStr">
        <is>
          <t>C</t>
        </is>
      </c>
      <c r="D392" t="inlineStr">
        <is>
          <t>T</t>
        </is>
      </c>
      <c r="E392" t="inlineStr">
        <is>
          <t>rs112188494</t>
        </is>
      </c>
      <c r="F392" t="n">
        <v>-0.008043963556000001</v>
      </c>
      <c r="G392" t="n">
        <v>0.5739676091008724</v>
      </c>
      <c r="H392" t="n">
        <v>0.009565791198232801</v>
      </c>
      <c r="I392" t="n">
        <v>0.5881022071376061</v>
      </c>
      <c r="J392" t="n">
        <v>0.4256910360003143</v>
      </c>
      <c r="K392" t="n">
        <v>0.1450354024603638</v>
      </c>
      <c r="L392" t="b">
        <v>0</v>
      </c>
      <c r="M392" t="b">
        <v>0</v>
      </c>
      <c r="N392" t="inlineStr">
        <is>
          <t>ref</t>
        </is>
      </c>
      <c r="O392" t="n">
        <v>65</v>
      </c>
      <c r="P392" t="n">
        <v>0.00418</v>
      </c>
      <c r="Q392" t="n">
        <v>-95</v>
      </c>
      <c r="R392" t="n">
        <v>0.05664</v>
      </c>
      <c r="S392">
        <f>IMAGE("https://mitra.stanford.edu/kundaje/oak/projects/neuro-variants/variant_position/credible/roussos_2024/variant_figures/roussos_2024.adolescence.GLU/rs112188494_count_position.png",4,220,900)</f>
        <v/>
      </c>
      <c r="T392">
        <f>IMAGE("https://mitra.stanford.edu/kundaje/oak/projects/neuro-variants/variant_position/credible/roussos_2024/variant_figures/roussos_2024.adolescence.GLU/rs112188494_profile_position.png",4,220,900)</f>
        <v/>
      </c>
    </row>
    <row r="393">
      <c r="A393" t="inlineStr">
        <is>
          <t>chr10</t>
        </is>
      </c>
      <c r="B393" t="n">
        <v>63333623</v>
      </c>
      <c r="C393" t="inlineStr">
        <is>
          <t>C</t>
        </is>
      </c>
      <c r="D393" t="inlineStr">
        <is>
          <t>T</t>
        </is>
      </c>
      <c r="E393" t="inlineStr">
        <is>
          <t>rs78005057</t>
        </is>
      </c>
      <c r="F393" t="n">
        <v>-0.400347306</v>
      </c>
      <c r="G393" t="n">
        <v>6.487653728263777e-05</v>
      </c>
      <c r="H393" t="n">
        <v>0.1617860466922885</v>
      </c>
      <c r="I393" t="n">
        <v>2.74292252401618e-05</v>
      </c>
      <c r="J393" t="n">
        <v>0.1375056261654199</v>
      </c>
      <c r="K393" t="n">
        <v>0.496277664627787</v>
      </c>
      <c r="L393" t="b">
        <v>1</v>
      </c>
      <c r="M393" t="b">
        <v>1</v>
      </c>
      <c r="N393" t="inlineStr">
        <is>
          <t>ref</t>
        </is>
      </c>
      <c r="O393" t="n">
        <v>-85</v>
      </c>
      <c r="P393" t="n">
        <v>0.003174</v>
      </c>
      <c r="Q393" t="n">
        <v>60</v>
      </c>
      <c r="R393" t="n">
        <v>0.0227</v>
      </c>
      <c r="S393">
        <f>IMAGE("https://mitra.stanford.edu/kundaje/oak/projects/neuro-variants/variant_position/credible/roussos_2024/variant_figures/roussos_2024.adolescence.GLU/rs78005057_count_position.png",4,220,900)</f>
        <v/>
      </c>
      <c r="T393">
        <f>IMAGE("https://mitra.stanford.edu/kundaje/oak/projects/neuro-variants/variant_position/credible/roussos_2024/variant_figures/roussos_2024.adolescence.GLU/rs78005057_profile_position.png",4,220,900)</f>
        <v/>
      </c>
    </row>
    <row r="394">
      <c r="A394" t="inlineStr">
        <is>
          <t>chr10</t>
        </is>
      </c>
      <c r="B394" t="n">
        <v>64556791</v>
      </c>
      <c r="C394" t="inlineStr">
        <is>
          <t>C</t>
        </is>
      </c>
      <c r="D394" t="inlineStr">
        <is>
          <t>T</t>
        </is>
      </c>
      <c r="E394" t="inlineStr">
        <is>
          <t>rs10822313</t>
        </is>
      </c>
      <c r="F394" t="n">
        <v>-0.0202088979999999</v>
      </c>
      <c r="G394" t="n">
        <v>0.3093415874121826</v>
      </c>
      <c r="H394" t="n">
        <v>0.0103215574256298</v>
      </c>
      <c r="I394" t="n">
        <v>0.4949614046970219</v>
      </c>
      <c r="J394" t="n">
        <v>0.1710540040436947</v>
      </c>
      <c r="K394" t="n">
        <v>0.4447155793735138</v>
      </c>
      <c r="L394" t="b">
        <v>0</v>
      </c>
      <c r="M394" t="b">
        <v>0</v>
      </c>
      <c r="N394" t="inlineStr">
        <is>
          <t>ref</t>
        </is>
      </c>
      <c r="O394" t="n">
        <v>40</v>
      </c>
      <c r="P394" t="n">
        <v>0.007156</v>
      </c>
      <c r="Q394" t="n">
        <v>100</v>
      </c>
      <c r="R394" t="n">
        <v>0.07874</v>
      </c>
      <c r="S394">
        <f>IMAGE("https://mitra.stanford.edu/kundaje/oak/projects/neuro-variants/variant_position/credible/roussos_2024/variant_figures/roussos_2024.adolescence.GLU/rs10822313_count_position.png",4,220,900)</f>
        <v/>
      </c>
      <c r="T394">
        <f>IMAGE("https://mitra.stanford.edu/kundaje/oak/projects/neuro-variants/variant_position/credible/roussos_2024/variant_figures/roussos_2024.adolescence.GLU/rs10822313_profile_position.png",4,220,900)</f>
        <v/>
      </c>
    </row>
    <row r="395">
      <c r="A395" t="inlineStr">
        <is>
          <t>chr10</t>
        </is>
      </c>
      <c r="B395" t="n">
        <v>64567391</v>
      </c>
      <c r="C395" t="inlineStr">
        <is>
          <t>G</t>
        </is>
      </c>
      <c r="D395" t="inlineStr">
        <is>
          <t>A</t>
        </is>
      </c>
      <c r="E395" t="inlineStr">
        <is>
          <t>rs3999058</t>
        </is>
      </c>
      <c r="F395" t="n">
        <v>-0.072865846</v>
      </c>
      <c r="G395" t="n">
        <v>0.0245773338838906</v>
      </c>
      <c r="H395" t="n">
        <v>0.01827951842501</v>
      </c>
      <c r="I395" t="n">
        <v>0.0781222325422686</v>
      </c>
      <c r="J395" t="n">
        <v>0.4912403283537304</v>
      </c>
      <c r="K395" t="n">
        <v>0.0955673936215951</v>
      </c>
      <c r="L395" t="b">
        <v>0</v>
      </c>
      <c r="M395" t="b">
        <v>0</v>
      </c>
      <c r="N395" t="inlineStr">
        <is>
          <t>ref</t>
        </is>
      </c>
      <c r="O395" t="n">
        <v>55</v>
      </c>
      <c r="P395" t="n">
        <v>0.007446</v>
      </c>
      <c r="Q395" t="n">
        <v>-30</v>
      </c>
      <c r="R395" t="n">
        <v>0.01196</v>
      </c>
      <c r="S395">
        <f>IMAGE("https://mitra.stanford.edu/kundaje/oak/projects/neuro-variants/variant_position/credible/roussos_2024/variant_figures/roussos_2024.adolescence.GLU/rs3999058_count_position.png",4,220,900)</f>
        <v/>
      </c>
      <c r="T395">
        <f>IMAGE("https://mitra.stanford.edu/kundaje/oak/projects/neuro-variants/variant_position/credible/roussos_2024/variant_figures/roussos_2024.adolescence.GLU/rs3999058_profile_position.png",4,220,900)</f>
        <v/>
      </c>
    </row>
    <row r="396">
      <c r="A396" t="inlineStr">
        <is>
          <t>chr10</t>
        </is>
      </c>
      <c r="B396" t="n">
        <v>64567820</v>
      </c>
      <c r="C396" t="inlineStr">
        <is>
          <t>G</t>
        </is>
      </c>
      <c r="D396" t="inlineStr">
        <is>
          <t>A</t>
        </is>
      </c>
      <c r="E396" t="inlineStr">
        <is>
          <t>rs2394090</t>
        </is>
      </c>
      <c r="F396" t="n">
        <v>-0.09425088500000001</v>
      </c>
      <c r="G396" t="n">
        <v>0.0114676177688339</v>
      </c>
      <c r="H396" t="n">
        <v>0.0225020177634977</v>
      </c>
      <c r="I396" t="n">
        <v>0.0363498576087973</v>
      </c>
      <c r="J396" t="n">
        <v>0.3475977166698816</v>
      </c>
      <c r="K396" t="n">
        <v>0.2182767717542248</v>
      </c>
      <c r="L396" t="b">
        <v>1</v>
      </c>
      <c r="M396" t="b">
        <v>0</v>
      </c>
      <c r="N396" t="inlineStr">
        <is>
          <t>ref</t>
        </is>
      </c>
      <c r="O396" t="n">
        <v>-100</v>
      </c>
      <c r="P396" t="n">
        <v>0.012085</v>
      </c>
      <c r="Q396" t="n">
        <v>20</v>
      </c>
      <c r="R396" t="n">
        <v>0.01782</v>
      </c>
      <c r="S396">
        <f>IMAGE("https://mitra.stanford.edu/kundaje/oak/projects/neuro-variants/variant_position/credible/roussos_2024/variant_figures/roussos_2024.adolescence.GLU/rs2394090_count_position.png",4,220,900)</f>
        <v/>
      </c>
      <c r="T396">
        <f>IMAGE("https://mitra.stanford.edu/kundaje/oak/projects/neuro-variants/variant_position/credible/roussos_2024/variant_figures/roussos_2024.adolescence.GLU/rs2394090_profile_position.png",4,220,900)</f>
        <v/>
      </c>
    </row>
    <row r="397">
      <c r="A397" t="inlineStr">
        <is>
          <t>chr10</t>
        </is>
      </c>
      <c r="B397" t="n">
        <v>64573330</v>
      </c>
      <c r="C397" t="inlineStr">
        <is>
          <t>C</t>
        </is>
      </c>
      <c r="D397" t="inlineStr">
        <is>
          <t>T</t>
        </is>
      </c>
      <c r="E397" t="inlineStr">
        <is>
          <t>rs10822315</t>
        </is>
      </c>
      <c r="F397" t="n">
        <v>-0.0555534994</v>
      </c>
      <c r="G397" t="n">
        <v>0.0517308170653391</v>
      </c>
      <c r="H397" t="n">
        <v>0.0129502699246972</v>
      </c>
      <c r="I397" t="n">
        <v>0.2830571183827482</v>
      </c>
      <c r="J397" t="n">
        <v>0.0146001671774867</v>
      </c>
      <c r="K397" t="n">
        <v>0.8469882643218326</v>
      </c>
      <c r="L397" t="b">
        <v>0</v>
      </c>
      <c r="M397" t="b">
        <v>0</v>
      </c>
      <c r="N397" t="inlineStr">
        <is>
          <t>ref</t>
        </is>
      </c>
      <c r="O397" t="n">
        <v>100</v>
      </c>
      <c r="P397" t="n">
        <v>0.01285</v>
      </c>
      <c r="Q397" t="n">
        <v>100</v>
      </c>
      <c r="R397" t="n">
        <v>0.04236</v>
      </c>
      <c r="S397">
        <f>IMAGE("https://mitra.stanford.edu/kundaje/oak/projects/neuro-variants/variant_position/credible/roussos_2024/variant_figures/roussos_2024.adolescence.GLU/rs10822315_count_position.png",4,220,900)</f>
        <v/>
      </c>
      <c r="T397">
        <f>IMAGE("https://mitra.stanford.edu/kundaje/oak/projects/neuro-variants/variant_position/credible/roussos_2024/variant_figures/roussos_2024.adolescence.GLU/rs10822315_profile_position.png",4,220,900)</f>
        <v/>
      </c>
    </row>
    <row r="398">
      <c r="A398" t="inlineStr">
        <is>
          <t>chr10</t>
        </is>
      </c>
      <c r="B398" t="n">
        <v>64577039</v>
      </c>
      <c r="C398" t="inlineStr">
        <is>
          <t>C</t>
        </is>
      </c>
      <c r="D398" t="inlineStr">
        <is>
          <t>T</t>
        </is>
      </c>
      <c r="E398" t="inlineStr">
        <is>
          <t>rs56023698</t>
        </is>
      </c>
      <c r="F398" t="n">
        <v>-0.0583055902</v>
      </c>
      <c r="G398" t="n">
        <v>0.0457352269746058</v>
      </c>
      <c r="H398" t="n">
        <v>0.010464009604076</v>
      </c>
      <c r="I398" t="n">
        <v>0.4626123772102077</v>
      </c>
      <c r="J398" t="n">
        <v>0.4517478620571403</v>
      </c>
      <c r="K398" t="n">
        <v>0.1232566940465363</v>
      </c>
      <c r="L398" t="b">
        <v>0</v>
      </c>
      <c r="M398" t="b">
        <v>0</v>
      </c>
      <c r="N398" t="inlineStr">
        <is>
          <t>ref</t>
        </is>
      </c>
      <c r="O398" t="n">
        <v>-70</v>
      </c>
      <c r="P398" t="n">
        <v>0.001598</v>
      </c>
      <c r="Q398" t="n">
        <v>-20</v>
      </c>
      <c r="R398" t="n">
        <v>0.02646</v>
      </c>
      <c r="S398">
        <f>IMAGE("https://mitra.stanford.edu/kundaje/oak/projects/neuro-variants/variant_position/credible/roussos_2024/variant_figures/roussos_2024.adolescence.GLU/rs56023698_count_position.png",4,220,900)</f>
        <v/>
      </c>
      <c r="T398">
        <f>IMAGE("https://mitra.stanford.edu/kundaje/oak/projects/neuro-variants/variant_position/credible/roussos_2024/variant_figures/roussos_2024.adolescence.GLU/rs56023698_profile_position.png",4,220,900)</f>
        <v/>
      </c>
    </row>
    <row r="399">
      <c r="A399" t="inlineStr">
        <is>
          <t>chr10</t>
        </is>
      </c>
      <c r="B399" t="n">
        <v>90992214</v>
      </c>
      <c r="C399" t="inlineStr">
        <is>
          <t>A</t>
        </is>
      </c>
      <c r="D399" t="inlineStr">
        <is>
          <t>G</t>
        </is>
      </c>
      <c r="E399" t="inlineStr">
        <is>
          <t>rs76523509</t>
        </is>
      </c>
      <c r="F399" t="n">
        <v>0.0121626030999999</v>
      </c>
      <c r="G399" t="n">
        <v>0.4399572657163086</v>
      </c>
      <c r="H399" t="n">
        <v>0.0170092317832199</v>
      </c>
      <c r="I399" t="n">
        <v>0.0990907127198202</v>
      </c>
      <c r="J399" t="n">
        <v>0.0049953204592379</v>
      </c>
      <c r="K399" t="n">
        <v>0.9239643479858368</v>
      </c>
      <c r="L399" t="b">
        <v>0</v>
      </c>
      <c r="M399" t="b">
        <v>0</v>
      </c>
      <c r="N399" t="inlineStr">
        <is>
          <t>alt</t>
        </is>
      </c>
      <c r="O399" t="n">
        <v>-95</v>
      </c>
      <c r="P399" t="n">
        <v>0.00682</v>
      </c>
      <c r="Q399" t="n">
        <v>-5</v>
      </c>
      <c r="R399" t="n">
        <v>0.0008125</v>
      </c>
      <c r="S399">
        <f>IMAGE("https://mitra.stanford.edu/kundaje/oak/projects/neuro-variants/variant_position/credible/roussos_2024/variant_figures/roussos_2024.adolescence.GLU/rs76523509_count_position.png",4,220,900)</f>
        <v/>
      </c>
      <c r="T399">
        <f>IMAGE("https://mitra.stanford.edu/kundaje/oak/projects/neuro-variants/variant_position/credible/roussos_2024/variant_figures/roussos_2024.adolescence.GLU/rs76523509_profile_position.png",4,220,900)</f>
        <v/>
      </c>
    </row>
    <row r="400">
      <c r="A400" t="inlineStr">
        <is>
          <t>chr10</t>
        </is>
      </c>
      <c r="B400" t="n">
        <v>91029521</v>
      </c>
      <c r="C400" t="inlineStr">
        <is>
          <t>G</t>
        </is>
      </c>
      <c r="D400" t="inlineStr">
        <is>
          <t>A</t>
        </is>
      </c>
      <c r="E400" t="inlineStr">
        <is>
          <t>rs60020658</t>
        </is>
      </c>
      <c r="F400" t="n">
        <v>-0.01082409912</v>
      </c>
      <c r="G400" t="n">
        <v>0.4981694342185904</v>
      </c>
      <c r="H400" t="n">
        <v>0.0099079403176665</v>
      </c>
      <c r="I400" t="n">
        <v>0.5468917921675029</v>
      </c>
      <c r="J400" t="n">
        <v>0.0311435940301919</v>
      </c>
      <c r="K400" t="n">
        <v>0.7677928744836173</v>
      </c>
      <c r="L400" t="b">
        <v>0</v>
      </c>
      <c r="M400" t="b">
        <v>0</v>
      </c>
      <c r="N400" t="inlineStr">
        <is>
          <t>ref</t>
        </is>
      </c>
      <c r="O400" t="n">
        <v>80</v>
      </c>
      <c r="P400" t="n">
        <v>0.00383</v>
      </c>
      <c r="Q400" t="n">
        <v>-100</v>
      </c>
      <c r="R400" t="n">
        <v>0.0544</v>
      </c>
      <c r="S400">
        <f>IMAGE("https://mitra.stanford.edu/kundaje/oak/projects/neuro-variants/variant_position/credible/roussos_2024/variant_figures/roussos_2024.adolescence.GLU/rs60020658_count_position.png",4,220,900)</f>
        <v/>
      </c>
      <c r="T400">
        <f>IMAGE("https://mitra.stanford.edu/kundaje/oak/projects/neuro-variants/variant_position/credible/roussos_2024/variant_figures/roussos_2024.adolescence.GLU/rs60020658_profile_position.png",4,220,900)</f>
        <v/>
      </c>
    </row>
    <row r="401">
      <c r="A401" t="inlineStr">
        <is>
          <t>chr10</t>
        </is>
      </c>
      <c r="B401" t="n">
        <v>102490997</v>
      </c>
      <c r="C401" t="inlineStr">
        <is>
          <t>A</t>
        </is>
      </c>
      <c r="D401" t="inlineStr">
        <is>
          <t>C</t>
        </is>
      </c>
      <c r="E401" t="inlineStr">
        <is>
          <t>rs4919647</t>
        </is>
      </c>
      <c r="F401" t="n">
        <v>-0.0070837353039999</v>
      </c>
      <c r="G401" t="n">
        <v>0.6437617476458237</v>
      </c>
      <c r="H401" t="n">
        <v>0.0296119209947143</v>
      </c>
      <c r="I401" t="n">
        <v>0.0086404419982274</v>
      </c>
      <c r="J401" t="n">
        <v>0.1811689564266883</v>
      </c>
      <c r="K401" t="n">
        <v>0.4315453640160379</v>
      </c>
      <c r="L401" t="b">
        <v>1</v>
      </c>
      <c r="M401" t="b">
        <v>1</v>
      </c>
      <c r="N401" t="inlineStr">
        <is>
          <t>ref</t>
        </is>
      </c>
      <c r="O401" t="n">
        <v>100</v>
      </c>
      <c r="P401" t="n">
        <v>0.00797</v>
      </c>
      <c r="Q401" t="n">
        <v>50</v>
      </c>
      <c r="R401" t="n">
        <v>0.013916</v>
      </c>
      <c r="S401">
        <f>IMAGE("https://mitra.stanford.edu/kundaje/oak/projects/neuro-variants/variant_position/credible/roussos_2024/variant_figures/roussos_2024.adolescence.GLU/rs4919647_count_position.png",4,220,900)</f>
        <v/>
      </c>
      <c r="T401">
        <f>IMAGE("https://mitra.stanford.edu/kundaje/oak/projects/neuro-variants/variant_position/credible/roussos_2024/variant_figures/roussos_2024.adolescence.GLU/rs4919647_profile_position.png",4,220,900)</f>
        <v/>
      </c>
    </row>
    <row r="402">
      <c r="A402" t="inlineStr">
        <is>
          <t>chr10</t>
        </is>
      </c>
      <c r="B402" t="n">
        <v>102514400</v>
      </c>
      <c r="C402" t="inlineStr">
        <is>
          <t>C</t>
        </is>
      </c>
      <c r="D402" t="inlineStr">
        <is>
          <t>A</t>
        </is>
      </c>
      <c r="E402" t="inlineStr">
        <is>
          <t>rs4919652</t>
        </is>
      </c>
      <c r="F402" t="n">
        <v>0.0162270738</v>
      </c>
      <c r="G402" t="n">
        <v>0.3398979542722549</v>
      </c>
      <c r="H402" t="n">
        <v>0.0211928079241711</v>
      </c>
      <c r="I402" t="n">
        <v>0.0461408871555468</v>
      </c>
      <c r="J402" t="n">
        <v>0.29826606940009</v>
      </c>
      <c r="K402" t="n">
        <v>0.273342342547643</v>
      </c>
      <c r="L402" t="b">
        <v>0</v>
      </c>
      <c r="M402" t="b">
        <v>0</v>
      </c>
      <c r="N402" t="inlineStr">
        <is>
          <t>alt</t>
        </is>
      </c>
      <c r="O402" t="n">
        <v>55</v>
      </c>
      <c r="P402" t="n">
        <v>0.004974</v>
      </c>
      <c r="Q402" t="n">
        <v>-100</v>
      </c>
      <c r="R402" t="n">
        <v>0.1244</v>
      </c>
      <c r="S402">
        <f>IMAGE("https://mitra.stanford.edu/kundaje/oak/projects/neuro-variants/variant_position/credible/roussos_2024/variant_figures/roussos_2024.adolescence.GLU/rs4919652_count_position.png",4,220,900)</f>
        <v/>
      </c>
      <c r="T402">
        <f>IMAGE("https://mitra.stanford.edu/kundaje/oak/projects/neuro-variants/variant_position/credible/roussos_2024/variant_figures/roussos_2024.adolescence.GLU/rs4919652_profile_position.png",4,220,900)</f>
        <v/>
      </c>
    </row>
    <row r="403">
      <c r="A403" t="inlineStr">
        <is>
          <t>chr10</t>
        </is>
      </c>
      <c r="B403" t="n">
        <v>102520907</v>
      </c>
      <c r="C403" t="inlineStr">
        <is>
          <t>G</t>
        </is>
      </c>
      <c r="D403" t="inlineStr">
        <is>
          <t>A</t>
        </is>
      </c>
      <c r="E403" t="inlineStr">
        <is>
          <t>rs2145307</t>
        </is>
      </c>
      <c r="F403" t="n">
        <v>-0.0227721386</v>
      </c>
      <c r="G403" t="n">
        <v>0.2627893595188681</v>
      </c>
      <c r="H403" t="n">
        <v>0.0139651340924434</v>
      </c>
      <c r="I403" t="n">
        <v>0.2111132399440344</v>
      </c>
      <c r="J403" t="n">
        <v>0.1374156075187002</v>
      </c>
      <c r="K403" t="n">
        <v>0.5033653802229017</v>
      </c>
      <c r="L403" t="b">
        <v>0</v>
      </c>
      <c r="M403" t="b">
        <v>0</v>
      </c>
      <c r="N403" t="inlineStr">
        <is>
          <t>ref</t>
        </is>
      </c>
      <c r="O403" t="n">
        <v>-40</v>
      </c>
      <c r="P403" t="n">
        <v>0.001902</v>
      </c>
      <c r="Q403" t="n">
        <v>-65</v>
      </c>
      <c r="R403" t="n">
        <v>0.011826</v>
      </c>
      <c r="S403">
        <f>IMAGE("https://mitra.stanford.edu/kundaje/oak/projects/neuro-variants/variant_position/credible/roussos_2024/variant_figures/roussos_2024.adolescence.GLU/rs2145307_count_position.png",4,220,900)</f>
        <v/>
      </c>
      <c r="T403">
        <f>IMAGE("https://mitra.stanford.edu/kundaje/oak/projects/neuro-variants/variant_position/credible/roussos_2024/variant_figures/roussos_2024.adolescence.GLU/rs2145307_profile_position.png",4,220,900)</f>
        <v/>
      </c>
    </row>
    <row r="404">
      <c r="A404" t="inlineStr">
        <is>
          <t>chr10</t>
        </is>
      </c>
      <c r="B404" t="n">
        <v>102575065</v>
      </c>
      <c r="C404" t="inlineStr">
        <is>
          <t>A</t>
        </is>
      </c>
      <c r="D404" t="inlineStr">
        <is>
          <t>C</t>
        </is>
      </c>
      <c r="E404" t="inlineStr">
        <is>
          <t>rs10883740</t>
        </is>
      </c>
      <c r="F404" t="n">
        <v>-0.0050729882599999</v>
      </c>
      <c r="G404" t="n">
        <v>0.6589712552154626</v>
      </c>
      <c r="H404" t="n">
        <v>0.0393079002472205</v>
      </c>
      <c r="I404" t="n">
        <v>0.0028712950826097</v>
      </c>
      <c r="J404" t="n">
        <v>0.0548213558522836</v>
      </c>
      <c r="K404" t="n">
        <v>0.6855516586905259</v>
      </c>
      <c r="L404" t="b">
        <v>1</v>
      </c>
      <c r="M404" t="b">
        <v>1</v>
      </c>
      <c r="N404" t="inlineStr">
        <is>
          <t>ref</t>
        </is>
      </c>
      <c r="O404" t="n">
        <v>75</v>
      </c>
      <c r="P404" t="n">
        <v>0.01843</v>
      </c>
      <c r="Q404" t="n">
        <v>90</v>
      </c>
      <c r="R404" t="n">
        <v>0.04907</v>
      </c>
      <c r="S404">
        <f>IMAGE("https://mitra.stanford.edu/kundaje/oak/projects/neuro-variants/variant_position/credible/roussos_2024/variant_figures/roussos_2024.adolescence.GLU/rs10883740_count_position.png",4,220,900)</f>
        <v/>
      </c>
      <c r="T404">
        <f>IMAGE("https://mitra.stanford.edu/kundaje/oak/projects/neuro-variants/variant_position/credible/roussos_2024/variant_figures/roussos_2024.adolescence.GLU/rs10883740_profile_position.png",4,220,900)</f>
        <v/>
      </c>
    </row>
    <row r="405">
      <c r="A405" t="inlineStr">
        <is>
          <t>chr10</t>
        </is>
      </c>
      <c r="B405" t="n">
        <v>102624580</v>
      </c>
      <c r="C405" t="inlineStr">
        <is>
          <t>A</t>
        </is>
      </c>
      <c r="D405" t="inlineStr">
        <is>
          <t>G</t>
        </is>
      </c>
      <c r="E405" t="inlineStr">
        <is>
          <t>rs74558061</t>
        </is>
      </c>
      <c r="F405" t="n">
        <v>0.0111760771</v>
      </c>
      <c r="G405" t="n">
        <v>0.4040957959161596</v>
      </c>
      <c r="H405" t="n">
        <v>0.0182254978358613</v>
      </c>
      <c r="I405" t="n">
        <v>0.0795401701310412</v>
      </c>
      <c r="J405" t="n">
        <v>0.3711440226904144</v>
      </c>
      <c r="K405" t="n">
        <v>0.1952914319885364</v>
      </c>
      <c r="L405" t="b">
        <v>0</v>
      </c>
      <c r="M405" t="b">
        <v>0</v>
      </c>
      <c r="N405" t="inlineStr">
        <is>
          <t>alt</t>
        </is>
      </c>
      <c r="O405" t="n">
        <v>-95</v>
      </c>
      <c r="P405" t="n">
        <v>0.003685</v>
      </c>
      <c r="Q405" t="n">
        <v>100</v>
      </c>
      <c r="R405" t="n">
        <v>0.0827</v>
      </c>
      <c r="S405">
        <f>IMAGE("https://mitra.stanford.edu/kundaje/oak/projects/neuro-variants/variant_position/credible/roussos_2024/variant_figures/roussos_2024.adolescence.GLU/rs74558061_count_position.png",4,220,900)</f>
        <v/>
      </c>
      <c r="T405">
        <f>IMAGE("https://mitra.stanford.edu/kundaje/oak/projects/neuro-variants/variant_position/credible/roussos_2024/variant_figures/roussos_2024.adolescence.GLU/rs74558061_profile_position.png",4,220,900)</f>
        <v/>
      </c>
    </row>
    <row r="406">
      <c r="A406" t="inlineStr">
        <is>
          <t>chr10</t>
        </is>
      </c>
      <c r="B406" t="n">
        <v>102660261</v>
      </c>
      <c r="C406" t="inlineStr">
        <is>
          <t>A</t>
        </is>
      </c>
      <c r="D406" t="inlineStr">
        <is>
          <t>G</t>
        </is>
      </c>
      <c r="E406" t="inlineStr">
        <is>
          <t>rs10883761</t>
        </is>
      </c>
      <c r="F406" t="n">
        <v>0.002286007152</v>
      </c>
      <c r="G406" t="n">
        <v>0.8148223577670859</v>
      </c>
      <c r="H406" t="n">
        <v>0.0243342079709653</v>
      </c>
      <c r="I406" t="n">
        <v>0.0243107368809025</v>
      </c>
      <c r="J406" t="n">
        <v>0.3480220902901315</v>
      </c>
      <c r="K406" t="n">
        <v>0.2176903257229941</v>
      </c>
      <c r="L406" t="b">
        <v>0</v>
      </c>
      <c r="M406" t="b">
        <v>0</v>
      </c>
      <c r="N406" t="inlineStr">
        <is>
          <t>alt</t>
        </is>
      </c>
      <c r="O406" t="n">
        <v>-85</v>
      </c>
      <c r="P406" t="n">
        <v>0.00666</v>
      </c>
      <c r="Q406" t="n">
        <v>100</v>
      </c>
      <c r="R406" t="n">
        <v>0.07434</v>
      </c>
      <c r="S406">
        <f>IMAGE("https://mitra.stanford.edu/kundaje/oak/projects/neuro-variants/variant_position/credible/roussos_2024/variant_figures/roussos_2024.adolescence.GLU/rs10883761_count_position.png",4,220,900)</f>
        <v/>
      </c>
      <c r="T406">
        <f>IMAGE("https://mitra.stanford.edu/kundaje/oak/projects/neuro-variants/variant_position/credible/roussos_2024/variant_figures/roussos_2024.adolescence.GLU/rs10883761_profile_position.png",4,220,900)</f>
        <v/>
      </c>
    </row>
    <row r="407">
      <c r="A407" t="inlineStr">
        <is>
          <t>chr10</t>
        </is>
      </c>
      <c r="B407" t="n">
        <v>102667859</v>
      </c>
      <c r="C407" t="inlineStr">
        <is>
          <t>T</t>
        </is>
      </c>
      <c r="D407" t="inlineStr">
        <is>
          <t>G</t>
        </is>
      </c>
      <c r="E407" t="inlineStr">
        <is>
          <t>rs884825</t>
        </is>
      </c>
      <c r="F407" t="n">
        <v>0.00841967274</v>
      </c>
      <c r="G407" t="n">
        <v>0.5500312860951727</v>
      </c>
      <c r="H407" t="n">
        <v>0.0068684477231247</v>
      </c>
      <c r="I407" t="n">
        <v>0.9283246613638964</v>
      </c>
      <c r="J407" t="n">
        <v>0.3474291103157082</v>
      </c>
      <c r="K407" t="n">
        <v>0.2190140276277735</v>
      </c>
      <c r="L407" t="b">
        <v>0</v>
      </c>
      <c r="M407" t="b">
        <v>0</v>
      </c>
      <c r="N407" t="inlineStr">
        <is>
          <t>alt</t>
        </is>
      </c>
      <c r="O407" t="n">
        <v>15</v>
      </c>
      <c r="P407" t="n">
        <v>0.00205</v>
      </c>
      <c r="Q407" t="n">
        <v>55</v>
      </c>
      <c r="R407" t="n">
        <v>0.01642</v>
      </c>
      <c r="S407">
        <f>IMAGE("https://mitra.stanford.edu/kundaje/oak/projects/neuro-variants/variant_position/credible/roussos_2024/variant_figures/roussos_2024.adolescence.GLU/rs884825_count_position.png",4,220,900)</f>
        <v/>
      </c>
      <c r="T407">
        <f>IMAGE("https://mitra.stanford.edu/kundaje/oak/projects/neuro-variants/variant_position/credible/roussos_2024/variant_figures/roussos_2024.adolescence.GLU/rs884825_profile_position.png",4,220,900)</f>
        <v/>
      </c>
    </row>
    <row r="408">
      <c r="A408" t="inlineStr">
        <is>
          <t>chr10</t>
        </is>
      </c>
      <c r="B408" t="n">
        <v>102712218</v>
      </c>
      <c r="C408" t="inlineStr">
        <is>
          <t>T</t>
        </is>
      </c>
      <c r="D408" t="inlineStr">
        <is>
          <t>A</t>
        </is>
      </c>
      <c r="E408" t="inlineStr">
        <is>
          <t>rs4919669</t>
        </is>
      </c>
      <c r="F408" t="n">
        <v>0.0068355482199999</v>
      </c>
      <c r="G408" t="n">
        <v>0.5954756683360929</v>
      </c>
      <c r="H408" t="n">
        <v>0.0246649565483674</v>
      </c>
      <c r="I408" t="n">
        <v>0.0219281045782167</v>
      </c>
      <c r="J408" t="n">
        <v>0.1323717055675818</v>
      </c>
      <c r="K408" t="n">
        <v>0.5077156361393493</v>
      </c>
      <c r="L408" t="b">
        <v>0</v>
      </c>
      <c r="M408" t="b">
        <v>0</v>
      </c>
      <c r="N408" t="inlineStr">
        <is>
          <t>alt</t>
        </is>
      </c>
      <c r="O408" t="n">
        <v>95</v>
      </c>
      <c r="P408" t="n">
        <v>0.01743</v>
      </c>
      <c r="Q408" t="n">
        <v>85</v>
      </c>
      <c r="R408" t="n">
        <v>0.1533</v>
      </c>
      <c r="S408">
        <f>IMAGE("https://mitra.stanford.edu/kundaje/oak/projects/neuro-variants/variant_position/credible/roussos_2024/variant_figures/roussos_2024.adolescence.GLU/rs4919669_count_position.png",4,220,900)</f>
        <v/>
      </c>
      <c r="T408">
        <f>IMAGE("https://mitra.stanford.edu/kundaje/oak/projects/neuro-variants/variant_position/credible/roussos_2024/variant_figures/roussos_2024.adolescence.GLU/rs4919669_profile_position.png",4,220,900)</f>
        <v/>
      </c>
    </row>
    <row r="409">
      <c r="A409" t="inlineStr">
        <is>
          <t>chr10</t>
        </is>
      </c>
      <c r="B409" t="n">
        <v>102744807</v>
      </c>
      <c r="C409" t="inlineStr">
        <is>
          <t>C</t>
        </is>
      </c>
      <c r="D409" t="inlineStr">
        <is>
          <t>T</t>
        </is>
      </c>
      <c r="E409" t="inlineStr">
        <is>
          <t>rs999867</t>
        </is>
      </c>
      <c r="F409" t="n">
        <v>-0.0590171425999999</v>
      </c>
      <c r="G409" t="n">
        <v>0.0440284804929957</v>
      </c>
      <c r="H409" t="n">
        <v>0.0105741680122546</v>
      </c>
      <c r="I409" t="n">
        <v>0.4626567264676601</v>
      </c>
      <c r="J409" t="n">
        <v>0.510577190989562</v>
      </c>
      <c r="K409" t="n">
        <v>0.0825179620949799</v>
      </c>
      <c r="L409" t="b">
        <v>0</v>
      </c>
      <c r="M409" t="b">
        <v>0</v>
      </c>
      <c r="N409" t="inlineStr">
        <is>
          <t>ref</t>
        </is>
      </c>
      <c r="O409" t="n">
        <v>65</v>
      </c>
      <c r="P409" t="n">
        <v>0.00415</v>
      </c>
      <c r="Q409" t="n">
        <v>65</v>
      </c>
      <c r="R409" t="n">
        <v>0.02557</v>
      </c>
      <c r="S409">
        <f>IMAGE("https://mitra.stanford.edu/kundaje/oak/projects/neuro-variants/variant_position/credible/roussos_2024/variant_figures/roussos_2024.adolescence.GLU/rs999867_count_position.png",4,220,900)</f>
        <v/>
      </c>
      <c r="T409">
        <f>IMAGE("https://mitra.stanford.edu/kundaje/oak/projects/neuro-variants/variant_position/credible/roussos_2024/variant_figures/roussos_2024.adolescence.GLU/rs999867_profile_position.png",4,220,900)</f>
        <v/>
      </c>
    </row>
    <row r="410">
      <c r="A410" t="inlineStr">
        <is>
          <t>chr10</t>
        </is>
      </c>
      <c r="B410" t="n">
        <v>102768371</v>
      </c>
      <c r="C410" t="inlineStr">
        <is>
          <t>G</t>
        </is>
      </c>
      <c r="D410" t="inlineStr">
        <is>
          <t>T</t>
        </is>
      </c>
      <c r="E410" t="inlineStr">
        <is>
          <t>rs10786709</t>
        </is>
      </c>
      <c r="F410" t="n">
        <v>0.00407437098</v>
      </c>
      <c r="G410" t="n">
        <v>0.6898126254969076</v>
      </c>
      <c r="H410" t="n">
        <v>0.043715770574937</v>
      </c>
      <c r="I410" t="n">
        <v>0.0024128888766246</v>
      </c>
      <c r="J410" t="n">
        <v>0.3419394017332161</v>
      </c>
      <c r="K410" t="n">
        <v>0.2240805780829534</v>
      </c>
      <c r="L410" t="b">
        <v>1</v>
      </c>
      <c r="M410" t="b">
        <v>1</v>
      </c>
      <c r="N410" t="inlineStr">
        <is>
          <t>alt</t>
        </is>
      </c>
      <c r="O410" t="n">
        <v>75</v>
      </c>
      <c r="P410" t="n">
        <v>0.00818</v>
      </c>
      <c r="Q410" t="n">
        <v>75</v>
      </c>
      <c r="R410" t="n">
        <v>0.1043</v>
      </c>
      <c r="S410">
        <f>IMAGE("https://mitra.stanford.edu/kundaje/oak/projects/neuro-variants/variant_position/credible/roussos_2024/variant_figures/roussos_2024.adolescence.GLU/rs10786709_count_position.png",4,220,900)</f>
        <v/>
      </c>
      <c r="T410">
        <f>IMAGE("https://mitra.stanford.edu/kundaje/oak/projects/neuro-variants/variant_position/credible/roussos_2024/variant_figures/roussos_2024.adolescence.GLU/rs10786709_profile_position.png",4,220,900)</f>
        <v/>
      </c>
    </row>
    <row r="411">
      <c r="A411" t="inlineStr">
        <is>
          <t>chr10</t>
        </is>
      </c>
      <c r="B411" t="n">
        <v>102895758</v>
      </c>
      <c r="C411" t="inlineStr">
        <is>
          <t>A</t>
        </is>
      </c>
      <c r="D411" t="inlineStr">
        <is>
          <t>G</t>
        </is>
      </c>
      <c r="E411" t="inlineStr">
        <is>
          <t>rs4363528</t>
        </is>
      </c>
      <c r="F411" t="n">
        <v>0.008196788</v>
      </c>
      <c r="G411" t="n">
        <v>0.5690993863651383</v>
      </c>
      <c r="H411" t="n">
        <v>0.015795360195333</v>
      </c>
      <c r="I411" t="n">
        <v>0.1385136695311491</v>
      </c>
      <c r="J411" t="n">
        <v>0.1081581184673967</v>
      </c>
      <c r="K411" t="n">
        <v>0.5673323830212217</v>
      </c>
      <c r="L411" t="b">
        <v>0</v>
      </c>
      <c r="M411" t="b">
        <v>0</v>
      </c>
      <c r="N411" t="inlineStr">
        <is>
          <t>alt</t>
        </is>
      </c>
      <c r="O411" t="n">
        <v>-85</v>
      </c>
      <c r="P411" t="n">
        <v>0.003052</v>
      </c>
      <c r="Q411" t="n">
        <v>5</v>
      </c>
      <c r="R411" t="n">
        <v>0.002258</v>
      </c>
      <c r="S411">
        <f>IMAGE("https://mitra.stanford.edu/kundaje/oak/projects/neuro-variants/variant_position/credible/roussos_2024/variant_figures/roussos_2024.adolescence.GLU/rs4363528_count_position.png",4,220,900)</f>
        <v/>
      </c>
      <c r="T411">
        <f>IMAGE("https://mitra.stanford.edu/kundaje/oak/projects/neuro-variants/variant_position/credible/roussos_2024/variant_figures/roussos_2024.adolescence.GLU/rs4363528_profile_position.png",4,220,900)</f>
        <v/>
      </c>
    </row>
    <row r="412">
      <c r="A412" t="inlineStr">
        <is>
          <t>chr10</t>
        </is>
      </c>
      <c r="B412" t="n">
        <v>102900095</v>
      </c>
      <c r="C412" t="inlineStr">
        <is>
          <t>T</t>
        </is>
      </c>
      <c r="D412" t="inlineStr">
        <is>
          <t>C</t>
        </is>
      </c>
      <c r="E412" t="inlineStr">
        <is>
          <t>rs11191453</t>
        </is>
      </c>
      <c r="F412" t="n">
        <v>0.01654814066</v>
      </c>
      <c r="G412" t="n">
        <v>0.3385345188234914</v>
      </c>
      <c r="H412" t="n">
        <v>0.0093253840958021</v>
      </c>
      <c r="I412" t="n">
        <v>0.6219019825227217</v>
      </c>
      <c r="J412" t="n">
        <v>0.08853548234991521</v>
      </c>
      <c r="K412" t="n">
        <v>0.6022905503372911</v>
      </c>
      <c r="L412" t="b">
        <v>0</v>
      </c>
      <c r="M412" t="b">
        <v>0</v>
      </c>
      <c r="N412" t="inlineStr">
        <is>
          <t>alt</t>
        </is>
      </c>
      <c r="O412" t="n">
        <v>100</v>
      </c>
      <c r="P412" t="n">
        <v>0.004356</v>
      </c>
      <c r="Q412" t="n">
        <v>95</v>
      </c>
      <c r="R412" t="n">
        <v>0.1332</v>
      </c>
      <c r="S412">
        <f>IMAGE("https://mitra.stanford.edu/kundaje/oak/projects/neuro-variants/variant_position/credible/roussos_2024/variant_figures/roussos_2024.adolescence.GLU/rs11191453_count_position.png",4,220,900)</f>
        <v/>
      </c>
      <c r="T412">
        <f>IMAGE("https://mitra.stanford.edu/kundaje/oak/projects/neuro-variants/variant_position/credible/roussos_2024/variant_figures/roussos_2024.adolescence.GLU/rs11191453_profile_position.png",4,220,900)</f>
        <v/>
      </c>
    </row>
    <row r="413">
      <c r="A413" t="inlineStr">
        <is>
          <t>chr10</t>
        </is>
      </c>
      <c r="B413" t="n">
        <v>102903553</v>
      </c>
      <c r="C413" t="inlineStr">
        <is>
          <t>G</t>
        </is>
      </c>
      <c r="D413" t="inlineStr">
        <is>
          <t>A</t>
        </is>
      </c>
      <c r="E413" t="inlineStr">
        <is>
          <t>rs10883799</t>
        </is>
      </c>
      <c r="F413" t="n">
        <v>0.1057693886</v>
      </c>
      <c r="G413" t="n">
        <v>0.0110249025580601</v>
      </c>
      <c r="H413" t="n">
        <v>0.0429286293358586</v>
      </c>
      <c r="I413" t="n">
        <v>0.0055011996177705</v>
      </c>
      <c r="J413" t="n">
        <v>0.2180423087639582</v>
      </c>
      <c r="K413" t="n">
        <v>0.3758204390866129</v>
      </c>
      <c r="L413" t="b">
        <v>1</v>
      </c>
      <c r="M413" t="b">
        <v>1</v>
      </c>
      <c r="N413" t="inlineStr">
        <is>
          <t>alt</t>
        </is>
      </c>
      <c r="O413" t="n">
        <v>-100</v>
      </c>
      <c r="P413" t="n">
        <v>0.01094</v>
      </c>
      <c r="Q413" t="n">
        <v>-80</v>
      </c>
      <c r="R413" t="n">
        <v>0.0417</v>
      </c>
      <c r="S413">
        <f>IMAGE("https://mitra.stanford.edu/kundaje/oak/projects/neuro-variants/variant_position/credible/roussos_2024/variant_figures/roussos_2024.adolescence.GLU/rs10883799_count_position.png",4,220,900)</f>
        <v/>
      </c>
      <c r="T413">
        <f>IMAGE("https://mitra.stanford.edu/kundaje/oak/projects/neuro-variants/variant_position/credible/roussos_2024/variant_figures/roussos_2024.adolescence.GLU/rs10883799_profile_position.png",4,220,900)</f>
        <v/>
      </c>
    </row>
    <row r="414">
      <c r="A414" t="inlineStr">
        <is>
          <t>chr10</t>
        </is>
      </c>
      <c r="B414" t="n">
        <v>102932876</v>
      </c>
      <c r="C414" t="inlineStr">
        <is>
          <t>C</t>
        </is>
      </c>
      <c r="D414" t="inlineStr">
        <is>
          <t>A</t>
        </is>
      </c>
      <c r="E414" t="inlineStr">
        <is>
          <t>rs112699822</t>
        </is>
      </c>
      <c r="F414" t="n">
        <v>0.0101649560799999</v>
      </c>
      <c r="G414" t="n">
        <v>0.5057274910129178</v>
      </c>
      <c r="H414" t="n">
        <v>0.0071686364902894</v>
      </c>
      <c r="I414" t="n">
        <v>0.8756610557901072</v>
      </c>
      <c r="J414" t="n">
        <v>0.0112051782154874</v>
      </c>
      <c r="K414" t="n">
        <v>0.8703556951578786</v>
      </c>
      <c r="L414" t="b">
        <v>0</v>
      </c>
      <c r="M414" t="b">
        <v>0</v>
      </c>
      <c r="N414" t="inlineStr">
        <is>
          <t>alt</t>
        </is>
      </c>
      <c r="O414" t="n">
        <v>-70</v>
      </c>
      <c r="P414" t="n">
        <v>0.008359999999999999</v>
      </c>
      <c r="Q414" t="n">
        <v>-100</v>
      </c>
      <c r="R414" t="n">
        <v>0.03876</v>
      </c>
      <c r="S414">
        <f>IMAGE("https://mitra.stanford.edu/kundaje/oak/projects/neuro-variants/variant_position/credible/roussos_2024/variant_figures/roussos_2024.adolescence.GLU/rs112699822_count_position.png",4,220,900)</f>
        <v/>
      </c>
      <c r="T414">
        <f>IMAGE("https://mitra.stanford.edu/kundaje/oak/projects/neuro-variants/variant_position/credible/roussos_2024/variant_figures/roussos_2024.adolescence.GLU/rs112699822_profile_position.png",4,220,900)</f>
        <v/>
      </c>
    </row>
    <row r="415">
      <c r="A415" t="inlineStr">
        <is>
          <t>chr10</t>
        </is>
      </c>
      <c r="B415" t="n">
        <v>102947259</v>
      </c>
      <c r="C415" t="inlineStr">
        <is>
          <t>A</t>
        </is>
      </c>
      <c r="D415" t="inlineStr">
        <is>
          <t>T</t>
        </is>
      </c>
      <c r="E415" t="inlineStr">
        <is>
          <t>rs11191472</t>
        </is>
      </c>
      <c r="F415" t="n">
        <v>0.0074555619</v>
      </c>
      <c r="G415" t="n">
        <v>0.5939738241296629</v>
      </c>
      <c r="H415" t="n">
        <v>0.0164081477838372</v>
      </c>
      <c r="I415" t="n">
        <v>0.1194703648150693</v>
      </c>
      <c r="J415" t="n">
        <v>0.08164262597252279</v>
      </c>
      <c r="K415" t="n">
        <v>0.6151419711342914</v>
      </c>
      <c r="L415" t="b">
        <v>0</v>
      </c>
      <c r="M415" t="b">
        <v>0</v>
      </c>
      <c r="N415" t="inlineStr">
        <is>
          <t>alt</t>
        </is>
      </c>
      <c r="O415" t="n">
        <v>100</v>
      </c>
      <c r="P415" t="n">
        <v>0.0311</v>
      </c>
      <c r="Q415" t="n">
        <v>100</v>
      </c>
      <c r="R415" t="n">
        <v>0.01933</v>
      </c>
      <c r="S415">
        <f>IMAGE("https://mitra.stanford.edu/kundaje/oak/projects/neuro-variants/variant_position/credible/roussos_2024/variant_figures/roussos_2024.adolescence.GLU/rs11191472_count_position.png",4,220,900)</f>
        <v/>
      </c>
      <c r="T415">
        <f>IMAGE("https://mitra.stanford.edu/kundaje/oak/projects/neuro-variants/variant_position/credible/roussos_2024/variant_figures/roussos_2024.adolescence.GLU/rs11191472_profile_position.png",4,220,900)</f>
        <v/>
      </c>
    </row>
    <row r="416">
      <c r="A416" t="inlineStr">
        <is>
          <t>chr10</t>
        </is>
      </c>
      <c r="B416" t="n">
        <v>102986892</v>
      </c>
      <c r="C416" t="inlineStr">
        <is>
          <t>A</t>
        </is>
      </c>
      <c r="D416" t="inlineStr">
        <is>
          <t>G</t>
        </is>
      </c>
      <c r="E416" t="inlineStr">
        <is>
          <t>rs3902934</t>
        </is>
      </c>
      <c r="F416" t="n">
        <v>0.060402809</v>
      </c>
      <c r="G416" t="n">
        <v>0.032789847689576</v>
      </c>
      <c r="H416" t="n">
        <v>0.0123411058385063</v>
      </c>
      <c r="I416" t="n">
        <v>0.299990580342264</v>
      </c>
      <c r="J416" t="n">
        <v>0.1811632409570553</v>
      </c>
      <c r="K416" t="n">
        <v>0.4325941874679697</v>
      </c>
      <c r="L416" t="b">
        <v>0</v>
      </c>
      <c r="M416" t="b">
        <v>0</v>
      </c>
      <c r="N416" t="inlineStr">
        <is>
          <t>alt</t>
        </is>
      </c>
      <c r="O416" t="n">
        <v>5</v>
      </c>
      <c r="P416" t="n">
        <v>0.0006713999999999999</v>
      </c>
      <c r="Q416" t="n">
        <v>-80</v>
      </c>
      <c r="R416" t="n">
        <v>0.05344</v>
      </c>
      <c r="S416">
        <f>IMAGE("https://mitra.stanford.edu/kundaje/oak/projects/neuro-variants/variant_position/credible/roussos_2024/variant_figures/roussos_2024.adolescence.GLU/rs3902934_count_position.png",4,220,900)</f>
        <v/>
      </c>
      <c r="T416">
        <f>IMAGE("https://mitra.stanford.edu/kundaje/oak/projects/neuro-variants/variant_position/credible/roussos_2024/variant_figures/roussos_2024.adolescence.GLU/rs3902934_profile_position.png",4,220,900)</f>
        <v/>
      </c>
    </row>
    <row r="417">
      <c r="A417" t="inlineStr">
        <is>
          <t>chr10</t>
        </is>
      </c>
      <c r="B417" t="n">
        <v>102988702</v>
      </c>
      <c r="C417" t="inlineStr">
        <is>
          <t>A</t>
        </is>
      </c>
      <c r="D417" t="inlineStr">
        <is>
          <t>C</t>
        </is>
      </c>
      <c r="E417" t="inlineStr">
        <is>
          <t>rs1890184</t>
        </is>
      </c>
      <c r="F417" t="n">
        <v>0.0201046598</v>
      </c>
      <c r="G417" t="n">
        <v>0.2836577180314587</v>
      </c>
      <c r="H417" t="n">
        <v>0.0105768431400512</v>
      </c>
      <c r="I417" t="n">
        <v>0.4618072006851311</v>
      </c>
      <c r="J417" t="n">
        <v>0.1175143422566102</v>
      </c>
      <c r="K417" t="n">
        <v>0.5456023964629766</v>
      </c>
      <c r="L417" t="b">
        <v>0</v>
      </c>
      <c r="M417" t="b">
        <v>0</v>
      </c>
      <c r="N417" t="inlineStr">
        <is>
          <t>alt</t>
        </is>
      </c>
      <c r="O417" t="n">
        <v>40</v>
      </c>
      <c r="P417" t="n">
        <v>0.002449</v>
      </c>
      <c r="Q417" t="n">
        <v>15</v>
      </c>
      <c r="R417" t="n">
        <v>0.04288</v>
      </c>
      <c r="S417">
        <f>IMAGE("https://mitra.stanford.edu/kundaje/oak/projects/neuro-variants/variant_position/credible/roussos_2024/variant_figures/roussos_2024.adolescence.GLU/rs1890184_count_position.png",4,220,900)</f>
        <v/>
      </c>
      <c r="T417">
        <f>IMAGE("https://mitra.stanford.edu/kundaje/oak/projects/neuro-variants/variant_position/credible/roussos_2024/variant_figures/roussos_2024.adolescence.GLU/rs1890184_profile_position.png",4,220,900)</f>
        <v/>
      </c>
    </row>
    <row r="418">
      <c r="A418" t="inlineStr">
        <is>
          <t>chr10</t>
        </is>
      </c>
      <c r="B418" t="n">
        <v>103009952</v>
      </c>
      <c r="C418" t="inlineStr">
        <is>
          <t>T</t>
        </is>
      </c>
      <c r="D418" t="inlineStr">
        <is>
          <t>C</t>
        </is>
      </c>
      <c r="E418" t="inlineStr">
        <is>
          <t>rs11191511</t>
        </is>
      </c>
      <c r="F418" t="n">
        <v>0.0092833141399999</v>
      </c>
      <c r="G418" t="n">
        <v>0.5264918073887533</v>
      </c>
      <c r="H418" t="n">
        <v>0.0216466459280857</v>
      </c>
      <c r="I418" t="n">
        <v>0.0407009842872565</v>
      </c>
      <c r="J418" t="n">
        <v>0.0242493087853912</v>
      </c>
      <c r="K418" t="n">
        <v>0.7951078696306018</v>
      </c>
      <c r="L418" t="b">
        <v>0</v>
      </c>
      <c r="M418" t="b">
        <v>0</v>
      </c>
      <c r="N418" t="inlineStr">
        <is>
          <t>alt</t>
        </is>
      </c>
      <c r="O418" t="n">
        <v>60</v>
      </c>
      <c r="P418" t="n">
        <v>0.002396</v>
      </c>
      <c r="Q418" t="n">
        <v>75</v>
      </c>
      <c r="R418" t="n">
        <v>0.0501</v>
      </c>
      <c r="S418">
        <f>IMAGE("https://mitra.stanford.edu/kundaje/oak/projects/neuro-variants/variant_position/credible/roussos_2024/variant_figures/roussos_2024.adolescence.GLU/rs11191511_count_position.png",4,220,900)</f>
        <v/>
      </c>
      <c r="T418">
        <f>IMAGE("https://mitra.stanford.edu/kundaje/oak/projects/neuro-variants/variant_position/credible/roussos_2024/variant_figures/roussos_2024.adolescence.GLU/rs11191511_profile_position.png",4,220,900)</f>
        <v/>
      </c>
    </row>
    <row r="419">
      <c r="A419" t="inlineStr">
        <is>
          <t>chr10</t>
        </is>
      </c>
      <c r="B419" t="n">
        <v>103013607</v>
      </c>
      <c r="C419" t="inlineStr">
        <is>
          <t>C</t>
        </is>
      </c>
      <c r="D419" t="inlineStr">
        <is>
          <t>T</t>
        </is>
      </c>
      <c r="E419" t="inlineStr">
        <is>
          <t>rs11191514</t>
        </is>
      </c>
      <c r="F419" t="n">
        <v>-0.07546431219999999</v>
      </c>
      <c r="G419" t="n">
        <v>0.0207798543168816</v>
      </c>
      <c r="H419" t="n">
        <v>0.012051901232331</v>
      </c>
      <c r="I419" t="n">
        <v>0.3239247459897593</v>
      </c>
      <c r="J419" t="n">
        <v>0.176172207100042</v>
      </c>
      <c r="K419" t="n">
        <v>0.4417416736984046</v>
      </c>
      <c r="L419" t="b">
        <v>0</v>
      </c>
      <c r="M419" t="b">
        <v>0</v>
      </c>
      <c r="N419" t="inlineStr">
        <is>
          <t>ref</t>
        </is>
      </c>
      <c r="O419" t="n">
        <v>5</v>
      </c>
      <c r="P419" t="n">
        <v>0.000906</v>
      </c>
      <c r="Q419" t="n">
        <v>-55</v>
      </c>
      <c r="R419" t="n">
        <v>0.03003</v>
      </c>
      <c r="S419">
        <f>IMAGE("https://mitra.stanford.edu/kundaje/oak/projects/neuro-variants/variant_position/credible/roussos_2024/variant_figures/roussos_2024.adolescence.GLU/rs11191514_count_position.png",4,220,900)</f>
        <v/>
      </c>
      <c r="T419">
        <f>IMAGE("https://mitra.stanford.edu/kundaje/oak/projects/neuro-variants/variant_position/credible/roussos_2024/variant_figures/roussos_2024.adolescence.GLU/rs11191514_profile_position.png",4,220,900)</f>
        <v/>
      </c>
    </row>
    <row r="420">
      <c r="A420" t="inlineStr">
        <is>
          <t>chr10</t>
        </is>
      </c>
      <c r="B420" t="n">
        <v>103069712</v>
      </c>
      <c r="C420" t="inlineStr">
        <is>
          <t>C</t>
        </is>
      </c>
      <c r="D420" t="inlineStr">
        <is>
          <t>T</t>
        </is>
      </c>
      <c r="E420" t="inlineStr">
        <is>
          <t>rs1926032</t>
        </is>
      </c>
      <c r="F420" t="n">
        <v>-0.0342045794</v>
      </c>
      <c r="G420" t="n">
        <v>0.1525852066905838</v>
      </c>
      <c r="H420" t="n">
        <v>0.0102416503284663</v>
      </c>
      <c r="I420" t="n">
        <v>0.5042823921859512</v>
      </c>
      <c r="J420" t="n">
        <v>0.5796500703717198</v>
      </c>
      <c r="K420" t="n">
        <v>0.0469495589474073</v>
      </c>
      <c r="L420" t="b">
        <v>0</v>
      </c>
      <c r="M420" t="b">
        <v>0</v>
      </c>
      <c r="N420" t="inlineStr">
        <is>
          <t>ref</t>
        </is>
      </c>
      <c r="O420" t="n">
        <v>100</v>
      </c>
      <c r="P420" t="n">
        <v>0.05725</v>
      </c>
      <c r="Q420" t="n">
        <v>95</v>
      </c>
      <c r="R420" t="n">
        <v>0.02466</v>
      </c>
      <c r="S420">
        <f>IMAGE("https://mitra.stanford.edu/kundaje/oak/projects/neuro-variants/variant_position/credible/roussos_2024/variant_figures/roussos_2024.adolescence.GLU/rs1926032_count_position.png",4,220,900)</f>
        <v/>
      </c>
      <c r="T420">
        <f>IMAGE("https://mitra.stanford.edu/kundaje/oak/projects/neuro-variants/variant_position/credible/roussos_2024/variant_figures/roussos_2024.adolescence.GLU/rs1926032_profile_position.png",4,220,900)</f>
        <v/>
      </c>
    </row>
    <row r="421">
      <c r="A421" t="inlineStr">
        <is>
          <t>chr10</t>
        </is>
      </c>
      <c r="B421" t="n">
        <v>103114004</v>
      </c>
      <c r="C421" t="inlineStr">
        <is>
          <t>G</t>
        </is>
      </c>
      <c r="D421" t="inlineStr">
        <is>
          <t>C</t>
        </is>
      </c>
      <c r="E421" t="inlineStr">
        <is>
          <t>rs9633712</t>
        </is>
      </c>
      <c r="F421" t="n">
        <v>0.00992016334</v>
      </c>
      <c r="G421" t="n">
        <v>0.4921583448712672</v>
      </c>
      <c r="H421" t="n">
        <v>0.0064705911796144</v>
      </c>
      <c r="I421" t="n">
        <v>0.9486401570271452</v>
      </c>
      <c r="J421" t="n">
        <v>0.0298833329761164</v>
      </c>
      <c r="K421" t="n">
        <v>0.7763526809927301</v>
      </c>
      <c r="L421" t="b">
        <v>0</v>
      </c>
      <c r="M421" t="b">
        <v>0</v>
      </c>
      <c r="N421" t="inlineStr">
        <is>
          <t>alt</t>
        </is>
      </c>
      <c r="O421" t="n">
        <v>-10</v>
      </c>
      <c r="P421" t="n">
        <v>0.00129</v>
      </c>
      <c r="Q421" t="n">
        <v>75</v>
      </c>
      <c r="R421" t="n">
        <v>0.07434</v>
      </c>
      <c r="S421">
        <f>IMAGE("https://mitra.stanford.edu/kundaje/oak/projects/neuro-variants/variant_position/credible/roussos_2024/variant_figures/roussos_2024.adolescence.GLU/rs9633712_count_position.png",4,220,900)</f>
        <v/>
      </c>
      <c r="T421">
        <f>IMAGE("https://mitra.stanford.edu/kundaje/oak/projects/neuro-variants/variant_position/credible/roussos_2024/variant_figures/roussos_2024.adolescence.GLU/rs9633712_profile_position.png",4,220,900)</f>
        <v/>
      </c>
    </row>
    <row r="422">
      <c r="A422" t="inlineStr">
        <is>
          <t>chr10</t>
        </is>
      </c>
      <c r="B422" t="n">
        <v>103153896</v>
      </c>
      <c r="C422" t="inlineStr">
        <is>
          <t>G</t>
        </is>
      </c>
      <c r="D422" t="inlineStr">
        <is>
          <t>A</t>
        </is>
      </c>
      <c r="E422" t="inlineStr">
        <is>
          <t>rs11191582</t>
        </is>
      </c>
      <c r="F422" t="n">
        <v>-0.036785309</v>
      </c>
      <c r="G422" t="n">
        <v>0.1300829493961071</v>
      </c>
      <c r="H422" t="n">
        <v>0.0119818561607257</v>
      </c>
      <c r="I422" t="n">
        <v>0.3330829586206743</v>
      </c>
      <c r="J422" t="n">
        <v>0.1139150252552313</v>
      </c>
      <c r="K422" t="n">
        <v>0.544578878525813</v>
      </c>
      <c r="L422" t="b">
        <v>0</v>
      </c>
      <c r="M422" t="b">
        <v>0</v>
      </c>
      <c r="N422" t="inlineStr">
        <is>
          <t>ref</t>
        </is>
      </c>
      <c r="O422" t="n">
        <v>-35</v>
      </c>
      <c r="P422" t="n">
        <v>0.00453</v>
      </c>
      <c r="Q422" t="n">
        <v>100</v>
      </c>
      <c r="R422" t="n">
        <v>0.09283</v>
      </c>
      <c r="S422">
        <f>IMAGE("https://mitra.stanford.edu/kundaje/oak/projects/neuro-variants/variant_position/credible/roussos_2024/variant_figures/roussos_2024.adolescence.GLU/rs11191582_count_position.png",4,220,900)</f>
        <v/>
      </c>
      <c r="T422">
        <f>IMAGE("https://mitra.stanford.edu/kundaje/oak/projects/neuro-variants/variant_position/credible/roussos_2024/variant_figures/roussos_2024.adolescence.GLU/rs11191582_profile_position.png",4,220,900)</f>
        <v/>
      </c>
    </row>
    <row r="423">
      <c r="A423" t="inlineStr">
        <is>
          <t>chr10</t>
        </is>
      </c>
      <c r="B423" t="n">
        <v>103197872</v>
      </c>
      <c r="C423" t="inlineStr">
        <is>
          <t>T</t>
        </is>
      </c>
      <c r="D423" t="inlineStr">
        <is>
          <t>A</t>
        </is>
      </c>
      <c r="E423" t="inlineStr">
        <is>
          <t>rs12414028</t>
        </is>
      </c>
      <c r="F423" t="n">
        <v>-0.0034776227199999</v>
      </c>
      <c r="G423" t="n">
        <v>0.8147708910912054</v>
      </c>
      <c r="H423" t="n">
        <v>0.0179600834307069</v>
      </c>
      <c r="I423" t="n">
        <v>0.0906104820939586</v>
      </c>
      <c r="J423" t="n">
        <v>0.1944088418315221</v>
      </c>
      <c r="K423" t="n">
        <v>0.4112050127944813</v>
      </c>
      <c r="L423" t="b">
        <v>0</v>
      </c>
      <c r="M423" t="b">
        <v>0</v>
      </c>
      <c r="N423" t="inlineStr">
        <is>
          <t>ref</t>
        </is>
      </c>
      <c r="O423" t="n">
        <v>5</v>
      </c>
      <c r="P423" t="n">
        <v>0.0002441</v>
      </c>
      <c r="Q423" t="n">
        <v>-100</v>
      </c>
      <c r="R423" t="n">
        <v>0.04486</v>
      </c>
      <c r="S423">
        <f>IMAGE("https://mitra.stanford.edu/kundaje/oak/projects/neuro-variants/variant_position/credible/roussos_2024/variant_figures/roussos_2024.adolescence.GLU/rs12414028_count_position.png",4,220,900)</f>
        <v/>
      </c>
      <c r="T423">
        <f>IMAGE("https://mitra.stanford.edu/kundaje/oak/projects/neuro-variants/variant_position/credible/roussos_2024/variant_figures/roussos_2024.adolescence.GLU/rs12414028_profile_position.png",4,220,900)</f>
        <v/>
      </c>
    </row>
    <row r="424">
      <c r="A424" t="inlineStr">
        <is>
          <t>chr10</t>
        </is>
      </c>
      <c r="B424" t="n">
        <v>104732662</v>
      </c>
      <c r="C424" t="inlineStr">
        <is>
          <t>T</t>
        </is>
      </c>
      <c r="D424" t="inlineStr">
        <is>
          <t>C</t>
        </is>
      </c>
      <c r="E424" t="inlineStr">
        <is>
          <t>rs1490183</t>
        </is>
      </c>
      <c r="F424" t="n">
        <v>-0.01304349958</v>
      </c>
      <c r="G424" t="n">
        <v>0.4747073327332531</v>
      </c>
      <c r="H424" t="n">
        <v>0.0228426389861282</v>
      </c>
      <c r="I424" t="n">
        <v>0.0307242065184114</v>
      </c>
      <c r="J424" t="n">
        <v>0.3032285259089382</v>
      </c>
      <c r="K424" t="n">
        <v>0.2682000168470358</v>
      </c>
      <c r="L424" t="b">
        <v>0</v>
      </c>
      <c r="M424" t="b">
        <v>0</v>
      </c>
      <c r="N424" t="inlineStr">
        <is>
          <t>ref</t>
        </is>
      </c>
      <c r="O424" t="n">
        <v>-45</v>
      </c>
      <c r="P424" t="n">
        <v>0.01169</v>
      </c>
      <c r="Q424" t="n">
        <v>-45</v>
      </c>
      <c r="R424" t="n">
        <v>0.04968</v>
      </c>
      <c r="S424">
        <f>IMAGE("https://mitra.stanford.edu/kundaje/oak/projects/neuro-variants/variant_position/credible/roussos_2024/variant_figures/roussos_2024.adolescence.GLU/rs1490183_count_position.png",4,220,900)</f>
        <v/>
      </c>
      <c r="T424">
        <f>IMAGE("https://mitra.stanford.edu/kundaje/oak/projects/neuro-variants/variant_position/credible/roussos_2024/variant_figures/roussos_2024.adolescence.GLU/rs1490183_profile_position.png",4,220,900)</f>
        <v/>
      </c>
    </row>
    <row r="425">
      <c r="A425" t="inlineStr">
        <is>
          <t>chr10</t>
        </is>
      </c>
      <c r="B425" t="n">
        <v>104752646</v>
      </c>
      <c r="C425" t="inlineStr">
        <is>
          <t>C</t>
        </is>
      </c>
      <c r="D425" t="inlineStr">
        <is>
          <t>T</t>
        </is>
      </c>
      <c r="E425" t="inlineStr">
        <is>
          <t>rs2491368</t>
        </is>
      </c>
      <c r="F425" t="n">
        <v>-0.0119012464</v>
      </c>
      <c r="G425" t="n">
        <v>0.5030123795755347</v>
      </c>
      <c r="H425" t="n">
        <v>0.0075836032870377</v>
      </c>
      <c r="I425" t="n">
        <v>0.830781528220326</v>
      </c>
      <c r="J425" t="n">
        <v>0.0418972501446727</v>
      </c>
      <c r="K425" t="n">
        <v>0.733837230183785</v>
      </c>
      <c r="L425" t="b">
        <v>0</v>
      </c>
      <c r="M425" t="b">
        <v>0</v>
      </c>
      <c r="N425" t="inlineStr">
        <is>
          <t>ref</t>
        </is>
      </c>
      <c r="O425" t="n">
        <v>20</v>
      </c>
      <c r="P425" t="n">
        <v>0.00119</v>
      </c>
      <c r="Q425" t="n">
        <v>-85</v>
      </c>
      <c r="R425" t="n">
        <v>0.02258</v>
      </c>
      <c r="S425">
        <f>IMAGE("https://mitra.stanford.edu/kundaje/oak/projects/neuro-variants/variant_position/credible/roussos_2024/variant_figures/roussos_2024.adolescence.GLU/rs2491368_count_position.png",4,220,900)</f>
        <v/>
      </c>
      <c r="T425">
        <f>IMAGE("https://mitra.stanford.edu/kundaje/oak/projects/neuro-variants/variant_position/credible/roussos_2024/variant_figures/roussos_2024.adolescence.GLU/rs2491368_profile_position.png",4,220,900)</f>
        <v/>
      </c>
    </row>
    <row r="426">
      <c r="A426" t="inlineStr">
        <is>
          <t>chr10</t>
        </is>
      </c>
      <c r="B426" t="n">
        <v>104828192</v>
      </c>
      <c r="C426" t="inlineStr">
        <is>
          <t>A</t>
        </is>
      </c>
      <c r="D426" t="inlineStr">
        <is>
          <t>G</t>
        </is>
      </c>
      <c r="E426" t="inlineStr">
        <is>
          <t>rs12250380</t>
        </is>
      </c>
      <c r="F426" t="n">
        <v>0.0102789074</v>
      </c>
      <c r="G426" t="n">
        <v>0.4927604488689135</v>
      </c>
      <c r="H426" t="n">
        <v>0.008649159531551501</v>
      </c>
      <c r="I426" t="n">
        <v>0.7139983207692603</v>
      </c>
      <c r="J426" t="n">
        <v>0.1035243014624457</v>
      </c>
      <c r="K426" t="n">
        <v>0.5667351454072524</v>
      </c>
      <c r="L426" t="b">
        <v>0</v>
      </c>
      <c r="M426" t="b">
        <v>0</v>
      </c>
      <c r="N426" t="inlineStr">
        <is>
          <t>alt</t>
        </is>
      </c>
      <c r="O426" t="n">
        <v>15</v>
      </c>
      <c r="P426" t="n">
        <v>0.001209</v>
      </c>
      <c r="Q426" t="n">
        <v>-90</v>
      </c>
      <c r="R426" t="n">
        <v>0.05017</v>
      </c>
      <c r="S426">
        <f>IMAGE("https://mitra.stanford.edu/kundaje/oak/projects/neuro-variants/variant_position/credible/roussos_2024/variant_figures/roussos_2024.adolescence.GLU/rs12250380_count_position.png",4,220,900)</f>
        <v/>
      </c>
      <c r="T426">
        <f>IMAGE("https://mitra.stanford.edu/kundaje/oak/projects/neuro-variants/variant_position/credible/roussos_2024/variant_figures/roussos_2024.adolescence.GLU/rs12250380_profile_position.png",4,220,900)</f>
        <v/>
      </c>
    </row>
    <row r="427">
      <c r="A427" t="inlineStr">
        <is>
          <t>chr10</t>
        </is>
      </c>
      <c r="B427" t="n">
        <v>104851081</v>
      </c>
      <c r="C427" t="inlineStr">
        <is>
          <t>A</t>
        </is>
      </c>
      <c r="D427" t="inlineStr">
        <is>
          <t>G</t>
        </is>
      </c>
      <c r="E427" t="inlineStr">
        <is>
          <t>rs1021363</t>
        </is>
      </c>
      <c r="F427" t="n">
        <v>-0.000766734884</v>
      </c>
      <c r="G427" t="n">
        <v>0.8945575302473275</v>
      </c>
      <c r="H427" t="n">
        <v>0.0313359863737293</v>
      </c>
      <c r="I427" t="n">
        <v>0.0069521389097139</v>
      </c>
      <c r="J427" t="n">
        <v>0.1219624064984889</v>
      </c>
      <c r="K427" t="n">
        <v>0.5277874260330601</v>
      </c>
      <c r="L427" t="b">
        <v>1</v>
      </c>
      <c r="M427" t="b">
        <v>1</v>
      </c>
      <c r="N427" t="inlineStr">
        <is>
          <t>ref</t>
        </is>
      </c>
      <c r="O427" t="n">
        <v>100</v>
      </c>
      <c r="P427" t="n">
        <v>0.01262</v>
      </c>
      <c r="Q427" t="n">
        <v>95</v>
      </c>
      <c r="R427" t="n">
        <v>0.1301</v>
      </c>
      <c r="S427">
        <f>IMAGE("https://mitra.stanford.edu/kundaje/oak/projects/neuro-variants/variant_position/credible/roussos_2024/variant_figures/roussos_2024.adolescence.GLU/rs1021363_count_position.png",4,220,900)</f>
        <v/>
      </c>
      <c r="T427">
        <f>IMAGE("https://mitra.stanford.edu/kundaje/oak/projects/neuro-variants/variant_position/credible/roussos_2024/variant_figures/roussos_2024.adolescence.GLU/rs1021363_profile_position.png",4,220,900)</f>
        <v/>
      </c>
    </row>
    <row r="428">
      <c r="A428" t="inlineStr">
        <is>
          <t>chr10</t>
        </is>
      </c>
      <c r="B428" t="n">
        <v>104872279</v>
      </c>
      <c r="C428" t="inlineStr">
        <is>
          <t>T</t>
        </is>
      </c>
      <c r="D428" t="inlineStr">
        <is>
          <t>C</t>
        </is>
      </c>
      <c r="E428" t="inlineStr">
        <is>
          <t>rs2451497</t>
        </is>
      </c>
      <c r="F428" t="n">
        <v>-0.01040283114</v>
      </c>
      <c r="G428" t="n">
        <v>0.5128288586323211</v>
      </c>
      <c r="H428" t="n">
        <v>0.0109014498193414</v>
      </c>
      <c r="I428" t="n">
        <v>0.3996421298873365</v>
      </c>
      <c r="J428" t="n">
        <v>0.1567481835523072</v>
      </c>
      <c r="K428" t="n">
        <v>0.471913461116537</v>
      </c>
      <c r="L428" t="b">
        <v>0</v>
      </c>
      <c r="M428" t="b">
        <v>0</v>
      </c>
      <c r="N428" t="inlineStr">
        <is>
          <t>ref</t>
        </is>
      </c>
      <c r="O428" t="n">
        <v>-100</v>
      </c>
      <c r="P428" t="n">
        <v>0.004883</v>
      </c>
      <c r="Q428" t="n">
        <v>90</v>
      </c>
      <c r="R428" t="n">
        <v>0.1301</v>
      </c>
      <c r="S428">
        <f>IMAGE("https://mitra.stanford.edu/kundaje/oak/projects/neuro-variants/variant_position/credible/roussos_2024/variant_figures/roussos_2024.adolescence.GLU/rs2451497_count_position.png",4,220,900)</f>
        <v/>
      </c>
      <c r="T428">
        <f>IMAGE("https://mitra.stanford.edu/kundaje/oak/projects/neuro-variants/variant_position/credible/roussos_2024/variant_figures/roussos_2024.adolescence.GLU/rs2451497_profile_position.png",4,220,900)</f>
        <v/>
      </c>
    </row>
    <row r="429">
      <c r="A429" t="inlineStr">
        <is>
          <t>chr10</t>
        </is>
      </c>
      <c r="B429" t="n">
        <v>104877022</v>
      </c>
      <c r="C429" t="inlineStr">
        <is>
          <t>T</t>
        </is>
      </c>
      <c r="D429" t="inlineStr">
        <is>
          <t>A</t>
        </is>
      </c>
      <c r="E429" t="inlineStr">
        <is>
          <t>rs2932558</t>
        </is>
      </c>
      <c r="F429" t="n">
        <v>-0.00436889206</v>
      </c>
      <c r="G429" t="n">
        <v>0.7780072217822328</v>
      </c>
      <c r="H429" t="n">
        <v>0.02042041113333</v>
      </c>
      <c r="I429" t="n">
        <v>0.0521702267117599</v>
      </c>
      <c r="J429" t="n">
        <v>0.0528037950718362</v>
      </c>
      <c r="K429" t="n">
        <v>0.6892705687020376</v>
      </c>
      <c r="L429" t="b">
        <v>0</v>
      </c>
      <c r="M429" t="b">
        <v>0</v>
      </c>
      <c r="N429" t="inlineStr">
        <is>
          <t>ref</t>
        </is>
      </c>
      <c r="O429" t="n">
        <v>-100</v>
      </c>
      <c r="P429" t="n">
        <v>0.03723</v>
      </c>
      <c r="Q429" t="n">
        <v>-10</v>
      </c>
      <c r="R429" t="n">
        <v>0.01904</v>
      </c>
      <c r="S429">
        <f>IMAGE("https://mitra.stanford.edu/kundaje/oak/projects/neuro-variants/variant_position/credible/roussos_2024/variant_figures/roussos_2024.adolescence.GLU/rs2932558_count_position.png",4,220,900)</f>
        <v/>
      </c>
      <c r="T429">
        <f>IMAGE("https://mitra.stanford.edu/kundaje/oak/projects/neuro-variants/variant_position/credible/roussos_2024/variant_figures/roussos_2024.adolescence.GLU/rs2932558_profile_position.png",4,220,900)</f>
        <v/>
      </c>
    </row>
    <row r="430">
      <c r="A430" t="inlineStr">
        <is>
          <t>chr10</t>
        </is>
      </c>
      <c r="B430" t="n">
        <v>104880365</v>
      </c>
      <c r="C430" t="inlineStr">
        <is>
          <t>G</t>
        </is>
      </c>
      <c r="D430" t="inlineStr">
        <is>
          <t>A</t>
        </is>
      </c>
      <c r="E430" t="inlineStr">
        <is>
          <t>rs2932559</t>
        </is>
      </c>
      <c r="F430" t="n">
        <v>0.0112191782999999</v>
      </c>
      <c r="G430" t="n">
        <v>0.4148808192558363</v>
      </c>
      <c r="H430" t="n">
        <v>0.0110650438311337</v>
      </c>
      <c r="I430" t="n">
        <v>0.404931817845483</v>
      </c>
      <c r="J430" t="n">
        <v>0.2220359931700137</v>
      </c>
      <c r="K430" t="n">
        <v>0.3717555300982667</v>
      </c>
      <c r="L430" t="b">
        <v>0</v>
      </c>
      <c r="M430" t="b">
        <v>0</v>
      </c>
      <c r="N430" t="inlineStr">
        <is>
          <t>alt</t>
        </is>
      </c>
      <c r="O430" t="n">
        <v>-70</v>
      </c>
      <c r="P430" t="n">
        <v>0.003082</v>
      </c>
      <c r="Q430" t="n">
        <v>85</v>
      </c>
      <c r="R430" t="n">
        <v>0.0888</v>
      </c>
      <c r="S430">
        <f>IMAGE("https://mitra.stanford.edu/kundaje/oak/projects/neuro-variants/variant_position/credible/roussos_2024/variant_figures/roussos_2024.adolescence.GLU/rs2932559_count_position.png",4,220,900)</f>
        <v/>
      </c>
      <c r="T430">
        <f>IMAGE("https://mitra.stanford.edu/kundaje/oak/projects/neuro-variants/variant_position/credible/roussos_2024/variant_figures/roussos_2024.adolescence.GLU/rs2932559_profile_position.png",4,220,900)</f>
        <v/>
      </c>
    </row>
    <row r="431">
      <c r="A431" t="inlineStr">
        <is>
          <t>chr10</t>
        </is>
      </c>
      <c r="B431" t="n">
        <v>121903955</v>
      </c>
      <c r="C431" t="inlineStr">
        <is>
          <t>C</t>
        </is>
      </c>
      <c r="D431" t="inlineStr">
        <is>
          <t>T</t>
        </is>
      </c>
      <c r="E431" t="inlineStr">
        <is>
          <t>rs7073961</t>
        </is>
      </c>
      <c r="F431" t="n">
        <v>0.00216552832</v>
      </c>
      <c r="G431" t="n">
        <v>0.7203810061218445</v>
      </c>
      <c r="H431" t="n">
        <v>0.0228206203078077</v>
      </c>
      <c r="I431" t="n">
        <v>0.0327779247026052</v>
      </c>
      <c r="J431" t="n">
        <v>0.0609997785255516</v>
      </c>
      <c r="K431" t="n">
        <v>0.669004510346068</v>
      </c>
      <c r="L431" t="b">
        <v>0</v>
      </c>
      <c r="M431" t="b">
        <v>0</v>
      </c>
      <c r="N431" t="inlineStr">
        <is>
          <t>alt</t>
        </is>
      </c>
      <c r="O431" t="n">
        <v>-10</v>
      </c>
      <c r="P431" t="n">
        <v>0.00177</v>
      </c>
      <c r="Q431" t="n">
        <v>60</v>
      </c>
      <c r="R431" t="n">
        <v>0.03934</v>
      </c>
      <c r="S431">
        <f>IMAGE("https://mitra.stanford.edu/kundaje/oak/projects/neuro-variants/variant_position/credible/roussos_2024/variant_figures/roussos_2024.adolescence.GLU/rs7073961_count_position.png",4,220,900)</f>
        <v/>
      </c>
      <c r="T431">
        <f>IMAGE("https://mitra.stanford.edu/kundaje/oak/projects/neuro-variants/variant_position/credible/roussos_2024/variant_figures/roussos_2024.adolescence.GLU/rs7073961_profile_position.png",4,220,900)</f>
        <v/>
      </c>
    </row>
    <row r="432">
      <c r="A432" t="inlineStr">
        <is>
          <t>chr10</t>
        </is>
      </c>
      <c r="B432" t="n">
        <v>121921015</v>
      </c>
      <c r="C432" t="inlineStr">
        <is>
          <t>C</t>
        </is>
      </c>
      <c r="D432" t="inlineStr">
        <is>
          <t>T</t>
        </is>
      </c>
      <c r="E432" t="inlineStr">
        <is>
          <t>rs6585767</t>
        </is>
      </c>
      <c r="F432" t="n">
        <v>-0.0063421874199999</v>
      </c>
      <c r="G432" t="n">
        <v>0.5817863672879259</v>
      </c>
      <c r="H432" t="n">
        <v>0.0220168156101502</v>
      </c>
      <c r="I432" t="n">
        <v>0.0384234462872112</v>
      </c>
      <c r="J432" t="n">
        <v>0.160134599309857</v>
      </c>
      <c r="K432" t="n">
        <v>0.4613714411949214</v>
      </c>
      <c r="L432" t="b">
        <v>0</v>
      </c>
      <c r="M432" t="b">
        <v>0</v>
      </c>
      <c r="N432" t="inlineStr">
        <is>
          <t>ref</t>
        </is>
      </c>
      <c r="O432" t="n">
        <v>100</v>
      </c>
      <c r="P432" t="n">
        <v>0.00412</v>
      </c>
      <c r="Q432" t="n">
        <v>85</v>
      </c>
      <c r="R432" t="n">
        <v>0.04214</v>
      </c>
      <c r="S432">
        <f>IMAGE("https://mitra.stanford.edu/kundaje/oak/projects/neuro-variants/variant_position/credible/roussos_2024/variant_figures/roussos_2024.adolescence.GLU/rs6585767_count_position.png",4,220,900)</f>
        <v/>
      </c>
      <c r="T432">
        <f>IMAGE("https://mitra.stanford.edu/kundaje/oak/projects/neuro-variants/variant_position/credible/roussos_2024/variant_figures/roussos_2024.adolescence.GLU/rs6585767_profile_position.png",4,220,900)</f>
        <v/>
      </c>
    </row>
    <row r="433">
      <c r="A433" t="inlineStr">
        <is>
          <t>chr10</t>
        </is>
      </c>
      <c r="B433" t="n">
        <v>121940050</v>
      </c>
      <c r="C433" t="inlineStr">
        <is>
          <t>T</t>
        </is>
      </c>
      <c r="D433" t="inlineStr">
        <is>
          <t>C</t>
        </is>
      </c>
      <c r="E433" t="inlineStr">
        <is>
          <t>rs12415401</t>
        </is>
      </c>
      <c r="F433" t="n">
        <v>0.0517636874</v>
      </c>
      <c r="G433" t="n">
        <v>0.0575030973946859</v>
      </c>
      <c r="H433" t="n">
        <v>0.0135373386293124</v>
      </c>
      <c r="I433" t="n">
        <v>0.2295126540260395</v>
      </c>
      <c r="J433" t="n">
        <v>0.06604653821148659</v>
      </c>
      <c r="K433" t="n">
        <v>0.6556413628222336</v>
      </c>
      <c r="L433" t="b">
        <v>0</v>
      </c>
      <c r="M433" t="b">
        <v>0</v>
      </c>
      <c r="N433" t="inlineStr">
        <is>
          <t>alt</t>
        </is>
      </c>
      <c r="O433" t="n">
        <v>-85</v>
      </c>
      <c r="P433" t="n">
        <v>0.01164</v>
      </c>
      <c r="Q433" t="n">
        <v>95</v>
      </c>
      <c r="R433" t="n">
        <v>0.0617</v>
      </c>
      <c r="S433">
        <f>IMAGE("https://mitra.stanford.edu/kundaje/oak/projects/neuro-variants/variant_position/credible/roussos_2024/variant_figures/roussos_2024.adolescence.GLU/rs12415401_count_position.png",4,220,900)</f>
        <v/>
      </c>
      <c r="T433">
        <f>IMAGE("https://mitra.stanford.edu/kundaje/oak/projects/neuro-variants/variant_position/credible/roussos_2024/variant_figures/roussos_2024.adolescence.GLU/rs12415401_profile_position.png",4,220,900)</f>
        <v/>
      </c>
    </row>
    <row r="434">
      <c r="A434" t="inlineStr">
        <is>
          <t>chr10</t>
        </is>
      </c>
      <c r="B434" t="n">
        <v>121956355</v>
      </c>
      <c r="C434" t="inlineStr">
        <is>
          <t>A</t>
        </is>
      </c>
      <c r="D434" t="inlineStr">
        <is>
          <t>G</t>
        </is>
      </c>
      <c r="E434" t="inlineStr">
        <is>
          <t>rs7095093</t>
        </is>
      </c>
      <c r="F434" t="n">
        <v>0.0815872668</v>
      </c>
      <c r="G434" t="n">
        <v>0.0134526430766222</v>
      </c>
      <c r="H434" t="n">
        <v>0.0171490559647047</v>
      </c>
      <c r="I434" t="n">
        <v>0.1027842499013353</v>
      </c>
      <c r="J434" t="n">
        <v>0.2724078559130105</v>
      </c>
      <c r="K434" t="n">
        <v>0.3029560276883118</v>
      </c>
      <c r="L434" t="b">
        <v>1</v>
      </c>
      <c r="M434" t="b">
        <v>0</v>
      </c>
      <c r="N434" t="inlineStr">
        <is>
          <t>alt</t>
        </is>
      </c>
      <c r="O434" t="n">
        <v>70</v>
      </c>
      <c r="P434" t="n">
        <v>0.002151</v>
      </c>
      <c r="Q434" t="n">
        <v>-40</v>
      </c>
      <c r="R434" t="n">
        <v>0.03473</v>
      </c>
      <c r="S434">
        <f>IMAGE("https://mitra.stanford.edu/kundaje/oak/projects/neuro-variants/variant_position/credible/roussos_2024/variant_figures/roussos_2024.adolescence.GLU/rs7095093_count_position.png",4,220,900)</f>
        <v/>
      </c>
      <c r="T434">
        <f>IMAGE("https://mitra.stanford.edu/kundaje/oak/projects/neuro-variants/variant_position/credible/roussos_2024/variant_figures/roussos_2024.adolescence.GLU/rs7095093_profile_position.png",4,220,900)</f>
        <v/>
      </c>
    </row>
    <row r="435">
      <c r="A435" t="inlineStr">
        <is>
          <t>chr10</t>
        </is>
      </c>
      <c r="B435" t="n">
        <v>121957884</v>
      </c>
      <c r="C435" t="inlineStr">
        <is>
          <t>G</t>
        </is>
      </c>
      <c r="D435" t="inlineStr">
        <is>
          <t>A</t>
        </is>
      </c>
      <c r="E435" t="inlineStr">
        <is>
          <t>rs7923863</t>
        </is>
      </c>
      <c r="F435" t="n">
        <v>-0.00789181618</v>
      </c>
      <c r="G435" t="n">
        <v>0.6393296867739829</v>
      </c>
      <c r="H435" t="n">
        <v>0.0165550289173464</v>
      </c>
      <c r="I435" t="n">
        <v>0.1223957639219955</v>
      </c>
      <c r="J435" t="n">
        <v>0.0444963599602774</v>
      </c>
      <c r="K435" t="n">
        <v>0.7207725303696468</v>
      </c>
      <c r="L435" t="b">
        <v>0</v>
      </c>
      <c r="M435" t="b">
        <v>0</v>
      </c>
      <c r="N435" t="inlineStr">
        <is>
          <t>ref</t>
        </is>
      </c>
      <c r="O435" t="n">
        <v>-75</v>
      </c>
      <c r="P435" t="n">
        <v>0.002502</v>
      </c>
      <c r="Q435" t="n">
        <v>-95</v>
      </c>
      <c r="R435" t="n">
        <v>0.0968</v>
      </c>
      <c r="S435">
        <f>IMAGE("https://mitra.stanford.edu/kundaje/oak/projects/neuro-variants/variant_position/credible/roussos_2024/variant_figures/roussos_2024.adolescence.GLU/rs7923863_count_position.png",4,220,900)</f>
        <v/>
      </c>
      <c r="T435">
        <f>IMAGE("https://mitra.stanford.edu/kundaje/oak/projects/neuro-variants/variant_position/credible/roussos_2024/variant_figures/roussos_2024.adolescence.GLU/rs7923863_profile_position.png",4,220,900)</f>
        <v/>
      </c>
    </row>
    <row r="436">
      <c r="A436" t="inlineStr">
        <is>
          <t>chr10</t>
        </is>
      </c>
      <c r="B436" t="n">
        <v>121965676</v>
      </c>
      <c r="C436" t="inlineStr">
        <is>
          <t>C</t>
        </is>
      </c>
      <c r="D436" t="inlineStr">
        <is>
          <t>A</t>
        </is>
      </c>
      <c r="E436" t="inlineStr">
        <is>
          <t>rs72839625</t>
        </is>
      </c>
      <c r="F436" t="n">
        <v>-0.006676341634</v>
      </c>
      <c r="G436" t="n">
        <v>0.6588668284011934</v>
      </c>
      <c r="H436" t="n">
        <v>0.0074894665356694</v>
      </c>
      <c r="I436" t="n">
        <v>0.8593600295920886</v>
      </c>
      <c r="J436" t="n">
        <v>0.1395431910895828</v>
      </c>
      <c r="K436" t="n">
        <v>0.5011617723582004</v>
      </c>
      <c r="L436" t="b">
        <v>0</v>
      </c>
      <c r="M436" t="b">
        <v>0</v>
      </c>
      <c r="N436" t="inlineStr">
        <is>
          <t>ref</t>
        </is>
      </c>
      <c r="O436" t="n">
        <v>40</v>
      </c>
      <c r="P436" t="n">
        <v>0.004517</v>
      </c>
      <c r="Q436" t="n">
        <v>5</v>
      </c>
      <c r="R436" t="n">
        <v>0.002441</v>
      </c>
      <c r="S436">
        <f>IMAGE("https://mitra.stanford.edu/kundaje/oak/projects/neuro-variants/variant_position/credible/roussos_2024/variant_figures/roussos_2024.adolescence.GLU/rs72839625_count_position.png",4,220,900)</f>
        <v/>
      </c>
      <c r="T436">
        <f>IMAGE("https://mitra.stanford.edu/kundaje/oak/projects/neuro-variants/variant_position/credible/roussos_2024/variant_figures/roussos_2024.adolescence.GLU/rs72839625_profile_position.png",4,220,900)</f>
        <v/>
      </c>
    </row>
    <row r="437">
      <c r="A437" t="inlineStr">
        <is>
          <t>chr10</t>
        </is>
      </c>
      <c r="B437" t="n">
        <v>122144041</v>
      </c>
      <c r="C437" t="inlineStr">
        <is>
          <t>T</t>
        </is>
      </c>
      <c r="D437" t="inlineStr">
        <is>
          <t>C</t>
        </is>
      </c>
      <c r="E437" t="inlineStr">
        <is>
          <t>rs7902292</t>
        </is>
      </c>
      <c r="F437" t="n">
        <v>0.000579631492</v>
      </c>
      <c r="G437" t="n">
        <v>0.6647125216934734</v>
      </c>
      <c r="H437" t="n">
        <v>0.010691345059624</v>
      </c>
      <c r="I437" t="n">
        <v>0.4404867397764397</v>
      </c>
      <c r="J437" t="n">
        <v>0.3951704281601189</v>
      </c>
      <c r="K437" t="n">
        <v>0.1714235749579881</v>
      </c>
      <c r="L437" t="b">
        <v>0</v>
      </c>
      <c r="M437" t="b">
        <v>0</v>
      </c>
      <c r="N437" t="inlineStr">
        <is>
          <t>alt</t>
        </is>
      </c>
      <c r="O437" t="n">
        <v>100</v>
      </c>
      <c r="P437" t="n">
        <v>0.002842</v>
      </c>
      <c r="Q437" t="n">
        <v>-5</v>
      </c>
      <c r="R437" t="n">
        <v>0.006104</v>
      </c>
      <c r="S437">
        <f>IMAGE("https://mitra.stanford.edu/kundaje/oak/projects/neuro-variants/variant_position/credible/roussos_2024/variant_figures/roussos_2024.adolescence.GLU/rs7902292_count_position.png",4,220,900)</f>
        <v/>
      </c>
      <c r="T437">
        <f>IMAGE("https://mitra.stanford.edu/kundaje/oak/projects/neuro-variants/variant_position/credible/roussos_2024/variant_figures/roussos_2024.adolescence.GLU/rs7902292_profile_position.png",4,220,900)</f>
        <v/>
      </c>
    </row>
    <row r="438">
      <c r="A438" t="inlineStr">
        <is>
          <t>chr10</t>
        </is>
      </c>
      <c r="B438" t="n">
        <v>122152783</v>
      </c>
      <c r="C438" t="inlineStr">
        <is>
          <t>T</t>
        </is>
      </c>
      <c r="D438" t="inlineStr">
        <is>
          <t>C</t>
        </is>
      </c>
      <c r="E438" t="inlineStr">
        <is>
          <t>rs4752661</t>
        </is>
      </c>
      <c r="F438" t="n">
        <v>0.0233419864</v>
      </c>
      <c r="G438" t="n">
        <v>0.2332895997130047</v>
      </c>
      <c r="H438" t="n">
        <v>0.0093104780025058</v>
      </c>
      <c r="I438" t="n">
        <v>0.6052932230801351</v>
      </c>
      <c r="J438" t="n">
        <v>0.4046638232205241</v>
      </c>
      <c r="K438" t="n">
        <v>0.1628232031035199</v>
      </c>
      <c r="L438" t="b">
        <v>0</v>
      </c>
      <c r="M438" t="b">
        <v>0</v>
      </c>
      <c r="N438" t="inlineStr">
        <is>
          <t>alt</t>
        </is>
      </c>
      <c r="O438" t="n">
        <v>100</v>
      </c>
      <c r="P438" t="n">
        <v>0.009379999999999999</v>
      </c>
      <c r="Q438" t="n">
        <v>-100</v>
      </c>
      <c r="R438" t="n">
        <v>0.09093999999999999</v>
      </c>
      <c r="S438">
        <f>IMAGE("https://mitra.stanford.edu/kundaje/oak/projects/neuro-variants/variant_position/credible/roussos_2024/variant_figures/roussos_2024.adolescence.GLU/rs4752661_count_position.png",4,220,900)</f>
        <v/>
      </c>
      <c r="T438">
        <f>IMAGE("https://mitra.stanford.edu/kundaje/oak/projects/neuro-variants/variant_position/credible/roussos_2024/variant_figures/roussos_2024.adolescence.GLU/rs4752661_profile_position.png",4,220,900)</f>
        <v/>
      </c>
    </row>
    <row r="439">
      <c r="A439" t="inlineStr">
        <is>
          <t>chr11</t>
        </is>
      </c>
      <c r="B439" t="n">
        <v>17018871</v>
      </c>
      <c r="C439" t="inlineStr">
        <is>
          <t>C</t>
        </is>
      </c>
      <c r="D439" t="inlineStr">
        <is>
          <t>A</t>
        </is>
      </c>
      <c r="E439" t="inlineStr">
        <is>
          <t>rs10832723</t>
        </is>
      </c>
      <c r="F439" t="n">
        <v>0.00240696818</v>
      </c>
      <c r="G439" t="n">
        <v>0.6382475738945694</v>
      </c>
      <c r="H439" t="n">
        <v>0.0089148551991955</v>
      </c>
      <c r="I439" t="n">
        <v>0.6816573836356994</v>
      </c>
      <c r="J439" t="n">
        <v>0.009056161633481099</v>
      </c>
      <c r="K439" t="n">
        <v>0.8827808416245121</v>
      </c>
      <c r="L439" t="b">
        <v>0</v>
      </c>
      <c r="M439" t="b">
        <v>0</v>
      </c>
      <c r="N439" t="inlineStr">
        <is>
          <t>alt</t>
        </is>
      </c>
      <c r="O439" t="n">
        <v>-50</v>
      </c>
      <c r="P439" t="n">
        <v>0.005043</v>
      </c>
      <c r="Q439" t="n">
        <v>-100</v>
      </c>
      <c r="R439" t="n">
        <v>0.05804</v>
      </c>
      <c r="S439">
        <f>IMAGE("https://mitra.stanford.edu/kundaje/oak/projects/neuro-variants/variant_position/credible/roussos_2024/variant_figures/roussos_2024.adolescence.GLU/rs10832723_count_position.png",4,220,900)</f>
        <v/>
      </c>
      <c r="T439">
        <f>IMAGE("https://mitra.stanford.edu/kundaje/oak/projects/neuro-variants/variant_position/credible/roussos_2024/variant_figures/roussos_2024.adolescence.GLU/rs10832723_profile_position.png",4,220,900)</f>
        <v/>
      </c>
    </row>
    <row r="440">
      <c r="A440" t="inlineStr">
        <is>
          <t>chr11</t>
        </is>
      </c>
      <c r="B440" t="n">
        <v>17021494</v>
      </c>
      <c r="C440" t="inlineStr">
        <is>
          <t>G</t>
        </is>
      </c>
      <c r="D440" t="inlineStr">
        <is>
          <t>A</t>
        </is>
      </c>
      <c r="E440" t="inlineStr">
        <is>
          <t>rs4456241</t>
        </is>
      </c>
      <c r="F440" t="n">
        <v>-0.14182266</v>
      </c>
      <c r="G440" t="n">
        <v>0.0029737284918586</v>
      </c>
      <c r="H440" t="n">
        <v>0.0263923563588201</v>
      </c>
      <c r="I440" t="n">
        <v>0.0206563306473384</v>
      </c>
      <c r="J440" t="n">
        <v>0.3993155725114488</v>
      </c>
      <c r="K440" t="n">
        <v>0.1663016185825364</v>
      </c>
      <c r="L440" t="b">
        <v>1</v>
      </c>
      <c r="M440" t="b">
        <v>1</v>
      </c>
      <c r="N440" t="inlineStr">
        <is>
          <t>ref</t>
        </is>
      </c>
      <c r="O440" t="n">
        <v>60</v>
      </c>
      <c r="P440" t="n">
        <v>0.01483</v>
      </c>
      <c r="Q440" t="n">
        <v>100</v>
      </c>
      <c r="R440" t="n">
        <v>0.1979</v>
      </c>
      <c r="S440">
        <f>IMAGE("https://mitra.stanford.edu/kundaje/oak/projects/neuro-variants/variant_position/credible/roussos_2024/variant_figures/roussos_2024.adolescence.GLU/rs4456241_count_position.png",4,220,900)</f>
        <v/>
      </c>
      <c r="T440">
        <f>IMAGE("https://mitra.stanford.edu/kundaje/oak/projects/neuro-variants/variant_position/credible/roussos_2024/variant_figures/roussos_2024.adolescence.GLU/rs4456241_profile_position.png",4,220,900)</f>
        <v/>
      </c>
    </row>
    <row r="441">
      <c r="A441" t="inlineStr">
        <is>
          <t>chr11</t>
        </is>
      </c>
      <c r="B441" t="n">
        <v>17026200</v>
      </c>
      <c r="C441" t="inlineStr">
        <is>
          <t>G</t>
        </is>
      </c>
      <c r="D441" t="inlineStr">
        <is>
          <t>T</t>
        </is>
      </c>
      <c r="E441" t="inlineStr">
        <is>
          <t>rs77545208</t>
        </is>
      </c>
      <c r="F441" t="n">
        <v>0.0021648249599999</v>
      </c>
      <c r="G441" t="n">
        <v>0.7927367422632373</v>
      </c>
      <c r="H441" t="n">
        <v>0.0199543789956694</v>
      </c>
      <c r="I441" t="n">
        <v>0.0562730500497057</v>
      </c>
      <c r="J441" t="n">
        <v>0.1923869944488501</v>
      </c>
      <c r="K441" t="n">
        <v>0.4180236485141718</v>
      </c>
      <c r="L441" t="b">
        <v>0</v>
      </c>
      <c r="M441" t="b">
        <v>0</v>
      </c>
      <c r="N441" t="inlineStr">
        <is>
          <t>alt</t>
        </is>
      </c>
      <c r="O441" t="n">
        <v>100</v>
      </c>
      <c r="P441" t="n">
        <v>0.00925</v>
      </c>
      <c r="Q441" t="n">
        <v>-100</v>
      </c>
      <c r="R441" t="n">
        <v>0.007446</v>
      </c>
      <c r="S441">
        <f>IMAGE("https://mitra.stanford.edu/kundaje/oak/projects/neuro-variants/variant_position/credible/roussos_2024/variant_figures/roussos_2024.adolescence.GLU/rs77545208_count_position.png",4,220,900)</f>
        <v/>
      </c>
      <c r="T441">
        <f>IMAGE("https://mitra.stanford.edu/kundaje/oak/projects/neuro-variants/variant_position/credible/roussos_2024/variant_figures/roussos_2024.adolescence.GLU/rs77545208_profile_position.png",4,220,900)</f>
        <v/>
      </c>
    </row>
    <row r="442">
      <c r="A442" t="inlineStr">
        <is>
          <t>chr11</t>
        </is>
      </c>
      <c r="B442" t="n">
        <v>17027833</v>
      </c>
      <c r="C442" t="inlineStr">
        <is>
          <t>T</t>
        </is>
      </c>
      <c r="D442" t="inlineStr">
        <is>
          <t>A</t>
        </is>
      </c>
      <c r="E442" t="inlineStr">
        <is>
          <t>rs34902253</t>
        </is>
      </c>
      <c r="F442" t="n">
        <v>-0.00452958228</v>
      </c>
      <c r="G442" t="n">
        <v>0.7637306523375946</v>
      </c>
      <c r="H442" t="n">
        <v>0.0306435870532585</v>
      </c>
      <c r="I442" t="n">
        <v>0.0080570439498081</v>
      </c>
      <c r="J442" t="n">
        <v>0.0844260596837916</v>
      </c>
      <c r="K442" t="n">
        <v>0.6100527946185547</v>
      </c>
      <c r="L442" t="b">
        <v>1</v>
      </c>
      <c r="M442" t="b">
        <v>1</v>
      </c>
      <c r="N442" t="inlineStr">
        <is>
          <t>ref</t>
        </is>
      </c>
      <c r="O442" t="n">
        <v>-40</v>
      </c>
      <c r="P442" t="n">
        <v>0.001953</v>
      </c>
      <c r="Q442" t="n">
        <v>-100</v>
      </c>
      <c r="R442" t="n">
        <v>0.0713</v>
      </c>
      <c r="S442">
        <f>IMAGE("https://mitra.stanford.edu/kundaje/oak/projects/neuro-variants/variant_position/credible/roussos_2024/variant_figures/roussos_2024.adolescence.GLU/rs34902253_count_position.png",4,220,900)</f>
        <v/>
      </c>
      <c r="T442">
        <f>IMAGE("https://mitra.stanford.edu/kundaje/oak/projects/neuro-variants/variant_position/credible/roussos_2024/variant_figures/roussos_2024.adolescence.GLU/rs34902253_profile_position.png",4,220,900)</f>
        <v/>
      </c>
    </row>
    <row r="443">
      <c r="A443" t="inlineStr">
        <is>
          <t>chr11</t>
        </is>
      </c>
      <c r="B443" t="n">
        <v>17034171</v>
      </c>
      <c r="C443" t="inlineStr">
        <is>
          <t>A</t>
        </is>
      </c>
      <c r="D443" t="inlineStr">
        <is>
          <t>G</t>
        </is>
      </c>
      <c r="E443" t="inlineStr">
        <is>
          <t>rs7950225</t>
        </is>
      </c>
      <c r="F443" t="n">
        <v>0.0323779624</v>
      </c>
      <c r="G443" t="n">
        <v>0.1521335824855025</v>
      </c>
      <c r="H443" t="n">
        <v>0.0087675662914505</v>
      </c>
      <c r="I443" t="n">
        <v>0.6909271312226907</v>
      </c>
      <c r="J443" t="n">
        <v>0.5493838009301927</v>
      </c>
      <c r="K443" t="n">
        <v>0.0602555466328946</v>
      </c>
      <c r="L443" t="b">
        <v>0</v>
      </c>
      <c r="M443" t="b">
        <v>0</v>
      </c>
      <c r="N443" t="inlineStr">
        <is>
          <t>alt</t>
        </is>
      </c>
      <c r="O443" t="n">
        <v>95</v>
      </c>
      <c r="P443" t="n">
        <v>0.002432</v>
      </c>
      <c r="Q443" t="n">
        <v>95</v>
      </c>
      <c r="R443" t="n">
        <v>0.03772</v>
      </c>
      <c r="S443">
        <f>IMAGE("https://mitra.stanford.edu/kundaje/oak/projects/neuro-variants/variant_position/credible/roussos_2024/variant_figures/roussos_2024.adolescence.GLU/rs7950225_count_position.png",4,220,900)</f>
        <v/>
      </c>
      <c r="T443">
        <f>IMAGE("https://mitra.stanford.edu/kundaje/oak/projects/neuro-variants/variant_position/credible/roussos_2024/variant_figures/roussos_2024.adolescence.GLU/rs7950225_profile_position.png",4,220,900)</f>
        <v/>
      </c>
    </row>
    <row r="444">
      <c r="A444" t="inlineStr">
        <is>
          <t>chr11</t>
        </is>
      </c>
      <c r="B444" t="n">
        <v>17080007</v>
      </c>
      <c r="C444" t="inlineStr">
        <is>
          <t>C</t>
        </is>
      </c>
      <c r="D444" t="inlineStr">
        <is>
          <t>G</t>
        </is>
      </c>
      <c r="E444" t="inlineStr">
        <is>
          <t>rs12577418</t>
        </is>
      </c>
      <c r="F444" t="n">
        <v>-0.1026999582</v>
      </c>
      <c r="G444" t="n">
        <v>0.0071753197270212</v>
      </c>
      <c r="H444" t="n">
        <v>0.0244610342339665</v>
      </c>
      <c r="I444" t="n">
        <v>0.022945239751498</v>
      </c>
      <c r="J444" t="n">
        <v>0.2842703131362925</v>
      </c>
      <c r="K444" t="n">
        <v>0.2913701419450075</v>
      </c>
      <c r="L444" t="b">
        <v>1</v>
      </c>
      <c r="M444" t="b">
        <v>1</v>
      </c>
      <c r="N444" t="inlineStr">
        <is>
          <t>ref</t>
        </is>
      </c>
      <c r="O444" t="n">
        <v>-100</v>
      </c>
      <c r="P444" t="n">
        <v>0.0066</v>
      </c>
      <c r="Q444" t="n">
        <v>100</v>
      </c>
      <c r="R444" t="n">
        <v>0.10205</v>
      </c>
      <c r="S444">
        <f>IMAGE("https://mitra.stanford.edu/kundaje/oak/projects/neuro-variants/variant_position/credible/roussos_2024/variant_figures/roussos_2024.adolescence.GLU/rs12577418_count_position.png",4,220,900)</f>
        <v/>
      </c>
      <c r="T444">
        <f>IMAGE("https://mitra.stanford.edu/kundaje/oak/projects/neuro-variants/variant_position/credible/roussos_2024/variant_figures/roussos_2024.adolescence.GLU/rs12577418_profile_position.png",4,220,900)</f>
        <v/>
      </c>
    </row>
    <row r="445">
      <c r="A445" t="inlineStr">
        <is>
          <t>chr11</t>
        </is>
      </c>
      <c r="B445" t="n">
        <v>17084183</v>
      </c>
      <c r="C445" t="inlineStr">
        <is>
          <t>T</t>
        </is>
      </c>
      <c r="D445" t="inlineStr">
        <is>
          <t>G</t>
        </is>
      </c>
      <c r="E445" t="inlineStr">
        <is>
          <t>rs11024151</t>
        </is>
      </c>
      <c r="F445" t="n">
        <v>0.0002524491</v>
      </c>
      <c r="G445" t="n">
        <v>0.7584773477490094</v>
      </c>
      <c r="H445" t="n">
        <v>0.0299415939909445</v>
      </c>
      <c r="I445" t="n">
        <v>0.0095084498882998</v>
      </c>
      <c r="J445" t="n">
        <v>0.057384743982682</v>
      </c>
      <c r="K445" t="n">
        <v>0.6956316470980588</v>
      </c>
      <c r="L445" t="b">
        <v>1</v>
      </c>
      <c r="M445" t="b">
        <v>1</v>
      </c>
      <c r="N445" t="inlineStr">
        <is>
          <t>alt</t>
        </is>
      </c>
      <c r="O445" t="n">
        <v>-100</v>
      </c>
      <c r="P445" t="n">
        <v>0.003891</v>
      </c>
      <c r="Q445" t="n">
        <v>45</v>
      </c>
      <c r="R445" t="n">
        <v>0.02686</v>
      </c>
      <c r="S445">
        <f>IMAGE("https://mitra.stanford.edu/kundaje/oak/projects/neuro-variants/variant_position/credible/roussos_2024/variant_figures/roussos_2024.adolescence.GLU/rs11024151_count_position.png",4,220,900)</f>
        <v/>
      </c>
      <c r="T445">
        <f>IMAGE("https://mitra.stanford.edu/kundaje/oak/projects/neuro-variants/variant_position/credible/roussos_2024/variant_figures/roussos_2024.adolescence.GLU/rs11024151_profile_position.png",4,220,900)</f>
        <v/>
      </c>
    </row>
    <row r="446">
      <c r="A446" t="inlineStr">
        <is>
          <t>chr11</t>
        </is>
      </c>
      <c r="B446" t="n">
        <v>17086101</v>
      </c>
      <c r="C446" t="inlineStr">
        <is>
          <t>G</t>
        </is>
      </c>
      <c r="D446" t="inlineStr">
        <is>
          <t>C</t>
        </is>
      </c>
      <c r="E446" t="inlineStr">
        <is>
          <t>rs1987694</t>
        </is>
      </c>
      <c r="F446" t="n">
        <v>0.0378070232</v>
      </c>
      <c r="G446" t="n">
        <v>0.1146951619792878</v>
      </c>
      <c r="H446" t="n">
        <v>0.0126174517766238</v>
      </c>
      <c r="I446" t="n">
        <v>0.2916438636821035</v>
      </c>
      <c r="J446" t="n">
        <v>0.3421108658222059</v>
      </c>
      <c r="K446" t="n">
        <v>0.224463740744249</v>
      </c>
      <c r="L446" t="b">
        <v>0</v>
      </c>
      <c r="M446" t="b">
        <v>0</v>
      </c>
      <c r="N446" t="inlineStr">
        <is>
          <t>alt</t>
        </is>
      </c>
      <c r="O446" t="n">
        <v>50</v>
      </c>
      <c r="P446" t="n">
        <v>0.004868</v>
      </c>
      <c r="Q446" t="n">
        <v>5</v>
      </c>
      <c r="R446" t="n">
        <v>0.003418</v>
      </c>
      <c r="S446">
        <f>IMAGE("https://mitra.stanford.edu/kundaje/oak/projects/neuro-variants/variant_position/credible/roussos_2024/variant_figures/roussos_2024.adolescence.GLU/rs1987694_count_position.png",4,220,900)</f>
        <v/>
      </c>
      <c r="T446">
        <f>IMAGE("https://mitra.stanford.edu/kundaje/oak/projects/neuro-variants/variant_position/credible/roussos_2024/variant_figures/roussos_2024.adolescence.GLU/rs1987694_profile_position.png",4,220,900)</f>
        <v/>
      </c>
    </row>
    <row r="447">
      <c r="A447" t="inlineStr">
        <is>
          <t>chr11</t>
        </is>
      </c>
      <c r="B447" t="n">
        <v>17171928</v>
      </c>
      <c r="C447" t="inlineStr">
        <is>
          <t>T</t>
        </is>
      </c>
      <c r="D447" t="inlineStr">
        <is>
          <t>A</t>
        </is>
      </c>
      <c r="E447" t="inlineStr">
        <is>
          <t>rs214934</t>
        </is>
      </c>
      <c r="F447" t="n">
        <v>-0.00716108644</v>
      </c>
      <c r="G447" t="n">
        <v>0.6408366755374326</v>
      </c>
      <c r="H447" t="n">
        <v>0.0247082045651223</v>
      </c>
      <c r="I447" t="n">
        <v>0.0213572126554419</v>
      </c>
      <c r="J447" t="n">
        <v>0.0882539954704902</v>
      </c>
      <c r="K447" t="n">
        <v>0.5922565130590935</v>
      </c>
      <c r="L447" t="b">
        <v>0</v>
      </c>
      <c r="M447" t="b">
        <v>0</v>
      </c>
      <c r="N447" t="inlineStr">
        <is>
          <t>ref</t>
        </is>
      </c>
      <c r="O447" t="n">
        <v>100</v>
      </c>
      <c r="P447" t="n">
        <v>0.05493</v>
      </c>
      <c r="Q447" t="n">
        <v>95</v>
      </c>
      <c r="R447" t="n">
        <v>0.1125</v>
      </c>
      <c r="S447">
        <f>IMAGE("https://mitra.stanford.edu/kundaje/oak/projects/neuro-variants/variant_position/credible/roussos_2024/variant_figures/roussos_2024.adolescence.GLU/rs214934_count_position.png",4,220,900)</f>
        <v/>
      </c>
      <c r="T447">
        <f>IMAGE("https://mitra.stanford.edu/kundaje/oak/projects/neuro-variants/variant_position/credible/roussos_2024/variant_figures/roussos_2024.adolescence.GLU/rs214934_profile_position.png",4,220,900)</f>
        <v/>
      </c>
    </row>
    <row r="448">
      <c r="A448" t="inlineStr">
        <is>
          <t>chr11</t>
        </is>
      </c>
      <c r="B448" t="n">
        <v>17184972</v>
      </c>
      <c r="C448" t="inlineStr">
        <is>
          <t>A</t>
        </is>
      </c>
      <c r="D448" t="inlineStr">
        <is>
          <t>T</t>
        </is>
      </c>
      <c r="E448" t="inlineStr">
        <is>
          <t>rs664382</t>
        </is>
      </c>
      <c r="F448" t="n">
        <v>-0.00380864952</v>
      </c>
      <c r="G448" t="n">
        <v>0.7957213900704141</v>
      </c>
      <c r="H448" t="n">
        <v>0.030061165127578</v>
      </c>
      <c r="I448" t="n">
        <v>0.0088766567036911</v>
      </c>
      <c r="J448" t="n">
        <v>0.0180951768580634</v>
      </c>
      <c r="K448" t="n">
        <v>0.8253566107461169</v>
      </c>
      <c r="L448" t="b">
        <v>1</v>
      </c>
      <c r="M448" t="b">
        <v>0</v>
      </c>
      <c r="N448" t="inlineStr">
        <is>
          <t>ref</t>
        </is>
      </c>
      <c r="O448" t="n">
        <v>-20</v>
      </c>
      <c r="P448" t="n">
        <v>0.0004883</v>
      </c>
      <c r="Q448" t="n">
        <v>10</v>
      </c>
      <c r="R448" t="n">
        <v>0.01164</v>
      </c>
      <c r="S448">
        <f>IMAGE("https://mitra.stanford.edu/kundaje/oak/projects/neuro-variants/variant_position/credible/roussos_2024/variant_figures/roussos_2024.adolescence.GLU/rs664382_count_position.png",4,220,900)</f>
        <v/>
      </c>
      <c r="T448">
        <f>IMAGE("https://mitra.stanford.edu/kundaje/oak/projects/neuro-variants/variant_position/credible/roussos_2024/variant_figures/roussos_2024.adolescence.GLU/rs664382_profile_position.png",4,220,900)</f>
        <v/>
      </c>
    </row>
    <row r="449">
      <c r="A449" t="inlineStr">
        <is>
          <t>chr11</t>
        </is>
      </c>
      <c r="B449" t="n">
        <v>17185193</v>
      </c>
      <c r="C449" t="inlineStr">
        <is>
          <t>A</t>
        </is>
      </c>
      <c r="D449" t="inlineStr">
        <is>
          <t>T</t>
        </is>
      </c>
      <c r="E449" t="inlineStr">
        <is>
          <t>rs665311</t>
        </is>
      </c>
      <c r="F449" t="n">
        <v>-0.001269407226</v>
      </c>
      <c r="G449" t="n">
        <v>0.861477054101774</v>
      </c>
      <c r="H449" t="n">
        <v>0.0108435684863399</v>
      </c>
      <c r="I449" t="n">
        <v>0.4307808250207346</v>
      </c>
      <c r="J449" t="n">
        <v>0.0227418536696886</v>
      </c>
      <c r="K449" t="n">
        <v>0.803339638180558</v>
      </c>
      <c r="L449" t="b">
        <v>0</v>
      </c>
      <c r="M449" t="b">
        <v>0</v>
      </c>
      <c r="N449" t="inlineStr">
        <is>
          <t>ref</t>
        </is>
      </c>
      <c r="O449" t="n">
        <v>-100</v>
      </c>
      <c r="P449" t="n">
        <v>0.0742</v>
      </c>
      <c r="Q449" t="n">
        <v>-60</v>
      </c>
      <c r="R449" t="n">
        <v>0.007324</v>
      </c>
      <c r="S449">
        <f>IMAGE("https://mitra.stanford.edu/kundaje/oak/projects/neuro-variants/variant_position/credible/roussos_2024/variant_figures/roussos_2024.adolescence.GLU/rs665311_count_position.png",4,220,900)</f>
        <v/>
      </c>
      <c r="T449">
        <f>IMAGE("https://mitra.stanford.edu/kundaje/oak/projects/neuro-variants/variant_position/credible/roussos_2024/variant_figures/roussos_2024.adolescence.GLU/rs665311_profile_position.png",4,220,900)</f>
        <v/>
      </c>
    </row>
    <row r="450">
      <c r="A450" t="inlineStr">
        <is>
          <t>chr11</t>
        </is>
      </c>
      <c r="B450" t="n">
        <v>17188885</v>
      </c>
      <c r="C450" t="inlineStr">
        <is>
          <t>T</t>
        </is>
      </c>
      <c r="D450" t="inlineStr">
        <is>
          <t>C</t>
        </is>
      </c>
      <c r="E450" t="inlineStr">
        <is>
          <t>rs615358</t>
        </is>
      </c>
      <c r="F450" t="n">
        <v>-0.01478485932</v>
      </c>
      <c r="G450" t="n">
        <v>0.4032600890567782</v>
      </c>
      <c r="H450" t="n">
        <v>0.0129963016751861</v>
      </c>
      <c r="I450" t="n">
        <v>0.2622391432896191</v>
      </c>
      <c r="J450" t="n">
        <v>0.2190510891541819</v>
      </c>
      <c r="K450" t="n">
        <v>0.3762786911952746</v>
      </c>
      <c r="L450" t="b">
        <v>0</v>
      </c>
      <c r="M450" t="b">
        <v>0</v>
      </c>
      <c r="N450" t="inlineStr">
        <is>
          <t>ref</t>
        </is>
      </c>
      <c r="O450" t="n">
        <v>90</v>
      </c>
      <c r="P450" t="n">
        <v>0.01581</v>
      </c>
      <c r="Q450" t="n">
        <v>90</v>
      </c>
      <c r="R450" t="n">
        <v>0.07214</v>
      </c>
      <c r="S450">
        <f>IMAGE("https://mitra.stanford.edu/kundaje/oak/projects/neuro-variants/variant_position/credible/roussos_2024/variant_figures/roussos_2024.adolescence.GLU/rs615358_count_position.png",4,220,900)</f>
        <v/>
      </c>
      <c r="T450">
        <f>IMAGE("https://mitra.stanford.edu/kundaje/oak/projects/neuro-variants/variant_position/credible/roussos_2024/variant_figures/roussos_2024.adolescence.GLU/rs615358_profile_position.png",4,220,900)</f>
        <v/>
      </c>
    </row>
    <row r="451">
      <c r="A451" t="inlineStr">
        <is>
          <t>chr11</t>
        </is>
      </c>
      <c r="B451" t="n">
        <v>17188934</v>
      </c>
      <c r="C451" t="inlineStr">
        <is>
          <t>G</t>
        </is>
      </c>
      <c r="D451" t="inlineStr">
        <is>
          <t>A</t>
        </is>
      </c>
      <c r="E451" t="inlineStr">
        <is>
          <t>rs615424</t>
        </is>
      </c>
      <c r="F451" t="n">
        <v>-0.0587497208</v>
      </c>
      <c r="G451" t="n">
        <v>0.0467449330030835</v>
      </c>
      <c r="H451" t="n">
        <v>0.0308943590790361</v>
      </c>
      <c r="I451" t="n">
        <v>0.0098522975249509</v>
      </c>
      <c r="J451" t="n">
        <v>0.2146501775367754</v>
      </c>
      <c r="K451" t="n">
        <v>0.3824461836645132</v>
      </c>
      <c r="L451" t="b">
        <v>1</v>
      </c>
      <c r="M451" t="b">
        <v>1</v>
      </c>
      <c r="N451" t="inlineStr">
        <is>
          <t>ref</t>
        </is>
      </c>
      <c r="O451" t="n">
        <v>55</v>
      </c>
      <c r="P451" t="n">
        <v>0.003677</v>
      </c>
      <c r="Q451" t="n">
        <v>55</v>
      </c>
      <c r="R451" t="n">
        <v>0.008789999999999999</v>
      </c>
      <c r="S451">
        <f>IMAGE("https://mitra.stanford.edu/kundaje/oak/projects/neuro-variants/variant_position/credible/roussos_2024/variant_figures/roussos_2024.adolescence.GLU/rs615424_count_position.png",4,220,900)</f>
        <v/>
      </c>
      <c r="T451">
        <f>IMAGE("https://mitra.stanford.edu/kundaje/oak/projects/neuro-variants/variant_position/credible/roussos_2024/variant_figures/roussos_2024.adolescence.GLU/rs615424_profile_position.png",4,220,900)</f>
        <v/>
      </c>
    </row>
    <row r="452">
      <c r="A452" t="inlineStr">
        <is>
          <t>chr11</t>
        </is>
      </c>
      <c r="B452" t="n">
        <v>19291073</v>
      </c>
      <c r="C452" t="inlineStr">
        <is>
          <t>A</t>
        </is>
      </c>
      <c r="D452" t="inlineStr">
        <is>
          <t>G</t>
        </is>
      </c>
      <c r="E452" t="inlineStr">
        <is>
          <t>rs2553965</t>
        </is>
      </c>
      <c r="F452" t="n">
        <v>0.0628678006</v>
      </c>
      <c r="G452" t="n">
        <v>0.0311926781306364</v>
      </c>
      <c r="H452" t="n">
        <v>0.0107909999103561</v>
      </c>
      <c r="I452" t="n">
        <v>0.4536138634310429</v>
      </c>
      <c r="J452" t="n">
        <v>0.1409349079452171</v>
      </c>
      <c r="K452" t="n">
        <v>0.4968422336054138</v>
      </c>
      <c r="L452" t="b">
        <v>0</v>
      </c>
      <c r="M452" t="b">
        <v>0</v>
      </c>
      <c r="N452" t="inlineStr">
        <is>
          <t>alt</t>
        </is>
      </c>
      <c r="O452" t="n">
        <v>75</v>
      </c>
      <c r="P452" t="n">
        <v>0.005154</v>
      </c>
      <c r="Q452" t="n">
        <v>-35</v>
      </c>
      <c r="R452" t="n">
        <v>0.0004272</v>
      </c>
      <c r="S452">
        <f>IMAGE("https://mitra.stanford.edu/kundaje/oak/projects/neuro-variants/variant_position/credible/roussos_2024/variant_figures/roussos_2024.adolescence.GLU/rs2553965_count_position.png",4,220,900)</f>
        <v/>
      </c>
      <c r="T452">
        <f>IMAGE("https://mitra.stanford.edu/kundaje/oak/projects/neuro-variants/variant_position/credible/roussos_2024/variant_figures/roussos_2024.adolescence.GLU/rs2553965_profile_position.png",4,220,900)</f>
        <v/>
      </c>
    </row>
    <row r="453">
      <c r="A453" t="inlineStr">
        <is>
          <t>chr11</t>
        </is>
      </c>
      <c r="B453" t="n">
        <v>19300107</v>
      </c>
      <c r="C453" t="inlineStr">
        <is>
          <t>C</t>
        </is>
      </c>
      <c r="D453" t="inlineStr">
        <is>
          <t>T</t>
        </is>
      </c>
      <c r="E453" t="inlineStr">
        <is>
          <t>rs712017</t>
        </is>
      </c>
      <c r="F453" t="n">
        <v>-0.0614015052</v>
      </c>
      <c r="G453" t="n">
        <v>0.0417558863186506</v>
      </c>
      <c r="H453" t="n">
        <v>0.0178357361437055</v>
      </c>
      <c r="I453" t="n">
        <v>0.1035397956701437</v>
      </c>
      <c r="J453" t="n">
        <v>0.1310942981046073</v>
      </c>
      <c r="K453" t="n">
        <v>0.5061258608426774</v>
      </c>
      <c r="L453" t="b">
        <v>0</v>
      </c>
      <c r="M453" t="b">
        <v>0</v>
      </c>
      <c r="N453" t="inlineStr">
        <is>
          <t>ref</t>
        </is>
      </c>
      <c r="O453" t="n">
        <v>85</v>
      </c>
      <c r="P453" t="n">
        <v>0.01593</v>
      </c>
      <c r="Q453" t="n">
        <v>-40</v>
      </c>
      <c r="R453" t="n">
        <v>0.0232</v>
      </c>
      <c r="S453">
        <f>IMAGE("https://mitra.stanford.edu/kundaje/oak/projects/neuro-variants/variant_position/credible/roussos_2024/variant_figures/roussos_2024.adolescence.GLU/rs712017_count_position.png",4,220,900)</f>
        <v/>
      </c>
      <c r="T453">
        <f>IMAGE("https://mitra.stanford.edu/kundaje/oak/projects/neuro-variants/variant_position/credible/roussos_2024/variant_figures/roussos_2024.adolescence.GLU/rs712017_profile_position.png",4,220,900)</f>
        <v/>
      </c>
    </row>
    <row r="454">
      <c r="A454" t="inlineStr">
        <is>
          <t>chr11</t>
        </is>
      </c>
      <c r="B454" t="n">
        <v>19300979</v>
      </c>
      <c r="C454" t="inlineStr">
        <is>
          <t>T</t>
        </is>
      </c>
      <c r="D454" t="inlineStr">
        <is>
          <t>C</t>
        </is>
      </c>
      <c r="E454" t="inlineStr">
        <is>
          <t>rs813212</t>
        </is>
      </c>
      <c r="F454" t="n">
        <v>-0.00466993794</v>
      </c>
      <c r="G454" t="n">
        <v>0.7385233060950028</v>
      </c>
      <c r="H454" t="n">
        <v>0.0110707116081151</v>
      </c>
      <c r="I454" t="n">
        <v>0.4194728873022456</v>
      </c>
      <c r="J454" t="n">
        <v>0.07319944845718029</v>
      </c>
      <c r="K454" t="n">
        <v>0.629424675145165</v>
      </c>
      <c r="L454" t="b">
        <v>0</v>
      </c>
      <c r="M454" t="b">
        <v>0</v>
      </c>
      <c r="N454" t="inlineStr">
        <is>
          <t>ref</t>
        </is>
      </c>
      <c r="O454" t="n">
        <v>70</v>
      </c>
      <c r="P454" t="n">
        <v>0.02615</v>
      </c>
      <c r="Q454" t="n">
        <v>70</v>
      </c>
      <c r="R454" t="n">
        <v>0.0667</v>
      </c>
      <c r="S454">
        <f>IMAGE("https://mitra.stanford.edu/kundaje/oak/projects/neuro-variants/variant_position/credible/roussos_2024/variant_figures/roussos_2024.adolescence.GLU/rs813212_count_position.png",4,220,900)</f>
        <v/>
      </c>
      <c r="T454">
        <f>IMAGE("https://mitra.stanford.edu/kundaje/oak/projects/neuro-variants/variant_position/credible/roussos_2024/variant_figures/roussos_2024.adolescence.GLU/rs813212_profile_position.png",4,220,900)</f>
        <v/>
      </c>
    </row>
    <row r="455">
      <c r="A455" t="inlineStr">
        <is>
          <t>chr11</t>
        </is>
      </c>
      <c r="B455" t="n">
        <v>19302550</v>
      </c>
      <c r="C455" t="inlineStr">
        <is>
          <t>T</t>
        </is>
      </c>
      <c r="D455" t="inlineStr">
        <is>
          <t>C</t>
        </is>
      </c>
      <c r="E455" t="inlineStr">
        <is>
          <t>rs1087110</t>
        </is>
      </c>
      <c r="F455" t="n">
        <v>0.0571054148</v>
      </c>
      <c r="G455" t="n">
        <v>0.0402118799277525</v>
      </c>
      <c r="H455" t="n">
        <v>0.0168948994484854</v>
      </c>
      <c r="I455" t="n">
        <v>0.1116194641106766</v>
      </c>
      <c r="J455" t="n">
        <v>0.1068692800651563</v>
      </c>
      <c r="K455" t="n">
        <v>0.5609523435150841</v>
      </c>
      <c r="L455" t="b">
        <v>0</v>
      </c>
      <c r="M455" t="b">
        <v>0</v>
      </c>
      <c r="N455" t="inlineStr">
        <is>
          <t>alt</t>
        </is>
      </c>
      <c r="O455" t="n">
        <v>-80</v>
      </c>
      <c r="P455" t="n">
        <v>0.002241</v>
      </c>
      <c r="Q455" t="n">
        <v>95</v>
      </c>
      <c r="R455" t="n">
        <v>0.0399</v>
      </c>
      <c r="S455">
        <f>IMAGE("https://mitra.stanford.edu/kundaje/oak/projects/neuro-variants/variant_position/credible/roussos_2024/variant_figures/roussos_2024.adolescence.GLU/rs1087110_count_position.png",4,220,900)</f>
        <v/>
      </c>
      <c r="T455">
        <f>IMAGE("https://mitra.stanford.edu/kundaje/oak/projects/neuro-variants/variant_position/credible/roussos_2024/variant_figures/roussos_2024.adolescence.GLU/rs1087110_profile_position.png",4,220,900)</f>
        <v/>
      </c>
    </row>
    <row r="456">
      <c r="A456" t="inlineStr">
        <is>
          <t>chr11</t>
        </is>
      </c>
      <c r="B456" t="n">
        <v>19307579</v>
      </c>
      <c r="C456" t="inlineStr">
        <is>
          <t>C</t>
        </is>
      </c>
      <c r="D456" t="inlineStr">
        <is>
          <t>A</t>
        </is>
      </c>
      <c r="E456" t="inlineStr">
        <is>
          <t>rs1698887</t>
        </is>
      </c>
      <c r="F456" t="n">
        <v>-0.02186165618</v>
      </c>
      <c r="G456" t="n">
        <v>0.2751722026023819</v>
      </c>
      <c r="H456" t="n">
        <v>0.009683484026535899</v>
      </c>
      <c r="I456" t="n">
        <v>0.5511439628521351</v>
      </c>
      <c r="J456" t="n">
        <v>0.4751755720827885</v>
      </c>
      <c r="K456" t="n">
        <v>0.1058512790951105</v>
      </c>
      <c r="L456" t="b">
        <v>0</v>
      </c>
      <c r="M456" t="b">
        <v>0</v>
      </c>
      <c r="N456" t="inlineStr">
        <is>
          <t>ref</t>
        </is>
      </c>
      <c r="O456" t="n">
        <v>15</v>
      </c>
      <c r="P456" t="n">
        <v>0.003906</v>
      </c>
      <c r="Q456" t="n">
        <v>20</v>
      </c>
      <c r="R456" t="n">
        <v>0.02222</v>
      </c>
      <c r="S456">
        <f>IMAGE("https://mitra.stanford.edu/kundaje/oak/projects/neuro-variants/variant_position/credible/roussos_2024/variant_figures/roussos_2024.adolescence.GLU/rs1698887_count_position.png",4,220,900)</f>
        <v/>
      </c>
      <c r="T456">
        <f>IMAGE("https://mitra.stanford.edu/kundaje/oak/projects/neuro-variants/variant_position/credible/roussos_2024/variant_figures/roussos_2024.adolescence.GLU/rs1698887_profile_position.png",4,220,900)</f>
        <v/>
      </c>
    </row>
    <row r="457">
      <c r="A457" t="inlineStr">
        <is>
          <t>chr11</t>
        </is>
      </c>
      <c r="B457" t="n">
        <v>19311710</v>
      </c>
      <c r="C457" t="inlineStr">
        <is>
          <t>T</t>
        </is>
      </c>
      <c r="D457" t="inlineStr">
        <is>
          <t>C</t>
        </is>
      </c>
      <c r="E457" t="inlineStr">
        <is>
          <t>rs11025099</t>
        </is>
      </c>
      <c r="F457" t="n">
        <v>0.0641955394</v>
      </c>
      <c r="G457" t="n">
        <v>0.0298469392395555</v>
      </c>
      <c r="H457" t="n">
        <v>0.0133212638411334</v>
      </c>
      <c r="I457" t="n">
        <v>0.249296696180575</v>
      </c>
      <c r="J457" t="n">
        <v>0.538270070228833</v>
      </c>
      <c r="K457" t="n">
        <v>0.0668760820972065</v>
      </c>
      <c r="L457" t="b">
        <v>0</v>
      </c>
      <c r="M457" t="b">
        <v>0</v>
      </c>
      <c r="N457" t="inlineStr">
        <is>
          <t>alt</t>
        </is>
      </c>
      <c r="O457" t="n">
        <v>-90</v>
      </c>
      <c r="P457" t="n">
        <v>0.10516</v>
      </c>
      <c r="Q457" t="n">
        <v>-90</v>
      </c>
      <c r="R457" t="n">
        <v>0.3318</v>
      </c>
      <c r="S457">
        <f>IMAGE("https://mitra.stanford.edu/kundaje/oak/projects/neuro-variants/variant_position/credible/roussos_2024/variant_figures/roussos_2024.adolescence.GLU/rs11025099_count_position.png",4,220,900)</f>
        <v/>
      </c>
      <c r="T457">
        <f>IMAGE("https://mitra.stanford.edu/kundaje/oak/projects/neuro-variants/variant_position/credible/roussos_2024/variant_figures/roussos_2024.adolescence.GLU/rs11025099_profile_position.png",4,220,900)</f>
        <v/>
      </c>
    </row>
    <row r="458">
      <c r="A458" t="inlineStr">
        <is>
          <t>chr11</t>
        </is>
      </c>
      <c r="B458" t="n">
        <v>19314074</v>
      </c>
      <c r="C458" t="inlineStr">
        <is>
          <t>C</t>
        </is>
      </c>
      <c r="D458" t="inlineStr">
        <is>
          <t>T</t>
        </is>
      </c>
      <c r="E458" t="inlineStr">
        <is>
          <t>rs10833094</t>
        </is>
      </c>
      <c r="F458" t="n">
        <v>0.055926796</v>
      </c>
      <c r="G458" t="n">
        <v>0.041552202514321</v>
      </c>
      <c r="H458" t="n">
        <v>0.0218071200630507</v>
      </c>
      <c r="I458" t="n">
        <v>0.0367823412975567</v>
      </c>
      <c r="J458" t="n">
        <v>0.3833179730086946</v>
      </c>
      <c r="K458" t="n">
        <v>0.1806061518010988</v>
      </c>
      <c r="L458" t="b">
        <v>0</v>
      </c>
      <c r="M458" t="b">
        <v>0</v>
      </c>
      <c r="N458" t="inlineStr">
        <is>
          <t>alt</t>
        </is>
      </c>
      <c r="O458" t="n">
        <v>-95</v>
      </c>
      <c r="P458" t="n">
        <v>0.01675</v>
      </c>
      <c r="Q458" t="n">
        <v>-75</v>
      </c>
      <c r="R458" t="n">
        <v>0.1364</v>
      </c>
      <c r="S458">
        <f>IMAGE("https://mitra.stanford.edu/kundaje/oak/projects/neuro-variants/variant_position/credible/roussos_2024/variant_figures/roussos_2024.adolescence.GLU/rs10833094_count_position.png",4,220,900)</f>
        <v/>
      </c>
      <c r="T458">
        <f>IMAGE("https://mitra.stanford.edu/kundaje/oak/projects/neuro-variants/variant_position/credible/roussos_2024/variant_figures/roussos_2024.adolescence.GLU/rs10833094_profile_position.png",4,220,900)</f>
        <v/>
      </c>
    </row>
    <row r="459">
      <c r="A459" t="inlineStr">
        <is>
          <t>chr11</t>
        </is>
      </c>
      <c r="B459" t="n">
        <v>19321010</v>
      </c>
      <c r="C459" t="inlineStr">
        <is>
          <t>G</t>
        </is>
      </c>
      <c r="D459" t="inlineStr">
        <is>
          <t>A</t>
        </is>
      </c>
      <c r="E459" t="inlineStr">
        <is>
          <t>rs57208920</t>
        </is>
      </c>
      <c r="F459" t="n">
        <v>-0.0388624302</v>
      </c>
      <c r="G459" t="n">
        <v>0.1162652404108253</v>
      </c>
      <c r="H459" t="n">
        <v>0.009317274472883901</v>
      </c>
      <c r="I459" t="n">
        <v>0.6033379099061922</v>
      </c>
      <c r="J459" t="n">
        <v>0.1101056647448399</v>
      </c>
      <c r="K459" t="n">
        <v>0.5554716496934478</v>
      </c>
      <c r="L459" t="b">
        <v>0</v>
      </c>
      <c r="M459" t="b">
        <v>0</v>
      </c>
      <c r="N459" t="inlineStr">
        <is>
          <t>ref</t>
        </is>
      </c>
      <c r="O459" t="n">
        <v>90</v>
      </c>
      <c r="P459" t="n">
        <v>0.02242</v>
      </c>
      <c r="Q459" t="n">
        <v>95</v>
      </c>
      <c r="R459" t="n">
        <v>0.07489999999999999</v>
      </c>
      <c r="S459">
        <f>IMAGE("https://mitra.stanford.edu/kundaje/oak/projects/neuro-variants/variant_position/credible/roussos_2024/variant_figures/roussos_2024.adolescence.GLU/rs57208920_count_position.png",4,220,900)</f>
        <v/>
      </c>
      <c r="T459">
        <f>IMAGE("https://mitra.stanford.edu/kundaje/oak/projects/neuro-variants/variant_position/credible/roussos_2024/variant_figures/roussos_2024.adolescence.GLU/rs57208920_profile_position.png",4,220,900)</f>
        <v/>
      </c>
    </row>
    <row r="460">
      <c r="A460" t="inlineStr">
        <is>
          <t>chr11</t>
        </is>
      </c>
      <c r="B460" t="n">
        <v>19321717</v>
      </c>
      <c r="C460" t="inlineStr">
        <is>
          <t>C</t>
        </is>
      </c>
      <c r="D460" t="inlineStr">
        <is>
          <t>A</t>
        </is>
      </c>
      <c r="E460" t="inlineStr">
        <is>
          <t>rs10766541</t>
        </is>
      </c>
      <c r="F460" t="n">
        <v>0.0014625970199999</v>
      </c>
      <c r="G460" t="n">
        <v>0.7096355001604708</v>
      </c>
      <c r="H460" t="n">
        <v>0.0390342061631358</v>
      </c>
      <c r="I460" t="n">
        <v>0.0031416752975828</v>
      </c>
      <c r="J460" t="n">
        <v>0.1084367476120053</v>
      </c>
      <c r="K460" t="n">
        <v>0.5512032403801607</v>
      </c>
      <c r="L460" t="b">
        <v>1</v>
      </c>
      <c r="M460" t="b">
        <v>1</v>
      </c>
      <c r="N460" t="inlineStr">
        <is>
          <t>alt</t>
        </is>
      </c>
      <c r="O460" t="n">
        <v>-95</v>
      </c>
      <c r="P460" t="n">
        <v>0.01318</v>
      </c>
      <c r="Q460" t="n">
        <v>-100</v>
      </c>
      <c r="R460" t="n">
        <v>0.03442</v>
      </c>
      <c r="S460">
        <f>IMAGE("https://mitra.stanford.edu/kundaje/oak/projects/neuro-variants/variant_position/credible/roussos_2024/variant_figures/roussos_2024.adolescence.GLU/rs10766541_count_position.png",4,220,900)</f>
        <v/>
      </c>
      <c r="T460">
        <f>IMAGE("https://mitra.stanford.edu/kundaje/oak/projects/neuro-variants/variant_position/credible/roussos_2024/variant_figures/roussos_2024.adolescence.GLU/rs10766541_profile_position.png",4,220,900)</f>
        <v/>
      </c>
    </row>
    <row r="461">
      <c r="A461" t="inlineStr">
        <is>
          <t>chr11</t>
        </is>
      </c>
      <c r="B461" t="n">
        <v>19323784</v>
      </c>
      <c r="C461" t="inlineStr">
        <is>
          <t>G</t>
        </is>
      </c>
      <c r="D461" t="inlineStr">
        <is>
          <t>A</t>
        </is>
      </c>
      <c r="E461" t="inlineStr">
        <is>
          <t>rs7940014</t>
        </is>
      </c>
      <c r="F461" t="n">
        <v>0.01507899556</v>
      </c>
      <c r="G461" t="n">
        <v>0.3916701900100537</v>
      </c>
      <c r="H461" t="n">
        <v>0.0265073400542057</v>
      </c>
      <c r="I461" t="n">
        <v>0.0184936133304011</v>
      </c>
      <c r="J461" t="n">
        <v>0.051797872416429</v>
      </c>
      <c r="K461" t="n">
        <v>0.6933282435626366</v>
      </c>
      <c r="L461" t="b">
        <v>1</v>
      </c>
      <c r="M461" t="b">
        <v>0</v>
      </c>
      <c r="N461" t="inlineStr">
        <is>
          <t>alt</t>
        </is>
      </c>
      <c r="O461" t="n">
        <v>40</v>
      </c>
      <c r="P461" t="n">
        <v>0.0008774</v>
      </c>
      <c r="Q461" t="n">
        <v>55</v>
      </c>
      <c r="R461" t="n">
        <v>0.008670000000000001</v>
      </c>
      <c r="S461">
        <f>IMAGE("https://mitra.stanford.edu/kundaje/oak/projects/neuro-variants/variant_position/credible/roussos_2024/variant_figures/roussos_2024.adolescence.GLU/rs7940014_count_position.png",4,220,900)</f>
        <v/>
      </c>
      <c r="T461">
        <f>IMAGE("https://mitra.stanford.edu/kundaje/oak/projects/neuro-variants/variant_position/credible/roussos_2024/variant_figures/roussos_2024.adolescence.GLU/rs7940014_profile_position.png",4,220,900)</f>
        <v/>
      </c>
    </row>
    <row r="462">
      <c r="A462" t="inlineStr">
        <is>
          <t>chr11</t>
        </is>
      </c>
      <c r="B462" t="n">
        <v>19332728</v>
      </c>
      <c r="C462" t="inlineStr">
        <is>
          <t>G</t>
        </is>
      </c>
      <c r="D462" t="inlineStr">
        <is>
          <t>A</t>
        </is>
      </c>
      <c r="E462" t="inlineStr">
        <is>
          <t>rs4757792</t>
        </is>
      </c>
      <c r="F462" t="n">
        <v>-0.0234236499999999</v>
      </c>
      <c r="G462" t="n">
        <v>0.2543044572277739</v>
      </c>
      <c r="H462" t="n">
        <v>0.0115690865848314</v>
      </c>
      <c r="I462" t="n">
        <v>0.4057939748338532</v>
      </c>
      <c r="J462" t="n">
        <v>0.0632573890305848</v>
      </c>
      <c r="K462" t="n">
        <v>0.6692826473792426</v>
      </c>
      <c r="L462" t="b">
        <v>0</v>
      </c>
      <c r="M462" t="b">
        <v>0</v>
      </c>
      <c r="N462" t="inlineStr">
        <is>
          <t>ref</t>
        </is>
      </c>
      <c r="O462" t="n">
        <v>80</v>
      </c>
      <c r="P462" t="n">
        <v>0.003319</v>
      </c>
      <c r="Q462" t="n">
        <v>10</v>
      </c>
      <c r="R462" t="n">
        <v>0.01204</v>
      </c>
      <c r="S462">
        <f>IMAGE("https://mitra.stanford.edu/kundaje/oak/projects/neuro-variants/variant_position/credible/roussos_2024/variant_figures/roussos_2024.adolescence.GLU/rs4757792_count_position.png",4,220,900)</f>
        <v/>
      </c>
      <c r="T462">
        <f>IMAGE("https://mitra.stanford.edu/kundaje/oak/projects/neuro-variants/variant_position/credible/roussos_2024/variant_figures/roussos_2024.adolescence.GLU/rs4757792_profile_position.png",4,220,900)</f>
        <v/>
      </c>
    </row>
    <row r="463">
      <c r="A463" t="inlineStr">
        <is>
          <t>chr11</t>
        </is>
      </c>
      <c r="B463" t="n">
        <v>24360352</v>
      </c>
      <c r="C463" t="inlineStr">
        <is>
          <t>A</t>
        </is>
      </c>
      <c r="D463" t="inlineStr">
        <is>
          <t>G</t>
        </is>
      </c>
      <c r="E463" t="inlineStr">
        <is>
          <t>rs17234749</t>
        </is>
      </c>
      <c r="F463" t="n">
        <v>-0.0289543632</v>
      </c>
      <c r="G463" t="n">
        <v>0.1917424066815248</v>
      </c>
      <c r="H463" t="n">
        <v>0.0256717860912451</v>
      </c>
      <c r="I463" t="n">
        <v>0.0186015092019668</v>
      </c>
      <c r="J463" t="n">
        <v>0.011369497967436</v>
      </c>
      <c r="K463" t="n">
        <v>0.8674713568404466</v>
      </c>
      <c r="L463" t="b">
        <v>1</v>
      </c>
      <c r="M463" t="b">
        <v>0</v>
      </c>
      <c r="N463" t="inlineStr">
        <is>
          <t>ref</t>
        </is>
      </c>
      <c r="O463" t="n">
        <v>20</v>
      </c>
      <c r="P463" t="n">
        <v>0.00378</v>
      </c>
      <c r="Q463" t="n">
        <v>100</v>
      </c>
      <c r="R463" t="n">
        <v>0.03882</v>
      </c>
      <c r="S463">
        <f>IMAGE("https://mitra.stanford.edu/kundaje/oak/projects/neuro-variants/variant_position/credible/roussos_2024/variant_figures/roussos_2024.adolescence.GLU/rs17234749_count_position.png",4,220,900)</f>
        <v/>
      </c>
      <c r="T463">
        <f>IMAGE("https://mitra.stanford.edu/kundaje/oak/projects/neuro-variants/variant_position/credible/roussos_2024/variant_figures/roussos_2024.adolescence.GLU/rs17234749_profile_position.png",4,220,900)</f>
        <v/>
      </c>
    </row>
    <row r="464">
      <c r="A464" t="inlineStr">
        <is>
          <t>chr11</t>
        </is>
      </c>
      <c r="B464" t="n">
        <v>24366037</v>
      </c>
      <c r="C464" t="inlineStr">
        <is>
          <t>C</t>
        </is>
      </c>
      <c r="D464" t="inlineStr">
        <is>
          <t>T</t>
        </is>
      </c>
      <c r="E464" t="inlineStr">
        <is>
          <t>rs1025883</t>
        </is>
      </c>
      <c r="F464" t="n">
        <v>-0.00458371302</v>
      </c>
      <c r="G464" t="n">
        <v>0.7636580421214524</v>
      </c>
      <c r="H464" t="n">
        <v>0.0164055156116209</v>
      </c>
      <c r="I464" t="n">
        <v>0.1215676046181148</v>
      </c>
      <c r="J464" t="n">
        <v>0.030667781183245</v>
      </c>
      <c r="K464" t="n">
        <v>0.7712051710260575</v>
      </c>
      <c r="L464" t="b">
        <v>0</v>
      </c>
      <c r="M464" t="b">
        <v>0</v>
      </c>
      <c r="N464" t="inlineStr">
        <is>
          <t>ref</t>
        </is>
      </c>
      <c r="O464" t="n">
        <v>-5</v>
      </c>
      <c r="P464" t="n">
        <v>0.001823</v>
      </c>
      <c r="Q464" t="n">
        <v>90</v>
      </c>
      <c r="R464" t="n">
        <v>0.07806</v>
      </c>
      <c r="S464">
        <f>IMAGE("https://mitra.stanford.edu/kundaje/oak/projects/neuro-variants/variant_position/credible/roussos_2024/variant_figures/roussos_2024.adolescence.GLU/rs1025883_count_position.png",4,220,900)</f>
        <v/>
      </c>
      <c r="T464">
        <f>IMAGE("https://mitra.stanford.edu/kundaje/oak/projects/neuro-variants/variant_position/credible/roussos_2024/variant_figures/roussos_2024.adolescence.GLU/rs1025883_profile_position.png",4,220,900)</f>
        <v/>
      </c>
    </row>
    <row r="465">
      <c r="A465" t="inlineStr">
        <is>
          <t>chr11</t>
        </is>
      </c>
      <c r="B465" t="n">
        <v>24367332</v>
      </c>
      <c r="C465" t="inlineStr">
        <is>
          <t>A</t>
        </is>
      </c>
      <c r="D465" t="inlineStr">
        <is>
          <t>T</t>
        </is>
      </c>
      <c r="E465" t="inlineStr">
        <is>
          <t>rs11027838</t>
        </is>
      </c>
      <c r="F465" t="n">
        <v>-0.0065307331399999</v>
      </c>
      <c r="G465" t="n">
        <v>0.6707356457268608</v>
      </c>
      <c r="H465" t="n">
        <v>0.0207952851375539</v>
      </c>
      <c r="I465" t="n">
        <v>0.0460021088053345</v>
      </c>
      <c r="J465" t="n">
        <v>0.0736909788456179</v>
      </c>
      <c r="K465" t="n">
        <v>0.6326336868724267</v>
      </c>
      <c r="L465" t="b">
        <v>0</v>
      </c>
      <c r="M465" t="b">
        <v>0</v>
      </c>
      <c r="N465" t="inlineStr">
        <is>
          <t>ref</t>
        </is>
      </c>
      <c r="O465" t="n">
        <v>-65</v>
      </c>
      <c r="P465" t="n">
        <v>0.010574</v>
      </c>
      <c r="Q465" t="n">
        <v>75</v>
      </c>
      <c r="R465" t="n">
        <v>0.04605</v>
      </c>
      <c r="S465">
        <f>IMAGE("https://mitra.stanford.edu/kundaje/oak/projects/neuro-variants/variant_position/credible/roussos_2024/variant_figures/roussos_2024.adolescence.GLU/rs11027838_count_position.png",4,220,900)</f>
        <v/>
      </c>
      <c r="T465">
        <f>IMAGE("https://mitra.stanford.edu/kundaje/oak/projects/neuro-variants/variant_position/credible/roussos_2024/variant_figures/roussos_2024.adolescence.GLU/rs11027838_profile_position.png",4,220,900)</f>
        <v/>
      </c>
    </row>
    <row r="466">
      <c r="A466" t="inlineStr">
        <is>
          <t>chr11</t>
        </is>
      </c>
      <c r="B466" t="n">
        <v>24373675</v>
      </c>
      <c r="C466" t="inlineStr">
        <is>
          <t>T</t>
        </is>
      </c>
      <c r="D466" t="inlineStr">
        <is>
          <t>C</t>
        </is>
      </c>
      <c r="E466" t="inlineStr">
        <is>
          <t>rs72875837</t>
        </is>
      </c>
      <c r="F466" t="n">
        <v>0.0274943367</v>
      </c>
      <c r="G466" t="n">
        <v>0.1979954399795395</v>
      </c>
      <c r="H466" t="n">
        <v>0.010889518727779</v>
      </c>
      <c r="I466" t="n">
        <v>0.431499552277456</v>
      </c>
      <c r="J466" t="n">
        <v>0.0702674125354537</v>
      </c>
      <c r="K466" t="n">
        <v>0.6387496081251719</v>
      </c>
      <c r="L466" t="b">
        <v>0</v>
      </c>
      <c r="M466" t="b">
        <v>0</v>
      </c>
      <c r="N466" t="inlineStr">
        <is>
          <t>alt</t>
        </is>
      </c>
      <c r="O466" t="n">
        <v>-100</v>
      </c>
      <c r="P466" t="n">
        <v>0.01201</v>
      </c>
      <c r="Q466" t="n">
        <v>-45</v>
      </c>
      <c r="R466" t="n">
        <v>0.013794</v>
      </c>
      <c r="S466">
        <f>IMAGE("https://mitra.stanford.edu/kundaje/oak/projects/neuro-variants/variant_position/credible/roussos_2024/variant_figures/roussos_2024.adolescence.GLU/rs72875837_count_position.png",4,220,900)</f>
        <v/>
      </c>
      <c r="T466">
        <f>IMAGE("https://mitra.stanford.edu/kundaje/oak/projects/neuro-variants/variant_position/credible/roussos_2024/variant_figures/roussos_2024.adolescence.GLU/rs72875837_profile_position.png",4,220,900)</f>
        <v/>
      </c>
    </row>
    <row r="467">
      <c r="A467" t="inlineStr">
        <is>
          <t>chr11</t>
        </is>
      </c>
      <c r="B467" t="n">
        <v>24374405</v>
      </c>
      <c r="C467" t="inlineStr">
        <is>
          <t>G</t>
        </is>
      </c>
      <c r="D467" t="inlineStr">
        <is>
          <t>T</t>
        </is>
      </c>
      <c r="E467" t="inlineStr">
        <is>
          <t>rs1470279</t>
        </is>
      </c>
      <c r="F467" t="n">
        <v>-0.00865454978</v>
      </c>
      <c r="G467" t="n">
        <v>0.5622126875103761</v>
      </c>
      <c r="H467" t="n">
        <v>0.0115673427971708</v>
      </c>
      <c r="I467" t="n">
        <v>0.3659496243233079</v>
      </c>
      <c r="J467" t="n">
        <v>0.014240092590608</v>
      </c>
      <c r="K467" t="n">
        <v>0.8478316292710351</v>
      </c>
      <c r="L467" t="b">
        <v>0</v>
      </c>
      <c r="M467" t="b">
        <v>0</v>
      </c>
      <c r="N467" t="inlineStr">
        <is>
          <t>ref</t>
        </is>
      </c>
      <c r="O467" t="n">
        <v>-90</v>
      </c>
      <c r="P467" t="n">
        <v>0.0009537</v>
      </c>
      <c r="Q467" t="n">
        <v>80</v>
      </c>
      <c r="R467" t="n">
        <v>0.04825</v>
      </c>
      <c r="S467">
        <f>IMAGE("https://mitra.stanford.edu/kundaje/oak/projects/neuro-variants/variant_position/credible/roussos_2024/variant_figures/roussos_2024.adolescence.GLU/rs1470279_count_position.png",4,220,900)</f>
        <v/>
      </c>
      <c r="T467">
        <f>IMAGE("https://mitra.stanford.edu/kundaje/oak/projects/neuro-variants/variant_position/credible/roussos_2024/variant_figures/roussos_2024.adolescence.GLU/rs1470279_profile_position.png",4,220,900)</f>
        <v/>
      </c>
    </row>
    <row r="468">
      <c r="A468" t="inlineStr">
        <is>
          <t>chr11</t>
        </is>
      </c>
      <c r="B468" t="n">
        <v>24375679</v>
      </c>
      <c r="C468" t="inlineStr">
        <is>
          <t>T</t>
        </is>
      </c>
      <c r="D468" t="inlineStr">
        <is>
          <t>C</t>
        </is>
      </c>
      <c r="E468" t="inlineStr">
        <is>
          <t>rs35846200</t>
        </is>
      </c>
      <c r="F468" t="n">
        <v>0.0233693234</v>
      </c>
      <c r="G468" t="n">
        <v>0.2342859133242953</v>
      </c>
      <c r="H468" t="n">
        <v>0.0077535878747372</v>
      </c>
      <c r="I468" t="n">
        <v>0.8231329092532192</v>
      </c>
      <c r="J468" t="n">
        <v>0.1094712476155774</v>
      </c>
      <c r="K468" t="n">
        <v>0.5477696071721737</v>
      </c>
      <c r="L468" t="b">
        <v>0</v>
      </c>
      <c r="M468" t="b">
        <v>0</v>
      </c>
      <c r="N468" t="inlineStr">
        <is>
          <t>alt</t>
        </is>
      </c>
      <c r="O468" t="n">
        <v>100</v>
      </c>
      <c r="P468" t="n">
        <v>0.02872</v>
      </c>
      <c r="Q468" t="n">
        <v>50</v>
      </c>
      <c r="R468" t="n">
        <v>0.0515</v>
      </c>
      <c r="S468">
        <f>IMAGE("https://mitra.stanford.edu/kundaje/oak/projects/neuro-variants/variant_position/credible/roussos_2024/variant_figures/roussos_2024.adolescence.GLU/rs35846200_count_position.png",4,220,900)</f>
        <v/>
      </c>
      <c r="T468">
        <f>IMAGE("https://mitra.stanford.edu/kundaje/oak/projects/neuro-variants/variant_position/credible/roussos_2024/variant_figures/roussos_2024.adolescence.GLU/rs35846200_profile_position.png",4,220,900)</f>
        <v/>
      </c>
    </row>
    <row r="469">
      <c r="A469" t="inlineStr">
        <is>
          <t>chr11</t>
        </is>
      </c>
      <c r="B469" t="n">
        <v>24384375</v>
      </c>
      <c r="C469" t="inlineStr">
        <is>
          <t>A</t>
        </is>
      </c>
      <c r="D469" t="inlineStr">
        <is>
          <t>C</t>
        </is>
      </c>
      <c r="E469" t="inlineStr">
        <is>
          <t>rs11027859</t>
        </is>
      </c>
      <c r="F469" t="n">
        <v>0.015643349</v>
      </c>
      <c r="G469" t="n">
        <v>0.3609575629770507</v>
      </c>
      <c r="H469" t="n">
        <v>0.007860641102093601</v>
      </c>
      <c r="I469" t="n">
        <v>0.8244619166585011</v>
      </c>
      <c r="J469" t="n">
        <v>0.0669295782697843</v>
      </c>
      <c r="K469" t="n">
        <v>0.6485036616388021</v>
      </c>
      <c r="L469" t="b">
        <v>0</v>
      </c>
      <c r="M469" t="b">
        <v>0</v>
      </c>
      <c r="N469" t="inlineStr">
        <is>
          <t>alt</t>
        </is>
      </c>
      <c r="O469" t="n">
        <v>100</v>
      </c>
      <c r="P469" t="n">
        <v>0.004173</v>
      </c>
      <c r="Q469" t="n">
        <v>95</v>
      </c>
      <c r="R469" t="n">
        <v>0.12134</v>
      </c>
      <c r="S469">
        <f>IMAGE("https://mitra.stanford.edu/kundaje/oak/projects/neuro-variants/variant_position/credible/roussos_2024/variant_figures/roussos_2024.adolescence.GLU/rs11027859_count_position.png",4,220,900)</f>
        <v/>
      </c>
      <c r="T469">
        <f>IMAGE("https://mitra.stanford.edu/kundaje/oak/projects/neuro-variants/variant_position/credible/roussos_2024/variant_figures/roussos_2024.adolescence.GLU/rs11027859_profile_position.png",4,220,900)</f>
        <v/>
      </c>
    </row>
    <row r="470">
      <c r="A470" t="inlineStr">
        <is>
          <t>chr11</t>
        </is>
      </c>
      <c r="B470" t="n">
        <v>24533602</v>
      </c>
      <c r="C470" t="inlineStr">
        <is>
          <t>G</t>
        </is>
      </c>
      <c r="D470" t="inlineStr">
        <is>
          <t>A</t>
        </is>
      </c>
      <c r="E470" t="inlineStr">
        <is>
          <t>rs11027983</t>
        </is>
      </c>
      <c r="F470" t="n">
        <v>0.009476273699999999</v>
      </c>
      <c r="G470" t="n">
        <v>0.5583743201450774</v>
      </c>
      <c r="H470" t="n">
        <v>0.0199199552463926</v>
      </c>
      <c r="I470" t="n">
        <v>0.0552931833426399</v>
      </c>
      <c r="J470" t="n">
        <v>0.0525651742146586</v>
      </c>
      <c r="K470" t="n">
        <v>0.6877875944214837</v>
      </c>
      <c r="L470" t="b">
        <v>0</v>
      </c>
      <c r="M470" t="b">
        <v>0</v>
      </c>
      <c r="N470" t="inlineStr">
        <is>
          <t>alt</t>
        </is>
      </c>
      <c r="O470" t="n">
        <v>-100</v>
      </c>
      <c r="P470" t="n">
        <v>0.012146</v>
      </c>
      <c r="Q470" t="n">
        <v>5</v>
      </c>
      <c r="R470" t="n">
        <v>0.01062</v>
      </c>
      <c r="S470">
        <f>IMAGE("https://mitra.stanford.edu/kundaje/oak/projects/neuro-variants/variant_position/credible/roussos_2024/variant_figures/roussos_2024.adolescence.GLU/rs11027983_count_position.png",4,220,900)</f>
        <v/>
      </c>
      <c r="T470">
        <f>IMAGE("https://mitra.stanford.edu/kundaje/oak/projects/neuro-variants/variant_position/credible/roussos_2024/variant_figures/roussos_2024.adolescence.GLU/rs11027983_profile_position.png",4,220,900)</f>
        <v/>
      </c>
    </row>
    <row r="471">
      <c r="A471" t="inlineStr">
        <is>
          <t>chr11</t>
        </is>
      </c>
      <c r="B471" t="n">
        <v>24544101</v>
      </c>
      <c r="C471" t="inlineStr">
        <is>
          <t>C</t>
        </is>
      </c>
      <c r="D471" t="inlineStr">
        <is>
          <t>T</t>
        </is>
      </c>
      <c r="E471" t="inlineStr">
        <is>
          <t>rs1396844</t>
        </is>
      </c>
      <c r="F471" t="n">
        <v>-0.13717089</v>
      </c>
      <c r="G471" t="n">
        <v>0.0070230024520758</v>
      </c>
      <c r="H471" t="n">
        <v>0.0289530900016085</v>
      </c>
      <c r="I471" t="n">
        <v>0.0177810272091495</v>
      </c>
      <c r="J471" t="n">
        <v>0.2192111223039058</v>
      </c>
      <c r="K471" t="n">
        <v>0.3699691877566323</v>
      </c>
      <c r="L471" t="b">
        <v>1</v>
      </c>
      <c r="M471" t="b">
        <v>1</v>
      </c>
      <c r="N471" t="inlineStr">
        <is>
          <t>ref</t>
        </is>
      </c>
      <c r="O471" t="n">
        <v>-100</v>
      </c>
      <c r="P471" t="n">
        <v>0.008704999999999999</v>
      </c>
      <c r="Q471" t="n">
        <v>10</v>
      </c>
      <c r="R471" t="n">
        <v>0.04443</v>
      </c>
      <c r="S471">
        <f>IMAGE("https://mitra.stanford.edu/kundaje/oak/projects/neuro-variants/variant_position/credible/roussos_2024/variant_figures/roussos_2024.adolescence.GLU/rs1396844_count_position.png",4,220,900)</f>
        <v/>
      </c>
      <c r="T471">
        <f>IMAGE("https://mitra.stanford.edu/kundaje/oak/projects/neuro-variants/variant_position/credible/roussos_2024/variant_figures/roussos_2024.adolescence.GLU/rs1396844_profile_position.png",4,220,900)</f>
        <v/>
      </c>
    </row>
    <row r="472">
      <c r="A472" t="inlineStr">
        <is>
          <t>chr11</t>
        </is>
      </c>
      <c r="B472" t="n">
        <v>24547843</v>
      </c>
      <c r="C472" t="inlineStr">
        <is>
          <t>A</t>
        </is>
      </c>
      <c r="D472" t="inlineStr">
        <is>
          <t>G</t>
        </is>
      </c>
      <c r="E472" t="inlineStr">
        <is>
          <t>rs11028002</t>
        </is>
      </c>
      <c r="F472" t="n">
        <v>0.0292162117999999</v>
      </c>
      <c r="G472" t="n">
        <v>0.1755234652730724</v>
      </c>
      <c r="H472" t="n">
        <v>0.0104774469799074</v>
      </c>
      <c r="I472" t="n">
        <v>0.4731334535000278</v>
      </c>
      <c r="J472" t="n">
        <v>0.022899029084596</v>
      </c>
      <c r="K472" t="n">
        <v>0.803744832588323</v>
      </c>
      <c r="L472" t="b">
        <v>0</v>
      </c>
      <c r="M472" t="b">
        <v>0</v>
      </c>
      <c r="N472" t="inlineStr">
        <is>
          <t>alt</t>
        </is>
      </c>
      <c r="O472" t="n">
        <v>-55</v>
      </c>
      <c r="P472" t="n">
        <v>0.00244</v>
      </c>
      <c r="Q472" t="n">
        <v>-60</v>
      </c>
      <c r="R472" t="n">
        <v>0.003677</v>
      </c>
      <c r="S472">
        <f>IMAGE("https://mitra.stanford.edu/kundaje/oak/projects/neuro-variants/variant_position/credible/roussos_2024/variant_figures/roussos_2024.adolescence.GLU/rs11028002_count_position.png",4,220,900)</f>
        <v/>
      </c>
      <c r="T472">
        <f>IMAGE("https://mitra.stanford.edu/kundaje/oak/projects/neuro-variants/variant_position/credible/roussos_2024/variant_figures/roussos_2024.adolescence.GLU/rs11028002_profile_position.png",4,220,900)</f>
        <v/>
      </c>
    </row>
    <row r="473">
      <c r="A473" t="inlineStr">
        <is>
          <t>chr11</t>
        </is>
      </c>
      <c r="B473" t="n">
        <v>24551870</v>
      </c>
      <c r="C473" t="inlineStr">
        <is>
          <t>C</t>
        </is>
      </c>
      <c r="D473" t="inlineStr">
        <is>
          <t>T</t>
        </is>
      </c>
      <c r="E473" t="inlineStr">
        <is>
          <t>rs11028007</t>
        </is>
      </c>
      <c r="F473" t="n">
        <v>-0.0008167554839999</v>
      </c>
      <c r="G473" t="n">
        <v>0.8796563201859867</v>
      </c>
      <c r="H473" t="n">
        <v>0.0206601554305426</v>
      </c>
      <c r="I473" t="n">
        <v>0.0501606051019715</v>
      </c>
      <c r="J473" t="n">
        <v>0.0005372541455015</v>
      </c>
      <c r="K473" t="n">
        <v>0.9805757634474446</v>
      </c>
      <c r="L473" t="b">
        <v>0</v>
      </c>
      <c r="M473" t="b">
        <v>0</v>
      </c>
      <c r="N473" t="inlineStr">
        <is>
          <t>ref</t>
        </is>
      </c>
      <c r="O473" t="n">
        <v>-95</v>
      </c>
      <c r="P473" t="n">
        <v>0.01129</v>
      </c>
      <c r="Q473" t="n">
        <v>55</v>
      </c>
      <c r="R473" t="n">
        <v>0.0623</v>
      </c>
      <c r="S473">
        <f>IMAGE("https://mitra.stanford.edu/kundaje/oak/projects/neuro-variants/variant_position/credible/roussos_2024/variant_figures/roussos_2024.adolescence.GLU/rs11028007_count_position.png",4,220,900)</f>
        <v/>
      </c>
      <c r="T473">
        <f>IMAGE("https://mitra.stanford.edu/kundaje/oak/projects/neuro-variants/variant_position/credible/roussos_2024/variant_figures/roussos_2024.adolescence.GLU/rs11028007_profile_position.png",4,220,900)</f>
        <v/>
      </c>
    </row>
    <row r="474">
      <c r="A474" t="inlineStr">
        <is>
          <t>chr11</t>
        </is>
      </c>
      <c r="B474" t="n">
        <v>24551903</v>
      </c>
      <c r="C474" t="inlineStr">
        <is>
          <t>T</t>
        </is>
      </c>
      <c r="D474" t="inlineStr">
        <is>
          <t>C</t>
        </is>
      </c>
      <c r="E474" t="inlineStr">
        <is>
          <t>rs10834383</t>
        </is>
      </c>
      <c r="F474" t="n">
        <v>0.0180389389999999</v>
      </c>
      <c r="G474" t="n">
        <v>0.3194311705212895</v>
      </c>
      <c r="H474" t="n">
        <v>0.0108841814398553</v>
      </c>
      <c r="I474" t="n">
        <v>0.4310000155516136</v>
      </c>
      <c r="J474" t="n">
        <v>0.0006901429581841</v>
      </c>
      <c r="K474" t="n">
        <v>0.9766178665403484</v>
      </c>
      <c r="L474" t="b">
        <v>0</v>
      </c>
      <c r="M474" t="b">
        <v>0</v>
      </c>
      <c r="N474" t="inlineStr">
        <is>
          <t>alt</t>
        </is>
      </c>
      <c r="O474" t="n">
        <v>0</v>
      </c>
      <c r="P474" t="n">
        <v>0</v>
      </c>
      <c r="Q474" t="n">
        <v>20</v>
      </c>
      <c r="R474" t="n">
        <v>0.01489</v>
      </c>
      <c r="S474">
        <f>IMAGE("https://mitra.stanford.edu/kundaje/oak/projects/neuro-variants/variant_position/credible/roussos_2024/variant_figures/roussos_2024.adolescence.GLU/rs10834383_count_position.png",4,220,900)</f>
        <v/>
      </c>
      <c r="T474">
        <f>IMAGE("https://mitra.stanford.edu/kundaje/oak/projects/neuro-variants/variant_position/credible/roussos_2024/variant_figures/roussos_2024.adolescence.GLU/rs10834383_profile_position.png",4,220,900)</f>
        <v/>
      </c>
    </row>
    <row r="475">
      <c r="A475" t="inlineStr">
        <is>
          <t>chr11</t>
        </is>
      </c>
      <c r="B475" t="n">
        <v>24558404</v>
      </c>
      <c r="C475" t="inlineStr">
        <is>
          <t>A</t>
        </is>
      </c>
      <c r="D475" t="inlineStr">
        <is>
          <t>G</t>
        </is>
      </c>
      <c r="E475" t="inlineStr">
        <is>
          <t>rs1509611</t>
        </is>
      </c>
      <c r="F475" t="n">
        <v>-0.008137675259999999</v>
      </c>
      <c r="G475" t="n">
        <v>0.5844293518377771</v>
      </c>
      <c r="H475" t="n">
        <v>0.0077134887898031</v>
      </c>
      <c r="I475" t="n">
        <v>0.8205822006664837</v>
      </c>
      <c r="J475" t="n">
        <v>0.1373870301705352</v>
      </c>
      <c r="K475" t="n">
        <v>0.4925895327861805</v>
      </c>
      <c r="L475" t="b">
        <v>0</v>
      </c>
      <c r="M475" t="b">
        <v>0</v>
      </c>
      <c r="N475" t="inlineStr">
        <is>
          <t>ref</t>
        </is>
      </c>
      <c r="O475" t="n">
        <v>90</v>
      </c>
      <c r="P475" t="n">
        <v>0.03748</v>
      </c>
      <c r="Q475" t="n">
        <v>-65</v>
      </c>
      <c r="R475" t="n">
        <v>0.0155</v>
      </c>
      <c r="S475">
        <f>IMAGE("https://mitra.stanford.edu/kundaje/oak/projects/neuro-variants/variant_position/credible/roussos_2024/variant_figures/roussos_2024.adolescence.GLU/rs1509611_count_position.png",4,220,900)</f>
        <v/>
      </c>
      <c r="T475">
        <f>IMAGE("https://mitra.stanford.edu/kundaje/oak/projects/neuro-variants/variant_position/credible/roussos_2024/variant_figures/roussos_2024.adolescence.GLU/rs1509611_profile_position.png",4,220,900)</f>
        <v/>
      </c>
    </row>
    <row r="476">
      <c r="A476" t="inlineStr">
        <is>
          <t>chr11</t>
        </is>
      </c>
      <c r="B476" t="n">
        <v>24559498</v>
      </c>
      <c r="C476" t="inlineStr">
        <is>
          <t>A</t>
        </is>
      </c>
      <c r="D476" t="inlineStr">
        <is>
          <t>G</t>
        </is>
      </c>
      <c r="E476" t="inlineStr">
        <is>
          <t>rs11028012</t>
        </is>
      </c>
      <c r="F476" t="n">
        <v>0.0596148885999999</v>
      </c>
      <c r="G476" t="n">
        <v>0.0373059002220463</v>
      </c>
      <c r="H476" t="n">
        <v>0.0126616800095229</v>
      </c>
      <c r="I476" t="n">
        <v>0.276603049337092</v>
      </c>
      <c r="J476" t="n">
        <v>0.026969872330697</v>
      </c>
      <c r="K476" t="n">
        <v>0.7832375687915171</v>
      </c>
      <c r="L476" t="b">
        <v>0</v>
      </c>
      <c r="M476" t="b">
        <v>0</v>
      </c>
      <c r="N476" t="inlineStr">
        <is>
          <t>alt</t>
        </is>
      </c>
      <c r="O476" t="n">
        <v>100</v>
      </c>
      <c r="P476" t="n">
        <v>0.01343</v>
      </c>
      <c r="Q476" t="n">
        <v>95</v>
      </c>
      <c r="R476" t="n">
        <v>0.02988</v>
      </c>
      <c r="S476">
        <f>IMAGE("https://mitra.stanford.edu/kundaje/oak/projects/neuro-variants/variant_position/credible/roussos_2024/variant_figures/roussos_2024.adolescence.GLU/rs11028012_count_position.png",4,220,900)</f>
        <v/>
      </c>
      <c r="T476">
        <f>IMAGE("https://mitra.stanford.edu/kundaje/oak/projects/neuro-variants/variant_position/credible/roussos_2024/variant_figures/roussos_2024.adolescence.GLU/rs11028012_profile_position.png",4,220,900)</f>
        <v/>
      </c>
    </row>
    <row r="477">
      <c r="A477" t="inlineStr">
        <is>
          <t>chr11</t>
        </is>
      </c>
      <c r="B477" t="n">
        <v>24562187</v>
      </c>
      <c r="C477" t="inlineStr">
        <is>
          <t>A</t>
        </is>
      </c>
      <c r="D477" t="inlineStr">
        <is>
          <t>G</t>
        </is>
      </c>
      <c r="E477" t="inlineStr">
        <is>
          <t>rs1509615</t>
        </is>
      </c>
      <c r="F477" t="n">
        <v>0.002959639848</v>
      </c>
      <c r="G477" t="n">
        <v>0.7783243654373772</v>
      </c>
      <c r="H477" t="n">
        <v>0.0290519989002964</v>
      </c>
      <c r="I477" t="n">
        <v>0.0117617533178497</v>
      </c>
      <c r="J477" t="n">
        <v>0.09759164398339649</v>
      </c>
      <c r="K477" t="n">
        <v>0.5793794681103746</v>
      </c>
      <c r="L477" t="b">
        <v>1</v>
      </c>
      <c r="M477" t="b">
        <v>0</v>
      </c>
      <c r="N477" t="inlineStr">
        <is>
          <t>alt</t>
        </is>
      </c>
      <c r="O477" t="n">
        <v>-100</v>
      </c>
      <c r="P477" t="n">
        <v>0.02841</v>
      </c>
      <c r="Q477" t="n">
        <v>-100</v>
      </c>
      <c r="R477" t="n">
        <v>0.0985</v>
      </c>
      <c r="S477">
        <f>IMAGE("https://mitra.stanford.edu/kundaje/oak/projects/neuro-variants/variant_position/credible/roussos_2024/variant_figures/roussos_2024.adolescence.GLU/rs1509615_count_position.png",4,220,900)</f>
        <v/>
      </c>
      <c r="T477">
        <f>IMAGE("https://mitra.stanford.edu/kundaje/oak/projects/neuro-variants/variant_position/credible/roussos_2024/variant_figures/roussos_2024.adolescence.GLU/rs1509615_profile_position.png",4,220,900)</f>
        <v/>
      </c>
    </row>
    <row r="478">
      <c r="A478" t="inlineStr">
        <is>
          <t>chr11</t>
        </is>
      </c>
      <c r="B478" t="n">
        <v>24562296</v>
      </c>
      <c r="C478" t="inlineStr">
        <is>
          <t>C</t>
        </is>
      </c>
      <c r="D478" t="inlineStr">
        <is>
          <t>T</t>
        </is>
      </c>
      <c r="E478" t="inlineStr">
        <is>
          <t>rs6484058</t>
        </is>
      </c>
      <c r="F478" t="n">
        <v>-0.00568459894</v>
      </c>
      <c r="G478" t="n">
        <v>0.6967013577866635</v>
      </c>
      <c r="H478" t="n">
        <v>0.0059729710419459</v>
      </c>
      <c r="I478" t="n">
        <v>0.9792295369955082</v>
      </c>
      <c r="J478" t="n">
        <v>0.0924220017003521</v>
      </c>
      <c r="K478" t="n">
        <v>0.5908078518614786</v>
      </c>
      <c r="L478" t="b">
        <v>0</v>
      </c>
      <c r="M478" t="b">
        <v>0</v>
      </c>
      <c r="N478" t="inlineStr">
        <is>
          <t>ref</t>
        </is>
      </c>
      <c r="O478" t="n">
        <v>10</v>
      </c>
      <c r="P478" t="n">
        <v>0.001602</v>
      </c>
      <c r="Q478" t="n">
        <v>-100</v>
      </c>
      <c r="R478" t="n">
        <v>0.09717000000000001</v>
      </c>
      <c r="S478">
        <f>IMAGE("https://mitra.stanford.edu/kundaje/oak/projects/neuro-variants/variant_position/credible/roussos_2024/variant_figures/roussos_2024.adolescence.GLU/rs6484058_count_position.png",4,220,900)</f>
        <v/>
      </c>
      <c r="T478">
        <f>IMAGE("https://mitra.stanford.edu/kundaje/oak/projects/neuro-variants/variant_position/credible/roussos_2024/variant_figures/roussos_2024.adolescence.GLU/rs6484058_profile_position.png",4,220,900)</f>
        <v/>
      </c>
    </row>
    <row r="479">
      <c r="A479" t="inlineStr">
        <is>
          <t>chr11</t>
        </is>
      </c>
      <c r="B479" t="n">
        <v>24562993</v>
      </c>
      <c r="C479" t="inlineStr">
        <is>
          <t>A</t>
        </is>
      </c>
      <c r="D479" t="inlineStr">
        <is>
          <t>G</t>
        </is>
      </c>
      <c r="E479" t="inlineStr">
        <is>
          <t>rs11028020</t>
        </is>
      </c>
      <c r="F479" t="n">
        <v>0.0339082146</v>
      </c>
      <c r="G479" t="n">
        <v>0.1349149748086674</v>
      </c>
      <c r="H479" t="n">
        <v>0.0129803822080214</v>
      </c>
      <c r="I479" t="n">
        <v>0.2646737159388959</v>
      </c>
      <c r="J479" t="n">
        <v>0.091984768273428</v>
      </c>
      <c r="K479" t="n">
        <v>0.5888322008601216</v>
      </c>
      <c r="L479" t="b">
        <v>0</v>
      </c>
      <c r="M479" t="b">
        <v>0</v>
      </c>
      <c r="N479" t="inlineStr">
        <is>
          <t>alt</t>
        </is>
      </c>
      <c r="O479" t="n">
        <v>-15</v>
      </c>
      <c r="P479" t="n">
        <v>0.001892</v>
      </c>
      <c r="Q479" t="n">
        <v>95</v>
      </c>
      <c r="R479" t="n">
        <v>0.1345</v>
      </c>
      <c r="S479">
        <f>IMAGE("https://mitra.stanford.edu/kundaje/oak/projects/neuro-variants/variant_position/credible/roussos_2024/variant_figures/roussos_2024.adolescence.GLU/rs11028020_count_position.png",4,220,900)</f>
        <v/>
      </c>
      <c r="T479">
        <f>IMAGE("https://mitra.stanford.edu/kundaje/oak/projects/neuro-variants/variant_position/credible/roussos_2024/variant_figures/roussos_2024.adolescence.GLU/rs11028020_profile_position.png",4,220,900)</f>
        <v/>
      </c>
    </row>
    <row r="480">
      <c r="A480" t="inlineStr">
        <is>
          <t>chr11</t>
        </is>
      </c>
      <c r="B480" t="n">
        <v>24563411</v>
      </c>
      <c r="C480" t="inlineStr">
        <is>
          <t>T</t>
        </is>
      </c>
      <c r="D480" t="inlineStr">
        <is>
          <t>C</t>
        </is>
      </c>
      <c r="E480" t="inlineStr">
        <is>
          <t>rs34167424</t>
        </is>
      </c>
      <c r="F480" t="n">
        <v>0.0057476477</v>
      </c>
      <c r="G480" t="n">
        <v>0.6697996153223491</v>
      </c>
      <c r="H480" t="n">
        <v>0.0157066966499902</v>
      </c>
      <c r="I480" t="n">
        <v>0.1342232379875681</v>
      </c>
      <c r="J480" t="n">
        <v>0.0405869787313085</v>
      </c>
      <c r="K480" t="n">
        <v>0.7306540294437538</v>
      </c>
      <c r="L480" t="b">
        <v>0</v>
      </c>
      <c r="M480" t="b">
        <v>0</v>
      </c>
      <c r="N480" t="inlineStr">
        <is>
          <t>alt</t>
        </is>
      </c>
      <c r="O480" t="n">
        <v>-100</v>
      </c>
      <c r="P480" t="n">
        <v>0.001102</v>
      </c>
      <c r="Q480" t="n">
        <v>100</v>
      </c>
      <c r="R480" t="n">
        <v>0.0725</v>
      </c>
      <c r="S480">
        <f>IMAGE("https://mitra.stanford.edu/kundaje/oak/projects/neuro-variants/variant_position/credible/roussos_2024/variant_figures/roussos_2024.adolescence.GLU/rs34167424_count_position.png",4,220,900)</f>
        <v/>
      </c>
      <c r="T480">
        <f>IMAGE("https://mitra.stanford.edu/kundaje/oak/projects/neuro-variants/variant_position/credible/roussos_2024/variant_figures/roussos_2024.adolescence.GLU/rs34167424_profile_position.png",4,220,900)</f>
        <v/>
      </c>
    </row>
    <row r="481">
      <c r="A481" t="inlineStr">
        <is>
          <t>chr11</t>
        </is>
      </c>
      <c r="B481" t="n">
        <v>24569034</v>
      </c>
      <c r="C481" t="inlineStr">
        <is>
          <t>G</t>
        </is>
      </c>
      <c r="D481" t="inlineStr">
        <is>
          <t>A</t>
        </is>
      </c>
      <c r="E481" t="inlineStr">
        <is>
          <t>rs1876822</t>
        </is>
      </c>
      <c r="F481" t="n">
        <v>-0.0007496713179999</v>
      </c>
      <c r="G481" t="n">
        <v>0.9141109972869912</v>
      </c>
      <c r="H481" t="n">
        <v>0.0246768374379014</v>
      </c>
      <c r="I481" t="n">
        <v>0.0216137160063327</v>
      </c>
      <c r="J481" t="n">
        <v>0.0019475462774431</v>
      </c>
      <c r="K481" t="n">
        <v>0.961893936609684</v>
      </c>
      <c r="L481" t="b">
        <v>0</v>
      </c>
      <c r="M481" t="b">
        <v>0</v>
      </c>
      <c r="N481" t="inlineStr">
        <is>
          <t>ref</t>
        </is>
      </c>
      <c r="O481" t="n">
        <v>95</v>
      </c>
      <c r="P481" t="n">
        <v>0.0006713999999999999</v>
      </c>
      <c r="Q481" t="n">
        <v>85</v>
      </c>
      <c r="R481" t="n">
        <v>0.03445</v>
      </c>
      <c r="S481">
        <f>IMAGE("https://mitra.stanford.edu/kundaje/oak/projects/neuro-variants/variant_position/credible/roussos_2024/variant_figures/roussos_2024.adolescence.GLU/rs1876822_count_position.png",4,220,900)</f>
        <v/>
      </c>
      <c r="T481">
        <f>IMAGE("https://mitra.stanford.edu/kundaje/oak/projects/neuro-variants/variant_position/credible/roussos_2024/variant_figures/roussos_2024.adolescence.GLU/rs1876822_profile_position.png",4,220,900)</f>
        <v/>
      </c>
    </row>
    <row r="482">
      <c r="A482" t="inlineStr">
        <is>
          <t>chr11</t>
        </is>
      </c>
      <c r="B482" t="n">
        <v>24572012</v>
      </c>
      <c r="C482" t="inlineStr">
        <is>
          <t>T</t>
        </is>
      </c>
      <c r="D482" t="inlineStr">
        <is>
          <t>G</t>
        </is>
      </c>
      <c r="E482" t="inlineStr">
        <is>
          <t>rs1509588</t>
        </is>
      </c>
      <c r="F482" t="n">
        <v>-0.00564731224</v>
      </c>
      <c r="G482" t="n">
        <v>0.5995629428606339</v>
      </c>
      <c r="H482" t="n">
        <v>0.0207807605507068</v>
      </c>
      <c r="I482" t="n">
        <v>0.0469356312315477</v>
      </c>
      <c r="J482" t="n">
        <v>0.0298576133627679</v>
      </c>
      <c r="K482" t="n">
        <v>0.7850895040000191</v>
      </c>
      <c r="L482" t="b">
        <v>0</v>
      </c>
      <c r="M482" t="b">
        <v>0</v>
      </c>
      <c r="N482" t="inlineStr">
        <is>
          <t>ref</t>
        </is>
      </c>
      <c r="O482" t="n">
        <v>100</v>
      </c>
      <c r="P482" t="n">
        <v>0.00705</v>
      </c>
      <c r="Q482" t="n">
        <v>-5</v>
      </c>
      <c r="R482" t="n">
        <v>0.0219</v>
      </c>
      <c r="S482">
        <f>IMAGE("https://mitra.stanford.edu/kundaje/oak/projects/neuro-variants/variant_position/credible/roussos_2024/variant_figures/roussos_2024.adolescence.GLU/rs1509588_count_position.png",4,220,900)</f>
        <v/>
      </c>
      <c r="T482">
        <f>IMAGE("https://mitra.stanford.edu/kundaje/oak/projects/neuro-variants/variant_position/credible/roussos_2024/variant_figures/roussos_2024.adolescence.GLU/rs1509588_profile_position.png",4,220,900)</f>
        <v/>
      </c>
    </row>
    <row r="483">
      <c r="A483" t="inlineStr">
        <is>
          <t>chr11</t>
        </is>
      </c>
      <c r="B483" t="n">
        <v>24572793</v>
      </c>
      <c r="C483" t="inlineStr">
        <is>
          <t>T</t>
        </is>
      </c>
      <c r="D483" t="inlineStr">
        <is>
          <t>G</t>
        </is>
      </c>
      <c r="E483" t="inlineStr">
        <is>
          <t>rs10834390</t>
        </is>
      </c>
      <c r="F483" t="n">
        <v>0.06696294379999999</v>
      </c>
      <c r="G483" t="n">
        <v>0.0251255273485021</v>
      </c>
      <c r="H483" t="n">
        <v>0.0190654672991254</v>
      </c>
      <c r="I483" t="n">
        <v>0.06817113317304729</v>
      </c>
      <c r="J483" t="n">
        <v>0.1698351801444584</v>
      </c>
      <c r="K483" t="n">
        <v>0.4411293898126276</v>
      </c>
      <c r="L483" t="b">
        <v>0</v>
      </c>
      <c r="M483" t="b">
        <v>0</v>
      </c>
      <c r="N483" t="inlineStr">
        <is>
          <t>alt</t>
        </is>
      </c>
      <c r="O483" t="n">
        <v>-5</v>
      </c>
      <c r="P483" t="n">
        <v>0.0001831</v>
      </c>
      <c r="Q483" t="n">
        <v>-5</v>
      </c>
      <c r="R483" t="n">
        <v>0.0083</v>
      </c>
      <c r="S483">
        <f>IMAGE("https://mitra.stanford.edu/kundaje/oak/projects/neuro-variants/variant_position/credible/roussos_2024/variant_figures/roussos_2024.adolescence.GLU/rs10834390_count_position.png",4,220,900)</f>
        <v/>
      </c>
      <c r="T483">
        <f>IMAGE("https://mitra.stanford.edu/kundaje/oak/projects/neuro-variants/variant_position/credible/roussos_2024/variant_figures/roussos_2024.adolescence.GLU/rs10834390_profile_position.png",4,220,900)</f>
        <v/>
      </c>
    </row>
    <row r="484">
      <c r="A484" t="inlineStr">
        <is>
          <t>chr11</t>
        </is>
      </c>
      <c r="B484" t="n">
        <v>24573550</v>
      </c>
      <c r="C484" t="inlineStr">
        <is>
          <t>A</t>
        </is>
      </c>
      <c r="D484" t="inlineStr">
        <is>
          <t>G</t>
        </is>
      </c>
      <c r="E484" t="inlineStr">
        <is>
          <t>rs10767214</t>
        </is>
      </c>
      <c r="F484" t="n">
        <v>0.008100156946</v>
      </c>
      <c r="G484" t="n">
        <v>0.5919147876857241</v>
      </c>
      <c r="H484" t="n">
        <v>0.0102842369359122</v>
      </c>
      <c r="I484" t="n">
        <v>0.4983420139728231</v>
      </c>
      <c r="J484" t="n">
        <v>0.0335026541212108</v>
      </c>
      <c r="K484" t="n">
        <v>0.7576526367995938</v>
      </c>
      <c r="L484" t="b">
        <v>0</v>
      </c>
      <c r="M484" t="b">
        <v>0</v>
      </c>
      <c r="N484" t="inlineStr">
        <is>
          <t>alt</t>
        </is>
      </c>
      <c r="O484" t="n">
        <v>-100</v>
      </c>
      <c r="P484" t="n">
        <v>0.00911</v>
      </c>
      <c r="Q484" t="n">
        <v>5</v>
      </c>
      <c r="R484" t="n">
        <v>0.002777</v>
      </c>
      <c r="S484">
        <f>IMAGE("https://mitra.stanford.edu/kundaje/oak/projects/neuro-variants/variant_position/credible/roussos_2024/variant_figures/roussos_2024.adolescence.GLU/rs10767214_count_position.png",4,220,900)</f>
        <v/>
      </c>
      <c r="T484">
        <f>IMAGE("https://mitra.stanford.edu/kundaje/oak/projects/neuro-variants/variant_position/credible/roussos_2024/variant_figures/roussos_2024.adolescence.GLU/rs10767214_profile_position.png",4,220,900)</f>
        <v/>
      </c>
    </row>
    <row r="485">
      <c r="A485" t="inlineStr">
        <is>
          <t>chr11</t>
        </is>
      </c>
      <c r="B485" t="n">
        <v>24578643</v>
      </c>
      <c r="C485" t="inlineStr">
        <is>
          <t>C</t>
        </is>
      </c>
      <c r="D485" t="inlineStr">
        <is>
          <t>A</t>
        </is>
      </c>
      <c r="E485" t="inlineStr">
        <is>
          <t>rs7118822</t>
        </is>
      </c>
      <c r="F485" t="n">
        <v>-0.01643204</v>
      </c>
      <c r="G485" t="n">
        <v>0.3743948693363902</v>
      </c>
      <c r="H485" t="n">
        <v>0.0104752962345212</v>
      </c>
      <c r="I485" t="n">
        <v>0.4912073935080144</v>
      </c>
      <c r="J485" t="n">
        <v>0.0166991734002042</v>
      </c>
      <c r="K485" t="n">
        <v>0.8332226147630043</v>
      </c>
      <c r="L485" t="b">
        <v>0</v>
      </c>
      <c r="M485" t="b">
        <v>0</v>
      </c>
      <c r="N485" t="inlineStr">
        <is>
          <t>ref</t>
        </is>
      </c>
      <c r="O485" t="n">
        <v>50</v>
      </c>
      <c r="P485" t="n">
        <v>0.005234</v>
      </c>
      <c r="Q485" t="n">
        <v>35</v>
      </c>
      <c r="R485" t="n">
        <v>0.03802</v>
      </c>
      <c r="S485">
        <f>IMAGE("https://mitra.stanford.edu/kundaje/oak/projects/neuro-variants/variant_position/credible/roussos_2024/variant_figures/roussos_2024.adolescence.GLU/rs7118822_count_position.png",4,220,900)</f>
        <v/>
      </c>
      <c r="T485">
        <f>IMAGE("https://mitra.stanford.edu/kundaje/oak/projects/neuro-variants/variant_position/credible/roussos_2024/variant_figures/roussos_2024.adolescence.GLU/rs7118822_profile_position.png",4,220,900)</f>
        <v/>
      </c>
    </row>
    <row r="486">
      <c r="A486" t="inlineStr">
        <is>
          <t>chr11</t>
        </is>
      </c>
      <c r="B486" t="n">
        <v>24580180</v>
      </c>
      <c r="C486" t="inlineStr">
        <is>
          <t>C</t>
        </is>
      </c>
      <c r="D486" t="inlineStr">
        <is>
          <t>T</t>
        </is>
      </c>
      <c r="E486" t="inlineStr">
        <is>
          <t>rs1396842</t>
        </is>
      </c>
      <c r="F486" t="n">
        <v>-0.0530439979999999</v>
      </c>
      <c r="G486" t="n">
        <v>0.0572152395982477</v>
      </c>
      <c r="H486" t="n">
        <v>0.0163461217133807</v>
      </c>
      <c r="I486" t="n">
        <v>0.1266417649645935</v>
      </c>
      <c r="J486" t="n">
        <v>0.0008487472404997</v>
      </c>
      <c r="K486" t="n">
        <v>0.9761419407237426</v>
      </c>
      <c r="L486" t="b">
        <v>0</v>
      </c>
      <c r="M486" t="b">
        <v>0</v>
      </c>
      <c r="N486" t="inlineStr">
        <is>
          <t>ref</t>
        </is>
      </c>
      <c r="O486" t="n">
        <v>-90</v>
      </c>
      <c r="P486" t="n">
        <v>0.008059999999999999</v>
      </c>
      <c r="Q486" t="n">
        <v>85</v>
      </c>
      <c r="R486" t="n">
        <v>0.06370000000000001</v>
      </c>
      <c r="S486">
        <f>IMAGE("https://mitra.stanford.edu/kundaje/oak/projects/neuro-variants/variant_position/credible/roussos_2024/variant_figures/roussos_2024.adolescence.GLU/rs1396842_count_position.png",4,220,900)</f>
        <v/>
      </c>
      <c r="T486">
        <f>IMAGE("https://mitra.stanford.edu/kundaje/oak/projects/neuro-variants/variant_position/credible/roussos_2024/variant_figures/roussos_2024.adolescence.GLU/rs1396842_profile_position.png",4,220,900)</f>
        <v/>
      </c>
    </row>
    <row r="487">
      <c r="A487" t="inlineStr">
        <is>
          <t>chr11</t>
        </is>
      </c>
      <c r="B487" t="n">
        <v>27999359</v>
      </c>
      <c r="C487" t="inlineStr">
        <is>
          <t>A</t>
        </is>
      </c>
      <c r="D487" t="inlineStr">
        <is>
          <t>G</t>
        </is>
      </c>
      <c r="E487" t="inlineStr">
        <is>
          <t>rs7113337</t>
        </is>
      </c>
      <c r="F487" t="n">
        <v>0.00215679196</v>
      </c>
      <c r="G487" t="n">
        <v>0.8298989016554073</v>
      </c>
      <c r="H487" t="n">
        <v>0.009739470132983</v>
      </c>
      <c r="I487" t="n">
        <v>0.5315387143260496</v>
      </c>
      <c r="J487" t="n">
        <v>0.0782433504082988</v>
      </c>
      <c r="K487" t="n">
        <v>0.6283758848421575</v>
      </c>
      <c r="L487" t="b">
        <v>0</v>
      </c>
      <c r="M487" t="b">
        <v>0</v>
      </c>
      <c r="N487" t="inlineStr">
        <is>
          <t>alt</t>
        </is>
      </c>
      <c r="O487" t="n">
        <v>25</v>
      </c>
      <c r="P487" t="n">
        <v>0.001862</v>
      </c>
      <c r="Q487" t="n">
        <v>40</v>
      </c>
      <c r="R487" t="n">
        <v>0.05728</v>
      </c>
      <c r="S487">
        <f>IMAGE("https://mitra.stanford.edu/kundaje/oak/projects/neuro-variants/variant_position/credible/roussos_2024/variant_figures/roussos_2024.adolescence.GLU/rs7113337_count_position.png",4,220,900)</f>
        <v/>
      </c>
      <c r="T487">
        <f>IMAGE("https://mitra.stanford.edu/kundaje/oak/projects/neuro-variants/variant_position/credible/roussos_2024/variant_figures/roussos_2024.adolescence.GLU/rs7113337_profile_position.png",4,220,900)</f>
        <v/>
      </c>
    </row>
    <row r="488">
      <c r="A488" t="inlineStr">
        <is>
          <t>chr11</t>
        </is>
      </c>
      <c r="B488" t="n">
        <v>28011926</v>
      </c>
      <c r="C488" t="inlineStr">
        <is>
          <t>G</t>
        </is>
      </c>
      <c r="D488" t="inlineStr">
        <is>
          <t>A</t>
        </is>
      </c>
      <c r="E488" t="inlineStr">
        <is>
          <t>rs11606190</t>
        </is>
      </c>
      <c r="F488" t="n">
        <v>-0.0097148869599999</v>
      </c>
      <c r="G488" t="n">
        <v>0.5682166993314436</v>
      </c>
      <c r="H488" t="n">
        <v>0.0069736746317437</v>
      </c>
      <c r="I488" t="n">
        <v>0.8901589010781178</v>
      </c>
      <c r="J488" t="n">
        <v>0.035082981474734</v>
      </c>
      <c r="K488" t="n">
        <v>0.7545407443677469</v>
      </c>
      <c r="L488" t="b">
        <v>0</v>
      </c>
      <c r="M488" t="b">
        <v>0</v>
      </c>
      <c r="N488" t="inlineStr">
        <is>
          <t>ref</t>
        </is>
      </c>
      <c r="O488" t="n">
        <v>100</v>
      </c>
      <c r="P488" t="n">
        <v>0.02719</v>
      </c>
      <c r="Q488" t="n">
        <v>-20</v>
      </c>
      <c r="R488" t="n">
        <v>0.00464</v>
      </c>
      <c r="S488">
        <f>IMAGE("https://mitra.stanford.edu/kundaje/oak/projects/neuro-variants/variant_position/credible/roussos_2024/variant_figures/roussos_2024.adolescence.GLU/rs11606190_count_position.png",4,220,900)</f>
        <v/>
      </c>
      <c r="T488">
        <f>IMAGE("https://mitra.stanford.edu/kundaje/oak/projects/neuro-variants/variant_position/credible/roussos_2024/variant_figures/roussos_2024.adolescence.GLU/rs11606190_profile_position.png",4,220,900)</f>
        <v/>
      </c>
    </row>
    <row r="489">
      <c r="A489" t="inlineStr">
        <is>
          <t>chr11</t>
        </is>
      </c>
      <c r="B489" t="n">
        <v>28023872</v>
      </c>
      <c r="C489" t="inlineStr">
        <is>
          <t>T</t>
        </is>
      </c>
      <c r="D489" t="inlineStr">
        <is>
          <t>C</t>
        </is>
      </c>
      <c r="E489" t="inlineStr">
        <is>
          <t>rs12273233</t>
        </is>
      </c>
      <c r="F489" t="n">
        <v>-0.00077853828</v>
      </c>
      <c r="G489" t="n">
        <v>0.7370940718703788</v>
      </c>
      <c r="H489" t="n">
        <v>0.0237078725021043</v>
      </c>
      <c r="I489" t="n">
        <v>0.0262995777364068</v>
      </c>
      <c r="J489" t="n">
        <v>0.0128769530831386</v>
      </c>
      <c r="K489" t="n">
        <v>0.8585822081575232</v>
      </c>
      <c r="L489" t="b">
        <v>0</v>
      </c>
      <c r="M489" t="b">
        <v>0</v>
      </c>
      <c r="N489" t="inlineStr">
        <is>
          <t>ref</t>
        </is>
      </c>
      <c r="O489" t="n">
        <v>100</v>
      </c>
      <c r="P489" t="n">
        <v>0.02809</v>
      </c>
      <c r="Q489" t="n">
        <v>30</v>
      </c>
      <c r="R489" t="n">
        <v>0.03674</v>
      </c>
      <c r="S489">
        <f>IMAGE("https://mitra.stanford.edu/kundaje/oak/projects/neuro-variants/variant_position/credible/roussos_2024/variant_figures/roussos_2024.adolescence.GLU/rs12273233_count_position.png",4,220,900)</f>
        <v/>
      </c>
      <c r="T489">
        <f>IMAGE("https://mitra.stanford.edu/kundaje/oak/projects/neuro-variants/variant_position/credible/roussos_2024/variant_figures/roussos_2024.adolescence.GLU/rs12273233_profile_position.png",4,220,900)</f>
        <v/>
      </c>
    </row>
    <row r="490">
      <c r="A490" t="inlineStr">
        <is>
          <t>chr11</t>
        </is>
      </c>
      <c r="B490" t="n">
        <v>28023971</v>
      </c>
      <c r="C490" t="inlineStr">
        <is>
          <t>C</t>
        </is>
      </c>
      <c r="D490" t="inlineStr">
        <is>
          <t>T</t>
        </is>
      </c>
      <c r="E490" t="inlineStr">
        <is>
          <t>rs12292666</t>
        </is>
      </c>
      <c r="F490" t="n">
        <v>0.001493962194</v>
      </c>
      <c r="G490" t="n">
        <v>0.8099512553434376</v>
      </c>
      <c r="H490" t="n">
        <v>0.0223527884007374</v>
      </c>
      <c r="I490" t="n">
        <v>0.0340979188560772</v>
      </c>
      <c r="J490" t="n">
        <v>0.011042287330947</v>
      </c>
      <c r="K490" t="n">
        <v>0.8703687276053083</v>
      </c>
      <c r="L490" t="b">
        <v>0</v>
      </c>
      <c r="M490" t="b">
        <v>0</v>
      </c>
      <c r="N490" t="inlineStr">
        <is>
          <t>alt</t>
        </is>
      </c>
      <c r="O490" t="n">
        <v>100</v>
      </c>
      <c r="P490" t="n">
        <v>0.02902</v>
      </c>
      <c r="Q490" t="n">
        <v>-70</v>
      </c>
      <c r="R490" t="n">
        <v>0.1127</v>
      </c>
      <c r="S490">
        <f>IMAGE("https://mitra.stanford.edu/kundaje/oak/projects/neuro-variants/variant_position/credible/roussos_2024/variant_figures/roussos_2024.adolescence.GLU/rs12292666_count_position.png",4,220,900)</f>
        <v/>
      </c>
      <c r="T490">
        <f>IMAGE("https://mitra.stanford.edu/kundaje/oak/projects/neuro-variants/variant_position/credible/roussos_2024/variant_figures/roussos_2024.adolescence.GLU/rs12292666_profile_position.png",4,220,900)</f>
        <v/>
      </c>
    </row>
    <row r="491">
      <c r="A491" t="inlineStr">
        <is>
          <t>chr11</t>
        </is>
      </c>
      <c r="B491" t="n">
        <v>28040712</v>
      </c>
      <c r="C491" t="inlineStr">
        <is>
          <t>G</t>
        </is>
      </c>
      <c r="D491" t="inlineStr">
        <is>
          <t>T</t>
        </is>
      </c>
      <c r="E491" t="inlineStr">
        <is>
          <t>rs12278238</t>
        </is>
      </c>
      <c r="F491" t="n">
        <v>0.01164260976</v>
      </c>
      <c r="G491" t="n">
        <v>0.4818608584634504</v>
      </c>
      <c r="H491" t="n">
        <v>0.0186079290733564</v>
      </c>
      <c r="I491" t="n">
        <v>0.08361328657751579</v>
      </c>
      <c r="J491" t="n">
        <v>0.0331111444513505</v>
      </c>
      <c r="K491" t="n">
        <v>0.7566354282870144</v>
      </c>
      <c r="L491" t="b">
        <v>0</v>
      </c>
      <c r="M491" t="b">
        <v>0</v>
      </c>
      <c r="N491" t="inlineStr">
        <is>
          <t>alt</t>
        </is>
      </c>
      <c r="O491" t="n">
        <v>-100</v>
      </c>
      <c r="P491" t="n">
        <v>0.004436</v>
      </c>
      <c r="Q491" t="n">
        <v>-100</v>
      </c>
      <c r="R491" t="n">
        <v>0.03357</v>
      </c>
      <c r="S491">
        <f>IMAGE("https://mitra.stanford.edu/kundaje/oak/projects/neuro-variants/variant_position/credible/roussos_2024/variant_figures/roussos_2024.adolescence.GLU/rs12278238_count_position.png",4,220,900)</f>
        <v/>
      </c>
      <c r="T491">
        <f>IMAGE("https://mitra.stanford.edu/kundaje/oak/projects/neuro-variants/variant_position/credible/roussos_2024/variant_figures/roussos_2024.adolescence.GLU/rs12278238_profile_position.png",4,220,900)</f>
        <v/>
      </c>
    </row>
    <row r="492">
      <c r="A492" t="inlineStr">
        <is>
          <t>chr11</t>
        </is>
      </c>
      <c r="B492" t="n">
        <v>28115278</v>
      </c>
      <c r="C492" t="inlineStr">
        <is>
          <t>G</t>
        </is>
      </c>
      <c r="D492" t="inlineStr">
        <is>
          <t>A</t>
        </is>
      </c>
      <c r="E492" t="inlineStr">
        <is>
          <t>rs113123159</t>
        </is>
      </c>
      <c r="F492" t="n">
        <v>0.002464736284</v>
      </c>
      <c r="G492" t="n">
        <v>0.832363131266432</v>
      </c>
      <c r="H492" t="n">
        <v>0.0184921671456278</v>
      </c>
      <c r="I492" t="n">
        <v>0.0782868013521056</v>
      </c>
      <c r="J492" t="n">
        <v>0.0260439662501517</v>
      </c>
      <c r="K492" t="n">
        <v>0.7942144683424859</v>
      </c>
      <c r="L492" t="b">
        <v>0</v>
      </c>
      <c r="M492" t="b">
        <v>0</v>
      </c>
      <c r="N492" t="inlineStr">
        <is>
          <t>alt</t>
        </is>
      </c>
      <c r="O492" t="n">
        <v>-10</v>
      </c>
      <c r="P492" t="n">
        <v>0.001892</v>
      </c>
      <c r="Q492" t="n">
        <v>70</v>
      </c>
      <c r="R492" t="n">
        <v>0.0679</v>
      </c>
      <c r="S492">
        <f>IMAGE("https://mitra.stanford.edu/kundaje/oak/projects/neuro-variants/variant_position/credible/roussos_2024/variant_figures/roussos_2024.adolescence.GLU/rs113123159_count_position.png",4,220,900)</f>
        <v/>
      </c>
      <c r="T492">
        <f>IMAGE("https://mitra.stanford.edu/kundaje/oak/projects/neuro-variants/variant_position/credible/roussos_2024/variant_figures/roussos_2024.adolescence.GLU/rs113123159_profile_position.png",4,220,900)</f>
        <v/>
      </c>
    </row>
    <row r="493">
      <c r="A493" t="inlineStr">
        <is>
          <t>chr11</t>
        </is>
      </c>
      <c r="B493" t="n">
        <v>28144957</v>
      </c>
      <c r="C493" t="inlineStr">
        <is>
          <t>C</t>
        </is>
      </c>
      <c r="D493" t="inlineStr">
        <is>
          <t>T</t>
        </is>
      </c>
      <c r="E493" t="inlineStr">
        <is>
          <t>rs17244352</t>
        </is>
      </c>
      <c r="F493" t="n">
        <v>-0.00350970322</v>
      </c>
      <c r="G493" t="n">
        <v>0.7746743511410105</v>
      </c>
      <c r="H493" t="n">
        <v>0.0059548893451539</v>
      </c>
      <c r="I493" t="n">
        <v>0.974705903470365</v>
      </c>
      <c r="J493" t="n">
        <v>0.06943724057126111</v>
      </c>
      <c r="K493" t="n">
        <v>0.6402459656423068</v>
      </c>
      <c r="L493" t="b">
        <v>0</v>
      </c>
      <c r="M493" t="b">
        <v>0</v>
      </c>
      <c r="N493" t="inlineStr">
        <is>
          <t>ref</t>
        </is>
      </c>
      <c r="O493" t="n">
        <v>-90</v>
      </c>
      <c r="P493" t="n">
        <v>0.00596</v>
      </c>
      <c r="Q493" t="n">
        <v>90</v>
      </c>
      <c r="R493" t="n">
        <v>0.1287</v>
      </c>
      <c r="S493">
        <f>IMAGE("https://mitra.stanford.edu/kundaje/oak/projects/neuro-variants/variant_position/credible/roussos_2024/variant_figures/roussos_2024.adolescence.GLU/rs17244352_count_position.png",4,220,900)</f>
        <v/>
      </c>
      <c r="T493">
        <f>IMAGE("https://mitra.stanford.edu/kundaje/oak/projects/neuro-variants/variant_position/credible/roussos_2024/variant_figures/roussos_2024.adolescence.GLU/rs17244352_profile_position.png",4,220,900)</f>
        <v/>
      </c>
    </row>
    <row r="494">
      <c r="A494" t="inlineStr">
        <is>
          <t>chr11</t>
        </is>
      </c>
      <c r="B494" t="n">
        <v>28146351</v>
      </c>
      <c r="C494" t="inlineStr">
        <is>
          <t>T</t>
        </is>
      </c>
      <c r="D494" t="inlineStr">
        <is>
          <t>G</t>
        </is>
      </c>
      <c r="E494" t="inlineStr">
        <is>
          <t>rs12284362</t>
        </is>
      </c>
      <c r="F494" t="n">
        <v>0.0846491852</v>
      </c>
      <c r="G494" t="n">
        <v>0.0178915721203487</v>
      </c>
      <c r="H494" t="n">
        <v>0.0185986411735154</v>
      </c>
      <c r="I494" t="n">
        <v>0.0867488061086141</v>
      </c>
      <c r="J494" t="n">
        <v>0.0413342763858227</v>
      </c>
      <c r="K494" t="n">
        <v>0.7361966675973975</v>
      </c>
      <c r="L494" t="b">
        <v>1</v>
      </c>
      <c r="M494" t="b">
        <v>0</v>
      </c>
      <c r="N494" t="inlineStr">
        <is>
          <t>alt</t>
        </is>
      </c>
      <c r="O494" t="n">
        <v>35</v>
      </c>
      <c r="P494" t="n">
        <v>0.00656</v>
      </c>
      <c r="Q494" t="n">
        <v>-25</v>
      </c>
      <c r="R494" t="n">
        <v>0.02954</v>
      </c>
      <c r="S494">
        <f>IMAGE("https://mitra.stanford.edu/kundaje/oak/projects/neuro-variants/variant_position/credible/roussos_2024/variant_figures/roussos_2024.adolescence.GLU/rs12284362_count_position.png",4,220,900)</f>
        <v/>
      </c>
      <c r="T494">
        <f>IMAGE("https://mitra.stanford.edu/kundaje/oak/projects/neuro-variants/variant_position/credible/roussos_2024/variant_figures/roussos_2024.adolescence.GLU/rs12284362_profile_position.png",4,220,900)</f>
        <v/>
      </c>
    </row>
    <row r="495">
      <c r="A495" t="inlineStr">
        <is>
          <t>chr11</t>
        </is>
      </c>
      <c r="B495" t="n">
        <v>28198959</v>
      </c>
      <c r="C495" t="inlineStr">
        <is>
          <t>G</t>
        </is>
      </c>
      <c r="D495" t="inlineStr">
        <is>
          <t>T</t>
        </is>
      </c>
      <c r="E495" t="inlineStr">
        <is>
          <t>rs11030238</t>
        </is>
      </c>
      <c r="F495" t="n">
        <v>-0.0048333953679999</v>
      </c>
      <c r="G495" t="n">
        <v>0.7464899147990655</v>
      </c>
      <c r="H495" t="n">
        <v>0.0083787179620097</v>
      </c>
      <c r="I495" t="n">
        <v>0.7020268710788871</v>
      </c>
      <c r="J495" t="n">
        <v>0.0399025512427573</v>
      </c>
      <c r="K495" t="n">
        <v>0.7377341232802817</v>
      </c>
      <c r="L495" t="b">
        <v>0</v>
      </c>
      <c r="M495" t="b">
        <v>0</v>
      </c>
      <c r="N495" t="inlineStr">
        <is>
          <t>ref</t>
        </is>
      </c>
      <c r="O495" t="n">
        <v>100</v>
      </c>
      <c r="P495" t="n">
        <v>0.01884</v>
      </c>
      <c r="Q495" t="n">
        <v>40</v>
      </c>
      <c r="R495" t="n">
        <v>0.01645</v>
      </c>
      <c r="S495">
        <f>IMAGE("https://mitra.stanford.edu/kundaje/oak/projects/neuro-variants/variant_position/credible/roussos_2024/variant_figures/roussos_2024.adolescence.GLU/rs11030238_count_position.png",4,220,900)</f>
        <v/>
      </c>
      <c r="T495">
        <f>IMAGE("https://mitra.stanford.edu/kundaje/oak/projects/neuro-variants/variant_position/credible/roussos_2024/variant_figures/roussos_2024.adolescence.GLU/rs11030238_profile_position.png",4,220,900)</f>
        <v/>
      </c>
    </row>
    <row r="496">
      <c r="A496" t="inlineStr">
        <is>
          <t>chr11</t>
        </is>
      </c>
      <c r="B496" t="n">
        <v>28211322</v>
      </c>
      <c r="C496" t="inlineStr">
        <is>
          <t>T</t>
        </is>
      </c>
      <c r="D496" t="inlineStr">
        <is>
          <t>C</t>
        </is>
      </c>
      <c r="E496" t="inlineStr">
        <is>
          <t>rs11030247</t>
        </is>
      </c>
      <c r="F496" t="n">
        <v>0.0023582448759999</v>
      </c>
      <c r="G496" t="n">
        <v>0.7881122605728468</v>
      </c>
      <c r="H496" t="n">
        <v>0.0228107091498824</v>
      </c>
      <c r="I496" t="n">
        <v>0.0319003144329442</v>
      </c>
      <c r="J496" t="n">
        <v>0.0184823999256988</v>
      </c>
      <c r="K496" t="n">
        <v>0.8255916466669898</v>
      </c>
      <c r="L496" t="b">
        <v>0</v>
      </c>
      <c r="M496" t="b">
        <v>0</v>
      </c>
      <c r="N496" t="inlineStr">
        <is>
          <t>alt</t>
        </is>
      </c>
      <c r="O496" t="n">
        <v>85</v>
      </c>
      <c r="P496" t="n">
        <v>0.014694</v>
      </c>
      <c r="Q496" t="n">
        <v>-100</v>
      </c>
      <c r="R496" t="n">
        <v>0.06444999999999999</v>
      </c>
      <c r="S496">
        <f>IMAGE("https://mitra.stanford.edu/kundaje/oak/projects/neuro-variants/variant_position/credible/roussos_2024/variant_figures/roussos_2024.adolescence.GLU/rs11030247_count_position.png",4,220,900)</f>
        <v/>
      </c>
      <c r="T496">
        <f>IMAGE("https://mitra.stanford.edu/kundaje/oak/projects/neuro-variants/variant_position/credible/roussos_2024/variant_figures/roussos_2024.adolescence.GLU/rs11030247_profile_position.png",4,220,900)</f>
        <v/>
      </c>
    </row>
    <row r="497">
      <c r="A497" t="inlineStr">
        <is>
          <t>chr11</t>
        </is>
      </c>
      <c r="B497" t="n">
        <v>28236730</v>
      </c>
      <c r="C497" t="inlineStr">
        <is>
          <t>T</t>
        </is>
      </c>
      <c r="D497" t="inlineStr">
        <is>
          <t>C</t>
        </is>
      </c>
      <c r="E497" t="inlineStr">
        <is>
          <t>rs6484357</t>
        </is>
      </c>
      <c r="F497" t="n">
        <v>0.0510288182</v>
      </c>
      <c r="G497" t="n">
        <v>0.062165710732117</v>
      </c>
      <c r="H497" t="n">
        <v>0.0113518711999397</v>
      </c>
      <c r="I497" t="n">
        <v>0.403555241778939</v>
      </c>
      <c r="J497" t="n">
        <v>0.1288566917432896</v>
      </c>
      <c r="K497" t="n">
        <v>0.5168120770665221</v>
      </c>
      <c r="L497" t="b">
        <v>0</v>
      </c>
      <c r="M497" t="b">
        <v>0</v>
      </c>
      <c r="N497" t="inlineStr">
        <is>
          <t>alt</t>
        </is>
      </c>
      <c r="O497" t="n">
        <v>50</v>
      </c>
      <c r="P497" t="n">
        <v>0.01366</v>
      </c>
      <c r="Q497" t="n">
        <v>40</v>
      </c>
      <c r="R497" t="n">
        <v>0.068</v>
      </c>
      <c r="S497">
        <f>IMAGE("https://mitra.stanford.edu/kundaje/oak/projects/neuro-variants/variant_position/credible/roussos_2024/variant_figures/roussos_2024.adolescence.GLU/rs6484357_count_position.png",4,220,900)</f>
        <v/>
      </c>
      <c r="T497">
        <f>IMAGE("https://mitra.stanford.edu/kundaje/oak/projects/neuro-variants/variant_position/credible/roussos_2024/variant_figures/roussos_2024.adolescence.GLU/rs6484357_profile_position.png",4,220,900)</f>
        <v/>
      </c>
    </row>
    <row r="498">
      <c r="A498" t="inlineStr">
        <is>
          <t>chr11</t>
        </is>
      </c>
      <c r="B498" t="n">
        <v>28364633</v>
      </c>
      <c r="C498" t="inlineStr">
        <is>
          <t>G</t>
        </is>
      </c>
      <c r="D498" t="inlineStr">
        <is>
          <t>A</t>
        </is>
      </c>
      <c r="E498" t="inlineStr">
        <is>
          <t>rs11030297</t>
        </is>
      </c>
      <c r="F498" t="n">
        <v>0.0029998919899999</v>
      </c>
      <c r="G498" t="n">
        <v>0.7598788397102203</v>
      </c>
      <c r="H498" t="n">
        <v>0.0110688759166026</v>
      </c>
      <c r="I498" t="n">
        <v>0.4181234315595319</v>
      </c>
      <c r="J498" t="n">
        <v>0.0411899607775896</v>
      </c>
      <c r="K498" t="n">
        <v>0.7282332835040238</v>
      </c>
      <c r="L498" t="b">
        <v>0</v>
      </c>
      <c r="M498" t="b">
        <v>0</v>
      </c>
      <c r="N498" t="inlineStr">
        <is>
          <t>alt</t>
        </is>
      </c>
      <c r="O498" t="n">
        <v>-30</v>
      </c>
      <c r="P498" t="n">
        <v>0.00444</v>
      </c>
      <c r="Q498" t="n">
        <v>60</v>
      </c>
      <c r="R498" t="n">
        <v>0.02655</v>
      </c>
      <c r="S498">
        <f>IMAGE("https://mitra.stanford.edu/kundaje/oak/projects/neuro-variants/variant_position/credible/roussos_2024/variant_figures/roussos_2024.adolescence.GLU/rs11030297_count_position.png",4,220,900)</f>
        <v/>
      </c>
      <c r="T498">
        <f>IMAGE("https://mitra.stanford.edu/kundaje/oak/projects/neuro-variants/variant_position/credible/roussos_2024/variant_figures/roussos_2024.adolescence.GLU/rs11030297_profile_position.png",4,220,900)</f>
        <v/>
      </c>
    </row>
    <row r="499">
      <c r="A499" t="inlineStr">
        <is>
          <t>chr11</t>
        </is>
      </c>
      <c r="B499" t="n">
        <v>28378431</v>
      </c>
      <c r="C499" t="inlineStr">
        <is>
          <t>G</t>
        </is>
      </c>
      <c r="D499" t="inlineStr">
        <is>
          <t>A</t>
        </is>
      </c>
      <c r="E499" t="inlineStr">
        <is>
          <t>rs7124325</t>
        </is>
      </c>
      <c r="F499" t="n">
        <v>-0.0332495466</v>
      </c>
      <c r="G499" t="n">
        <v>0.1520413642751742</v>
      </c>
      <c r="H499" t="n">
        <v>0.009510464115044</v>
      </c>
      <c r="I499" t="n">
        <v>0.589863553661509</v>
      </c>
      <c r="J499" t="n">
        <v>0.4321452300833743</v>
      </c>
      <c r="K499" t="n">
        <v>0.1367366820455557</v>
      </c>
      <c r="L499" t="b">
        <v>0</v>
      </c>
      <c r="M499" t="b">
        <v>0</v>
      </c>
      <c r="N499" t="inlineStr">
        <is>
          <t>ref</t>
        </is>
      </c>
      <c r="O499" t="n">
        <v>-80</v>
      </c>
      <c r="P499" t="n">
        <v>0.01031</v>
      </c>
      <c r="Q499" t="n">
        <v>-65</v>
      </c>
      <c r="R499" t="n">
        <v>0.04907</v>
      </c>
      <c r="S499">
        <f>IMAGE("https://mitra.stanford.edu/kundaje/oak/projects/neuro-variants/variant_position/credible/roussos_2024/variant_figures/roussos_2024.adolescence.GLU/rs7124325_count_position.png",4,220,900)</f>
        <v/>
      </c>
      <c r="T499">
        <f>IMAGE("https://mitra.stanford.edu/kundaje/oak/projects/neuro-variants/variant_position/credible/roussos_2024/variant_figures/roussos_2024.adolescence.GLU/rs7124325_profile_position.png",4,220,900)</f>
        <v/>
      </c>
    </row>
    <row r="500">
      <c r="A500" t="inlineStr">
        <is>
          <t>chr11</t>
        </is>
      </c>
      <c r="B500" t="n">
        <v>28381745</v>
      </c>
      <c r="C500" t="inlineStr">
        <is>
          <t>A</t>
        </is>
      </c>
      <c r="D500" t="inlineStr">
        <is>
          <t>G</t>
        </is>
      </c>
      <c r="E500" t="inlineStr">
        <is>
          <t>rs11030309</t>
        </is>
      </c>
      <c r="F500" t="n">
        <v>0.01153450968</v>
      </c>
      <c r="G500" t="n">
        <v>0.4596347854493459</v>
      </c>
      <c r="H500" t="n">
        <v>0.0136681152534191</v>
      </c>
      <c r="I500" t="n">
        <v>0.217322101635568</v>
      </c>
      <c r="J500" t="n">
        <v>0.005535432339556</v>
      </c>
      <c r="K500" t="n">
        <v>0.9140576601258884</v>
      </c>
      <c r="L500" t="b">
        <v>0</v>
      </c>
      <c r="M500" t="b">
        <v>0</v>
      </c>
      <c r="N500" t="inlineStr">
        <is>
          <t>alt</t>
        </is>
      </c>
      <c r="O500" t="n">
        <v>55</v>
      </c>
      <c r="P500" t="n">
        <v>0.00383</v>
      </c>
      <c r="Q500" t="n">
        <v>-75</v>
      </c>
      <c r="R500" t="n">
        <v>0.02267</v>
      </c>
      <c r="S500">
        <f>IMAGE("https://mitra.stanford.edu/kundaje/oak/projects/neuro-variants/variant_position/credible/roussos_2024/variant_figures/roussos_2024.adolescence.GLU/rs11030309_count_position.png",4,220,900)</f>
        <v/>
      </c>
      <c r="T500">
        <f>IMAGE("https://mitra.stanford.edu/kundaje/oak/projects/neuro-variants/variant_position/credible/roussos_2024/variant_figures/roussos_2024.adolescence.GLU/rs11030309_profile_position.png",4,220,900)</f>
        <v/>
      </c>
    </row>
    <row r="501">
      <c r="A501" t="inlineStr">
        <is>
          <t>chr11</t>
        </is>
      </c>
      <c r="B501" t="n">
        <v>28392721</v>
      </c>
      <c r="C501" t="inlineStr">
        <is>
          <t>T</t>
        </is>
      </c>
      <c r="D501" t="inlineStr">
        <is>
          <t>C</t>
        </is>
      </c>
      <c r="E501" t="inlineStr">
        <is>
          <t>rs10835321</t>
        </is>
      </c>
      <c r="F501" t="n">
        <v>0.063500258</v>
      </c>
      <c r="G501" t="n">
        <v>0.0339572247376539</v>
      </c>
      <c r="H501" t="n">
        <v>0.0121823913019818</v>
      </c>
      <c r="I501" t="n">
        <v>0.3090806375781256</v>
      </c>
      <c r="J501" t="n">
        <v>0.0136385394117352</v>
      </c>
      <c r="K501" t="n">
        <v>0.857242221778949</v>
      </c>
      <c r="L501" t="b">
        <v>0</v>
      </c>
      <c r="M501" t="b">
        <v>0</v>
      </c>
      <c r="N501" t="inlineStr">
        <is>
          <t>alt</t>
        </is>
      </c>
      <c r="O501" t="n">
        <v>65</v>
      </c>
      <c r="P501" t="n">
        <v>0.001518</v>
      </c>
      <c r="Q501" t="n">
        <v>-100</v>
      </c>
      <c r="R501" t="n">
        <v>0.074</v>
      </c>
      <c r="S501">
        <f>IMAGE("https://mitra.stanford.edu/kundaje/oak/projects/neuro-variants/variant_position/credible/roussos_2024/variant_figures/roussos_2024.adolescence.GLU/rs10835321_count_position.png",4,220,900)</f>
        <v/>
      </c>
      <c r="T501">
        <f>IMAGE("https://mitra.stanford.edu/kundaje/oak/projects/neuro-variants/variant_position/credible/roussos_2024/variant_figures/roussos_2024.adolescence.GLU/rs10835321_profile_position.png",4,220,900)</f>
        <v/>
      </c>
    </row>
    <row r="502">
      <c r="A502" t="inlineStr">
        <is>
          <t>chr11</t>
        </is>
      </c>
      <c r="B502" t="n">
        <v>28395099</v>
      </c>
      <c r="C502" t="inlineStr">
        <is>
          <t>A</t>
        </is>
      </c>
      <c r="D502" t="inlineStr">
        <is>
          <t>G</t>
        </is>
      </c>
      <c r="E502" t="inlineStr">
        <is>
          <t>rs4923535</t>
        </is>
      </c>
      <c r="F502" t="n">
        <v>-0.00648241552</v>
      </c>
      <c r="G502" t="n">
        <v>0.6691718851505085</v>
      </c>
      <c r="H502" t="n">
        <v>0.0254360463091582</v>
      </c>
      <c r="I502" t="n">
        <v>0.0193746017225275</v>
      </c>
      <c r="J502" t="n">
        <v>0.0831100728007944</v>
      </c>
      <c r="K502" t="n">
        <v>0.6132621675176747</v>
      </c>
      <c r="L502" t="b">
        <v>1</v>
      </c>
      <c r="M502" t="b">
        <v>0</v>
      </c>
      <c r="N502" t="inlineStr">
        <is>
          <t>ref</t>
        </is>
      </c>
      <c r="O502" t="n">
        <v>65</v>
      </c>
      <c r="P502" t="n">
        <v>0.001602</v>
      </c>
      <c r="Q502" t="n">
        <v>-5</v>
      </c>
      <c r="R502" t="n">
        <v>0.001648</v>
      </c>
      <c r="S502">
        <f>IMAGE("https://mitra.stanford.edu/kundaje/oak/projects/neuro-variants/variant_position/credible/roussos_2024/variant_figures/roussos_2024.adolescence.GLU/rs4923535_count_position.png",4,220,900)</f>
        <v/>
      </c>
      <c r="T502">
        <f>IMAGE("https://mitra.stanford.edu/kundaje/oak/projects/neuro-variants/variant_position/credible/roussos_2024/variant_figures/roussos_2024.adolescence.GLU/rs4923535_profile_position.png",4,220,900)</f>
        <v/>
      </c>
    </row>
    <row r="503">
      <c r="A503" t="inlineStr">
        <is>
          <t>chr11</t>
        </is>
      </c>
      <c r="B503" t="n">
        <v>28399518</v>
      </c>
      <c r="C503" t="inlineStr">
        <is>
          <t>G</t>
        </is>
      </c>
      <c r="D503" t="inlineStr">
        <is>
          <t>A</t>
        </is>
      </c>
      <c r="E503" t="inlineStr">
        <is>
          <t>rs11030323</t>
        </is>
      </c>
      <c r="F503" t="n">
        <v>-0.005897582346</v>
      </c>
      <c r="G503" t="n">
        <v>0.6820663613246195</v>
      </c>
      <c r="H503" t="n">
        <v>0.0201244374626238</v>
      </c>
      <c r="I503" t="n">
        <v>0.05669128961148</v>
      </c>
      <c r="J503" t="n">
        <v>0.0136614012902672</v>
      </c>
      <c r="K503" t="n">
        <v>0.8594225468045813</v>
      </c>
      <c r="L503" t="b">
        <v>0</v>
      </c>
      <c r="M503" t="b">
        <v>0</v>
      </c>
      <c r="N503" t="inlineStr">
        <is>
          <t>ref</t>
        </is>
      </c>
      <c r="O503" t="n">
        <v>100</v>
      </c>
      <c r="P503" t="n">
        <v>0.00512</v>
      </c>
      <c r="Q503" t="n">
        <v>-100</v>
      </c>
      <c r="R503" t="n">
        <v>0.02368</v>
      </c>
      <c r="S503">
        <f>IMAGE("https://mitra.stanford.edu/kundaje/oak/projects/neuro-variants/variant_position/credible/roussos_2024/variant_figures/roussos_2024.adolescence.GLU/rs11030323_count_position.png",4,220,900)</f>
        <v/>
      </c>
      <c r="T503">
        <f>IMAGE("https://mitra.stanford.edu/kundaje/oak/projects/neuro-variants/variant_position/credible/roussos_2024/variant_figures/roussos_2024.adolescence.GLU/rs11030323_profile_position.png",4,220,900)</f>
        <v/>
      </c>
    </row>
    <row r="504">
      <c r="A504" t="inlineStr">
        <is>
          <t>chr11</t>
        </is>
      </c>
      <c r="B504" t="n">
        <v>28400294</v>
      </c>
      <c r="C504" t="inlineStr">
        <is>
          <t>C</t>
        </is>
      </c>
      <c r="D504" t="inlineStr">
        <is>
          <t>T</t>
        </is>
      </c>
      <c r="E504" t="inlineStr">
        <is>
          <t>rs7931626</t>
        </is>
      </c>
      <c r="F504" t="n">
        <v>-0.111865015</v>
      </c>
      <c r="G504" t="n">
        <v>0.0057040805415989</v>
      </c>
      <c r="H504" t="n">
        <v>0.0210769922184249</v>
      </c>
      <c r="I504" t="n">
        <v>0.0478608331604566</v>
      </c>
      <c r="J504" t="n">
        <v>0.1120503532874666</v>
      </c>
      <c r="K504" t="n">
        <v>0.5481794971469464</v>
      </c>
      <c r="L504" t="b">
        <v>1</v>
      </c>
      <c r="M504" t="b">
        <v>1</v>
      </c>
      <c r="N504" t="inlineStr">
        <is>
          <t>ref</t>
        </is>
      </c>
      <c r="O504" t="n">
        <v>65</v>
      </c>
      <c r="P504" t="n">
        <v>0.00682</v>
      </c>
      <c r="Q504" t="n">
        <v>75</v>
      </c>
      <c r="R504" t="n">
        <v>0.1039</v>
      </c>
      <c r="S504">
        <f>IMAGE("https://mitra.stanford.edu/kundaje/oak/projects/neuro-variants/variant_position/credible/roussos_2024/variant_figures/roussos_2024.adolescence.GLU/rs7931626_count_position.png",4,220,900)</f>
        <v/>
      </c>
      <c r="T504">
        <f>IMAGE("https://mitra.stanford.edu/kundaje/oak/projects/neuro-variants/variant_position/credible/roussos_2024/variant_figures/roussos_2024.adolescence.GLU/rs7931626_profile_position.png",4,220,900)</f>
        <v/>
      </c>
    </row>
    <row r="505">
      <c r="A505" t="inlineStr">
        <is>
          <t>chr11</t>
        </is>
      </c>
      <c r="B505" t="n">
        <v>28409823</v>
      </c>
      <c r="C505" t="inlineStr">
        <is>
          <t>A</t>
        </is>
      </c>
      <c r="D505" t="inlineStr">
        <is>
          <t>G</t>
        </is>
      </c>
      <c r="E505" t="inlineStr">
        <is>
          <t>rs11030324</t>
        </is>
      </c>
      <c r="F505" t="n">
        <v>0.0174231472</v>
      </c>
      <c r="G505" t="n">
        <v>0.3302266947653503</v>
      </c>
      <c r="H505" t="n">
        <v>0.0162338404509837</v>
      </c>
      <c r="I505" t="n">
        <v>0.1258787306733361</v>
      </c>
      <c r="J505" t="n">
        <v>0.0053153867586856</v>
      </c>
      <c r="K505" t="n">
        <v>0.9164764468839436</v>
      </c>
      <c r="L505" t="b">
        <v>0</v>
      </c>
      <c r="M505" t="b">
        <v>0</v>
      </c>
      <c r="N505" t="inlineStr">
        <is>
          <t>alt</t>
        </is>
      </c>
      <c r="O505" t="n">
        <v>-75</v>
      </c>
      <c r="P505" t="n">
        <v>0.008064</v>
      </c>
      <c r="Q505" t="n">
        <v>-75</v>
      </c>
      <c r="R505" t="n">
        <v>0.06866</v>
      </c>
      <c r="S505">
        <f>IMAGE("https://mitra.stanford.edu/kundaje/oak/projects/neuro-variants/variant_position/credible/roussos_2024/variant_figures/roussos_2024.adolescence.GLU/rs11030324_count_position.png",4,220,900)</f>
        <v/>
      </c>
      <c r="T505">
        <f>IMAGE("https://mitra.stanford.edu/kundaje/oak/projects/neuro-variants/variant_position/credible/roussos_2024/variant_figures/roussos_2024.adolescence.GLU/rs11030324_profile_position.png",4,220,900)</f>
        <v/>
      </c>
    </row>
    <row r="506">
      <c r="A506" t="inlineStr">
        <is>
          <t>chr11</t>
        </is>
      </c>
      <c r="B506" t="n">
        <v>28428661</v>
      </c>
      <c r="C506" t="inlineStr">
        <is>
          <t>G</t>
        </is>
      </c>
      <c r="D506" t="inlineStr">
        <is>
          <t>A</t>
        </is>
      </c>
      <c r="E506" t="inlineStr">
        <is>
          <t>rs11030331</t>
        </is>
      </c>
      <c r="F506" t="n">
        <v>0.1806870392</v>
      </c>
      <c r="G506" t="n">
        <v>0.0029457331469463</v>
      </c>
      <c r="H506" t="n">
        <v>0.0680198123734129</v>
      </c>
      <c r="I506" t="n">
        <v>0.0013603020248466</v>
      </c>
      <c r="J506" t="n">
        <v>0.0959212979831536</v>
      </c>
      <c r="K506" t="n">
        <v>0.5758879185697346</v>
      </c>
      <c r="L506" t="b">
        <v>1</v>
      </c>
      <c r="M506" t="b">
        <v>1</v>
      </c>
      <c r="N506" t="inlineStr">
        <is>
          <t>alt</t>
        </is>
      </c>
      <c r="O506" t="n">
        <v>25</v>
      </c>
      <c r="P506" t="n">
        <v>0.001617</v>
      </c>
      <c r="Q506" t="n">
        <v>65</v>
      </c>
      <c r="R506" t="n">
        <v>0.01434</v>
      </c>
      <c r="S506">
        <f>IMAGE("https://mitra.stanford.edu/kundaje/oak/projects/neuro-variants/variant_position/credible/roussos_2024/variant_figures/roussos_2024.adolescence.GLU/rs11030331_count_position.png",4,220,900)</f>
        <v/>
      </c>
      <c r="T506">
        <f>IMAGE("https://mitra.stanford.edu/kundaje/oak/projects/neuro-variants/variant_position/credible/roussos_2024/variant_figures/roussos_2024.adolescence.GLU/rs11030331_profile_position.png",4,220,900)</f>
        <v/>
      </c>
    </row>
    <row r="507">
      <c r="A507" t="inlineStr">
        <is>
          <t>chr11</t>
        </is>
      </c>
      <c r="B507" t="n">
        <v>28434247</v>
      </c>
      <c r="C507" t="inlineStr">
        <is>
          <t>C</t>
        </is>
      </c>
      <c r="D507" t="inlineStr">
        <is>
          <t>T</t>
        </is>
      </c>
      <c r="E507" t="inlineStr">
        <is>
          <t>rs4543974</t>
        </is>
      </c>
      <c r="F507" t="n">
        <v>-0.0258884162999999</v>
      </c>
      <c r="G507" t="n">
        <v>0.2333754958770294</v>
      </c>
      <c r="H507" t="n">
        <v>0.0106416245756774</v>
      </c>
      <c r="I507" t="n">
        <v>0.4147214426459401</v>
      </c>
      <c r="J507" t="n">
        <v>0.0668038379378585</v>
      </c>
      <c r="K507" t="n">
        <v>0.6483710935117478</v>
      </c>
      <c r="L507" t="b">
        <v>0</v>
      </c>
      <c r="M507" t="b">
        <v>0</v>
      </c>
      <c r="N507" t="inlineStr">
        <is>
          <t>ref</t>
        </is>
      </c>
      <c r="O507" t="n">
        <v>-80</v>
      </c>
      <c r="P507" t="n">
        <v>0.00269</v>
      </c>
      <c r="Q507" t="n">
        <v>-85</v>
      </c>
      <c r="R507" t="n">
        <v>0.10535</v>
      </c>
      <c r="S507">
        <f>IMAGE("https://mitra.stanford.edu/kundaje/oak/projects/neuro-variants/variant_position/credible/roussos_2024/variant_figures/roussos_2024.adolescence.GLU/rs4543974_count_position.png",4,220,900)</f>
        <v/>
      </c>
      <c r="T507">
        <f>IMAGE("https://mitra.stanford.edu/kundaje/oak/projects/neuro-variants/variant_position/credible/roussos_2024/variant_figures/roussos_2024.adolescence.GLU/rs4543974_profile_position.png",4,220,900)</f>
        <v/>
      </c>
    </row>
    <row r="508">
      <c r="A508" t="inlineStr">
        <is>
          <t>chr11</t>
        </is>
      </c>
      <c r="B508" t="n">
        <v>28441017</v>
      </c>
      <c r="C508" t="inlineStr">
        <is>
          <t>C</t>
        </is>
      </c>
      <c r="D508" t="inlineStr">
        <is>
          <t>T</t>
        </is>
      </c>
      <c r="E508" t="inlineStr">
        <is>
          <t>rs10767724</t>
        </is>
      </c>
      <c r="F508" t="n">
        <v>-0.08873728859999989</v>
      </c>
      <c r="G508" t="n">
        <v>0.0127262770269696</v>
      </c>
      <c r="H508" t="n">
        <v>0.0212431925384141</v>
      </c>
      <c r="I508" t="n">
        <v>0.0444410601752949</v>
      </c>
      <c r="J508" t="n">
        <v>0.040968486329311</v>
      </c>
      <c r="K508" t="n">
        <v>0.7282812221190673</v>
      </c>
      <c r="L508" t="b">
        <v>1</v>
      </c>
      <c r="M508" t="b">
        <v>0</v>
      </c>
      <c r="N508" t="inlineStr">
        <is>
          <t>ref</t>
        </is>
      </c>
      <c r="O508" t="n">
        <v>65</v>
      </c>
      <c r="P508" t="n">
        <v>0.01346</v>
      </c>
      <c r="Q508" t="n">
        <v>95</v>
      </c>
      <c r="R508" t="n">
        <v>0.057</v>
      </c>
      <c r="S508">
        <f>IMAGE("https://mitra.stanford.edu/kundaje/oak/projects/neuro-variants/variant_position/credible/roussos_2024/variant_figures/roussos_2024.adolescence.GLU/rs10767724_count_position.png",4,220,900)</f>
        <v/>
      </c>
      <c r="T508">
        <f>IMAGE("https://mitra.stanford.edu/kundaje/oak/projects/neuro-variants/variant_position/credible/roussos_2024/variant_figures/roussos_2024.adolescence.GLU/rs10767724_profile_position.png",4,220,900)</f>
        <v/>
      </c>
    </row>
    <row r="509">
      <c r="A509" t="inlineStr">
        <is>
          <t>chr11</t>
        </is>
      </c>
      <c r="B509" t="n">
        <v>28447818</v>
      </c>
      <c r="C509" t="inlineStr">
        <is>
          <t>T</t>
        </is>
      </c>
      <c r="D509" t="inlineStr">
        <is>
          <t>A</t>
        </is>
      </c>
      <c r="E509" t="inlineStr">
        <is>
          <t>rs10835338</t>
        </is>
      </c>
      <c r="F509" t="n">
        <v>0.0185769049999999</v>
      </c>
      <c r="G509" t="n">
        <v>0.3092170560806044</v>
      </c>
      <c r="H509" t="n">
        <v>0.0155999725574839</v>
      </c>
      <c r="I509" t="n">
        <v>0.1450971280210854</v>
      </c>
      <c r="J509" t="n">
        <v>0.0563459573768851</v>
      </c>
      <c r="K509" t="n">
        <v>0.6805264829488861</v>
      </c>
      <c r="L509" t="b">
        <v>0</v>
      </c>
      <c r="M509" t="b">
        <v>0</v>
      </c>
      <c r="N509" t="inlineStr">
        <is>
          <t>alt</t>
        </is>
      </c>
      <c r="O509" t="n">
        <v>-75</v>
      </c>
      <c r="P509" t="n">
        <v>0.02975</v>
      </c>
      <c r="Q509" t="n">
        <v>-40</v>
      </c>
      <c r="R509" t="n">
        <v>0.01959</v>
      </c>
      <c r="S509">
        <f>IMAGE("https://mitra.stanford.edu/kundaje/oak/projects/neuro-variants/variant_position/credible/roussos_2024/variant_figures/roussos_2024.adolescence.GLU/rs10835338_count_position.png",4,220,900)</f>
        <v/>
      </c>
      <c r="T509">
        <f>IMAGE("https://mitra.stanford.edu/kundaje/oak/projects/neuro-variants/variant_position/credible/roussos_2024/variant_figures/roussos_2024.adolescence.GLU/rs10835338_profile_position.png",4,220,900)</f>
        <v/>
      </c>
    </row>
    <row r="510">
      <c r="A510" t="inlineStr">
        <is>
          <t>chr11</t>
        </is>
      </c>
      <c r="B510" t="n">
        <v>28451163</v>
      </c>
      <c r="C510" t="inlineStr">
        <is>
          <t>C</t>
        </is>
      </c>
      <c r="D510" t="inlineStr">
        <is>
          <t>T</t>
        </is>
      </c>
      <c r="E510" t="inlineStr">
        <is>
          <t>rs10767725</t>
        </is>
      </c>
      <c r="F510" t="n">
        <v>-0.066208165</v>
      </c>
      <c r="G510" t="n">
        <v>0.0275770731201986</v>
      </c>
      <c r="H510" t="n">
        <v>0.0115882678334206</v>
      </c>
      <c r="I510" t="n">
        <v>0.3496494472794398</v>
      </c>
      <c r="J510" t="n">
        <v>0.1645783769495109</v>
      </c>
      <c r="K510" t="n">
        <v>0.4601329980695078</v>
      </c>
      <c r="L510" t="b">
        <v>0</v>
      </c>
      <c r="M510" t="b">
        <v>0</v>
      </c>
      <c r="N510" t="inlineStr">
        <is>
          <t>ref</t>
        </is>
      </c>
      <c r="O510" t="n">
        <v>70</v>
      </c>
      <c r="P510" t="n">
        <v>0.003647</v>
      </c>
      <c r="Q510" t="n">
        <v>75</v>
      </c>
      <c r="R510" t="n">
        <v>0.04462</v>
      </c>
      <c r="S510">
        <f>IMAGE("https://mitra.stanford.edu/kundaje/oak/projects/neuro-variants/variant_position/credible/roussos_2024/variant_figures/roussos_2024.adolescence.GLU/rs10767725_count_position.png",4,220,900)</f>
        <v/>
      </c>
      <c r="T510">
        <f>IMAGE("https://mitra.stanford.edu/kundaje/oak/projects/neuro-variants/variant_position/credible/roussos_2024/variant_figures/roussos_2024.adolescence.GLU/rs10767725_profile_position.png",4,220,900)</f>
        <v/>
      </c>
    </row>
    <row r="511">
      <c r="A511" t="inlineStr">
        <is>
          <t>chr11</t>
        </is>
      </c>
      <c r="B511" t="n">
        <v>28451754</v>
      </c>
      <c r="C511" t="inlineStr">
        <is>
          <t>G</t>
        </is>
      </c>
      <c r="D511" t="inlineStr">
        <is>
          <t>T</t>
        </is>
      </c>
      <c r="E511" t="inlineStr">
        <is>
          <t>rs11030341</t>
        </is>
      </c>
      <c r="F511" t="n">
        <v>-0.0827412726</v>
      </c>
      <c r="G511" t="n">
        <v>0.0218520724721653</v>
      </c>
      <c r="H511" t="n">
        <v>0.0178704805141575</v>
      </c>
      <c r="I511" t="n">
        <v>0.1249387770359318</v>
      </c>
      <c r="J511" t="n">
        <v>0.2454737052675197</v>
      </c>
      <c r="K511" t="n">
        <v>0.340909696831571</v>
      </c>
      <c r="L511" t="b">
        <v>0</v>
      </c>
      <c r="M511" t="b">
        <v>0</v>
      </c>
      <c r="N511" t="inlineStr">
        <is>
          <t>ref</t>
        </is>
      </c>
      <c r="O511" t="n">
        <v>-55</v>
      </c>
      <c r="P511" t="n">
        <v>0.03995</v>
      </c>
      <c r="Q511" t="n">
        <v>-100</v>
      </c>
      <c r="R511" t="n">
        <v>0.04327</v>
      </c>
      <c r="S511">
        <f>IMAGE("https://mitra.stanford.edu/kundaje/oak/projects/neuro-variants/variant_position/credible/roussos_2024/variant_figures/roussos_2024.adolescence.GLU/rs11030341_count_position.png",4,220,900)</f>
        <v/>
      </c>
      <c r="T511">
        <f>IMAGE("https://mitra.stanford.edu/kundaje/oak/projects/neuro-variants/variant_position/credible/roussos_2024/variant_figures/roussos_2024.adolescence.GLU/rs11030341_profile_position.png",4,220,900)</f>
        <v/>
      </c>
    </row>
    <row r="512">
      <c r="A512" t="inlineStr">
        <is>
          <t>chr11</t>
        </is>
      </c>
      <c r="B512" t="n">
        <v>28452419</v>
      </c>
      <c r="C512" t="inlineStr">
        <is>
          <t>C</t>
        </is>
      </c>
      <c r="D512" t="inlineStr">
        <is>
          <t>A</t>
        </is>
      </c>
      <c r="E512" t="inlineStr">
        <is>
          <t>rs7130732</t>
        </is>
      </c>
      <c r="F512" t="n">
        <v>-0.0053223624919999</v>
      </c>
      <c r="G512" t="n">
        <v>0.7171501769118825</v>
      </c>
      <c r="H512" t="n">
        <v>0.0218594189666994</v>
      </c>
      <c r="I512" t="n">
        <v>0.0350172991407474</v>
      </c>
      <c r="J512" t="n">
        <v>0.1534303534303533</v>
      </c>
      <c r="K512" t="n">
        <v>0.4771426137876634</v>
      </c>
      <c r="L512" t="b">
        <v>0</v>
      </c>
      <c r="M512" t="b">
        <v>0</v>
      </c>
      <c r="N512" t="inlineStr">
        <is>
          <t>ref</t>
        </is>
      </c>
      <c r="O512" t="n">
        <v>85</v>
      </c>
      <c r="P512" t="n">
        <v>0.02641</v>
      </c>
      <c r="Q512" t="n">
        <v>90</v>
      </c>
      <c r="R512" t="n">
        <v>0.010284</v>
      </c>
      <c r="S512">
        <f>IMAGE("https://mitra.stanford.edu/kundaje/oak/projects/neuro-variants/variant_position/credible/roussos_2024/variant_figures/roussos_2024.adolescence.GLU/rs7130732_count_position.png",4,220,900)</f>
        <v/>
      </c>
      <c r="T512">
        <f>IMAGE("https://mitra.stanford.edu/kundaje/oak/projects/neuro-variants/variant_position/credible/roussos_2024/variant_figures/roussos_2024.adolescence.GLU/rs7130732_profile_position.png",4,220,900)</f>
        <v/>
      </c>
    </row>
    <row r="513">
      <c r="A513" t="inlineStr">
        <is>
          <t>chr11</t>
        </is>
      </c>
      <c r="B513" t="n">
        <v>28453859</v>
      </c>
      <c r="C513" t="inlineStr">
        <is>
          <t>G</t>
        </is>
      </c>
      <c r="D513" t="inlineStr">
        <is>
          <t>T</t>
        </is>
      </c>
      <c r="E513" t="inlineStr">
        <is>
          <t>rs7105555</t>
        </is>
      </c>
      <c r="F513" t="n">
        <v>-0.02420740308</v>
      </c>
      <c r="G513" t="n">
        <v>0.2558054604927798</v>
      </c>
      <c r="H513" t="n">
        <v>0.010992361399267</v>
      </c>
      <c r="I513" t="n">
        <v>0.4226688500330187</v>
      </c>
      <c r="J513" t="n">
        <v>0.1322030992134084</v>
      </c>
      <c r="K513" t="n">
        <v>0.505469139126829</v>
      </c>
      <c r="L513" t="b">
        <v>0</v>
      </c>
      <c r="M513" t="b">
        <v>0</v>
      </c>
      <c r="N513" t="inlineStr">
        <is>
          <t>ref</t>
        </is>
      </c>
      <c r="O513" t="n">
        <v>-90</v>
      </c>
      <c r="P513" t="n">
        <v>0.02043</v>
      </c>
      <c r="Q513" t="n">
        <v>-75</v>
      </c>
      <c r="R513" t="n">
        <v>0.1367</v>
      </c>
      <c r="S513">
        <f>IMAGE("https://mitra.stanford.edu/kundaje/oak/projects/neuro-variants/variant_position/credible/roussos_2024/variant_figures/roussos_2024.adolescence.GLU/rs7105555_count_position.png",4,220,900)</f>
        <v/>
      </c>
      <c r="T513">
        <f>IMAGE("https://mitra.stanford.edu/kundaje/oak/projects/neuro-variants/variant_position/credible/roussos_2024/variant_figures/roussos_2024.adolescence.GLU/rs7105555_profile_position.png",4,220,900)</f>
        <v/>
      </c>
    </row>
    <row r="514">
      <c r="A514" t="inlineStr">
        <is>
          <t>chr11</t>
        </is>
      </c>
      <c r="B514" t="n">
        <v>28460852</v>
      </c>
      <c r="C514" t="inlineStr">
        <is>
          <t>G</t>
        </is>
      </c>
      <c r="D514" t="inlineStr">
        <is>
          <t>A</t>
        </is>
      </c>
      <c r="E514" t="inlineStr">
        <is>
          <t>rs11603115</t>
        </is>
      </c>
      <c r="F514" t="n">
        <v>-0.0612863204</v>
      </c>
      <c r="G514" t="n">
        <v>0.0502116543091503</v>
      </c>
      <c r="H514" t="n">
        <v>0.0154556346864617</v>
      </c>
      <c r="I514" t="n">
        <v>0.1786476111844775</v>
      </c>
      <c r="J514" t="n">
        <v>0.0348843689049874</v>
      </c>
      <c r="K514" t="n">
        <v>0.7506636147628034</v>
      </c>
      <c r="L514" t="b">
        <v>0</v>
      </c>
      <c r="M514" t="b">
        <v>0</v>
      </c>
      <c r="N514" t="inlineStr">
        <is>
          <t>ref</t>
        </is>
      </c>
      <c r="O514" t="n">
        <v>-20</v>
      </c>
      <c r="P514" t="n">
        <v>8.774e-05</v>
      </c>
      <c r="Q514" t="n">
        <v>0</v>
      </c>
      <c r="R514" t="n">
        <v>0</v>
      </c>
      <c r="S514">
        <f>IMAGE("https://mitra.stanford.edu/kundaje/oak/projects/neuro-variants/variant_position/credible/roussos_2024/variant_figures/roussos_2024.adolescence.GLU/rs11603115_count_position.png",4,220,900)</f>
        <v/>
      </c>
      <c r="T514">
        <f>IMAGE("https://mitra.stanford.edu/kundaje/oak/projects/neuro-variants/variant_position/credible/roussos_2024/variant_figures/roussos_2024.adolescence.GLU/rs11603115_profile_position.png",4,220,900)</f>
        <v/>
      </c>
    </row>
    <row r="515">
      <c r="A515" t="inlineStr">
        <is>
          <t>chr11</t>
        </is>
      </c>
      <c r="B515" t="n">
        <v>28479446</v>
      </c>
      <c r="C515" t="inlineStr">
        <is>
          <t>G</t>
        </is>
      </c>
      <c r="D515" t="inlineStr">
        <is>
          <t>A</t>
        </is>
      </c>
      <c r="E515" t="inlineStr">
        <is>
          <t>rs1811450</t>
        </is>
      </c>
      <c r="F515" t="n">
        <v>-0.0198935123</v>
      </c>
      <c r="G515" t="n">
        <v>0.3012397159106134</v>
      </c>
      <c r="H515" t="n">
        <v>0.0112179732710341</v>
      </c>
      <c r="I515" t="n">
        <v>0.38505038039994</v>
      </c>
      <c r="J515" t="n">
        <v>0.0218088032521021</v>
      </c>
      <c r="K515" t="n">
        <v>0.8100477614513263</v>
      </c>
      <c r="L515" t="b">
        <v>0</v>
      </c>
      <c r="M515" t="b">
        <v>0</v>
      </c>
      <c r="N515" t="inlineStr">
        <is>
          <t>ref</t>
        </is>
      </c>
      <c r="O515" t="n">
        <v>-80</v>
      </c>
      <c r="P515" t="n">
        <v>0.006737</v>
      </c>
      <c r="Q515" t="n">
        <v>-80</v>
      </c>
      <c r="R515" t="n">
        <v>0.02182</v>
      </c>
      <c r="S515">
        <f>IMAGE("https://mitra.stanford.edu/kundaje/oak/projects/neuro-variants/variant_position/credible/roussos_2024/variant_figures/roussos_2024.adolescence.GLU/rs1811450_count_position.png",4,220,900)</f>
        <v/>
      </c>
      <c r="T515">
        <f>IMAGE("https://mitra.stanford.edu/kundaje/oak/projects/neuro-variants/variant_position/credible/roussos_2024/variant_figures/roussos_2024.adolescence.GLU/rs1811450_profile_position.png",4,220,900)</f>
        <v/>
      </c>
    </row>
    <row r="516">
      <c r="A516" t="inlineStr">
        <is>
          <t>chr11</t>
        </is>
      </c>
      <c r="B516" t="n">
        <v>28488553</v>
      </c>
      <c r="C516" t="inlineStr">
        <is>
          <t>G</t>
        </is>
      </c>
      <c r="D516" t="inlineStr">
        <is>
          <t>A</t>
        </is>
      </c>
      <c r="E516" t="inlineStr">
        <is>
          <t>rs2582905</t>
        </is>
      </c>
      <c r="F516" t="n">
        <v>-0.07514654599999999</v>
      </c>
      <c r="G516" t="n">
        <v>0.0237004880726683</v>
      </c>
      <c r="H516" t="n">
        <v>0.0131443397362291</v>
      </c>
      <c r="I516" t="n">
        <v>0.2519266515429569</v>
      </c>
      <c r="J516" t="n">
        <v>0.0939123104071557</v>
      </c>
      <c r="K516" t="n">
        <v>0.5821498769284774</v>
      </c>
      <c r="L516" t="b">
        <v>0</v>
      </c>
      <c r="M516" t="b">
        <v>0</v>
      </c>
      <c r="N516" t="inlineStr">
        <is>
          <t>ref</t>
        </is>
      </c>
      <c r="O516" t="n">
        <v>-95</v>
      </c>
      <c r="P516" t="n">
        <v>0.02345</v>
      </c>
      <c r="Q516" t="n">
        <v>-10</v>
      </c>
      <c r="R516" t="n">
        <v>0.007446</v>
      </c>
      <c r="S516">
        <f>IMAGE("https://mitra.stanford.edu/kundaje/oak/projects/neuro-variants/variant_position/credible/roussos_2024/variant_figures/roussos_2024.adolescence.GLU/rs2582905_count_position.png",4,220,900)</f>
        <v/>
      </c>
      <c r="T516">
        <f>IMAGE("https://mitra.stanford.edu/kundaje/oak/projects/neuro-variants/variant_position/credible/roussos_2024/variant_figures/roussos_2024.adolescence.GLU/rs2582905_profile_position.png",4,220,900)</f>
        <v/>
      </c>
    </row>
    <row r="517">
      <c r="A517" t="inlineStr">
        <is>
          <t>chr11</t>
        </is>
      </c>
      <c r="B517" t="n">
        <v>28580626</v>
      </c>
      <c r="C517" t="inlineStr">
        <is>
          <t>C</t>
        </is>
      </c>
      <c r="D517" t="inlineStr">
        <is>
          <t>A</t>
        </is>
      </c>
      <c r="E517" t="inlineStr">
        <is>
          <t>rs2582895</t>
        </is>
      </c>
      <c r="F517" t="n">
        <v>-0.00342807308</v>
      </c>
      <c r="G517" t="n">
        <v>0.730809755989087</v>
      </c>
      <c r="H517" t="n">
        <v>0.0256957909932419</v>
      </c>
      <c r="I517" t="n">
        <v>0.0207631556861839</v>
      </c>
      <c r="J517" t="n">
        <v>0.045963806788549</v>
      </c>
      <c r="K517" t="n">
        <v>0.7161063852774068</v>
      </c>
      <c r="L517" t="b">
        <v>0</v>
      </c>
      <c r="M517" t="b">
        <v>0</v>
      </c>
      <c r="N517" t="inlineStr">
        <is>
          <t>ref</t>
        </is>
      </c>
      <c r="O517" t="n">
        <v>50</v>
      </c>
      <c r="P517" t="n">
        <v>0.00847</v>
      </c>
      <c r="Q517" t="n">
        <v>80</v>
      </c>
      <c r="R517" t="n">
        <v>0.0431</v>
      </c>
      <c r="S517">
        <f>IMAGE("https://mitra.stanford.edu/kundaje/oak/projects/neuro-variants/variant_position/credible/roussos_2024/variant_figures/roussos_2024.adolescence.GLU/rs2582895_count_position.png",4,220,900)</f>
        <v/>
      </c>
      <c r="T517">
        <f>IMAGE("https://mitra.stanford.edu/kundaje/oak/projects/neuro-variants/variant_position/credible/roussos_2024/variant_figures/roussos_2024.adolescence.GLU/rs2582895_profile_position.png",4,220,900)</f>
        <v/>
      </c>
    </row>
    <row r="518">
      <c r="A518" t="inlineStr">
        <is>
          <t>chr11</t>
        </is>
      </c>
      <c r="B518" t="n">
        <v>28580674</v>
      </c>
      <c r="C518" t="inlineStr">
        <is>
          <t>A</t>
        </is>
      </c>
      <c r="D518" t="inlineStr">
        <is>
          <t>G</t>
        </is>
      </c>
      <c r="E518" t="inlineStr">
        <is>
          <t>rs2585817</t>
        </is>
      </c>
      <c r="F518" t="n">
        <v>-0.00060256726</v>
      </c>
      <c r="G518" t="n">
        <v>0.8120693032500279</v>
      </c>
      <c r="H518" t="n">
        <v>0.006776970722593</v>
      </c>
      <c r="I518" t="n">
        <v>0.9327797298824174</v>
      </c>
      <c r="J518" t="n">
        <v>0.049283065777911</v>
      </c>
      <c r="K518" t="n">
        <v>0.7049011224587445</v>
      </c>
      <c r="L518" t="b">
        <v>0</v>
      </c>
      <c r="M518" t="b">
        <v>0</v>
      </c>
      <c r="N518" t="inlineStr">
        <is>
          <t>ref</t>
        </is>
      </c>
      <c r="O518" t="n">
        <v>5</v>
      </c>
      <c r="P518" t="n">
        <v>9.92e-05</v>
      </c>
      <c r="Q518" t="n">
        <v>30</v>
      </c>
      <c r="R518" t="n">
        <v>0.02899</v>
      </c>
      <c r="S518">
        <f>IMAGE("https://mitra.stanford.edu/kundaje/oak/projects/neuro-variants/variant_position/credible/roussos_2024/variant_figures/roussos_2024.adolescence.GLU/rs2585817_count_position.png",4,220,900)</f>
        <v/>
      </c>
      <c r="T518">
        <f>IMAGE("https://mitra.stanford.edu/kundaje/oak/projects/neuro-variants/variant_position/credible/roussos_2024/variant_figures/roussos_2024.adolescence.GLU/rs2585817_profile_position.png",4,220,900)</f>
        <v/>
      </c>
    </row>
    <row r="519">
      <c r="A519" t="inlineStr">
        <is>
          <t>chr11</t>
        </is>
      </c>
      <c r="B519" t="n">
        <v>28594152</v>
      </c>
      <c r="C519" t="inlineStr">
        <is>
          <t>A</t>
        </is>
      </c>
      <c r="D519" t="inlineStr">
        <is>
          <t>G</t>
        </is>
      </c>
      <c r="E519" t="inlineStr">
        <is>
          <t>rs2582896</t>
        </is>
      </c>
      <c r="F519" t="n">
        <v>-0.0145847909</v>
      </c>
      <c r="G519" t="n">
        <v>0.4210151450262118</v>
      </c>
      <c r="H519" t="n">
        <v>0.0214964072236251</v>
      </c>
      <c r="I519" t="n">
        <v>0.0405950751736622</v>
      </c>
      <c r="J519" t="n">
        <v>0.1134620742868165</v>
      </c>
      <c r="K519" t="n">
        <v>0.544301153211222</v>
      </c>
      <c r="L519" t="b">
        <v>0</v>
      </c>
      <c r="M519" t="b">
        <v>0</v>
      </c>
      <c r="N519" t="inlineStr">
        <is>
          <t>ref</t>
        </is>
      </c>
      <c r="O519" t="n">
        <v>55</v>
      </c>
      <c r="P519" t="n">
        <v>0.002808</v>
      </c>
      <c r="Q519" t="n">
        <v>-10</v>
      </c>
      <c r="R519" t="n">
        <v>0.01495</v>
      </c>
      <c r="S519">
        <f>IMAGE("https://mitra.stanford.edu/kundaje/oak/projects/neuro-variants/variant_position/credible/roussos_2024/variant_figures/roussos_2024.adolescence.GLU/rs2582896_count_position.png",4,220,900)</f>
        <v/>
      </c>
      <c r="T519">
        <f>IMAGE("https://mitra.stanford.edu/kundaje/oak/projects/neuro-variants/variant_position/credible/roussos_2024/variant_figures/roussos_2024.adolescence.GLU/rs2582896_profile_position.png",4,220,900)</f>
        <v/>
      </c>
    </row>
    <row r="520">
      <c r="A520" t="inlineStr">
        <is>
          <t>chr11</t>
        </is>
      </c>
      <c r="B520" t="n">
        <v>28594704</v>
      </c>
      <c r="C520" t="inlineStr">
        <is>
          <t>T</t>
        </is>
      </c>
      <c r="D520" t="inlineStr">
        <is>
          <t>C</t>
        </is>
      </c>
      <c r="E520" t="inlineStr">
        <is>
          <t>rs10742196</t>
        </is>
      </c>
      <c r="F520" t="n">
        <v>-0.014062645512</v>
      </c>
      <c r="G520" t="n">
        <v>0.438523966501939</v>
      </c>
      <c r="H520" t="n">
        <v>0.008339788324397799</v>
      </c>
      <c r="I520" t="n">
        <v>0.7298182555139344</v>
      </c>
      <c r="J520" t="n">
        <v>0.0451736431117873</v>
      </c>
      <c r="K520" t="n">
        <v>0.7161242865337847</v>
      </c>
      <c r="L520" t="b">
        <v>0</v>
      </c>
      <c r="M520" t="b">
        <v>0</v>
      </c>
      <c r="N520" t="inlineStr">
        <is>
          <t>ref</t>
        </is>
      </c>
      <c r="O520" t="n">
        <v>100</v>
      </c>
      <c r="P520" t="n">
        <v>0.002838</v>
      </c>
      <c r="Q520" t="n">
        <v>-70</v>
      </c>
      <c r="R520" t="n">
        <v>0.01129</v>
      </c>
      <c r="S520">
        <f>IMAGE("https://mitra.stanford.edu/kundaje/oak/projects/neuro-variants/variant_position/credible/roussos_2024/variant_figures/roussos_2024.adolescence.GLU/rs10742196_count_position.png",4,220,900)</f>
        <v/>
      </c>
      <c r="T520">
        <f>IMAGE("https://mitra.stanford.edu/kundaje/oak/projects/neuro-variants/variant_position/credible/roussos_2024/variant_figures/roussos_2024.adolescence.GLU/rs10742196_profile_position.png",4,220,900)</f>
        <v/>
      </c>
    </row>
    <row r="521">
      <c r="A521" t="inlineStr">
        <is>
          <t>chr11</t>
        </is>
      </c>
      <c r="B521" t="n">
        <v>28609701</v>
      </c>
      <c r="C521" t="inlineStr">
        <is>
          <t>C</t>
        </is>
      </c>
      <c r="D521" t="inlineStr">
        <is>
          <t>A</t>
        </is>
      </c>
      <c r="E521" t="inlineStr">
        <is>
          <t>rs11030386</t>
        </is>
      </c>
      <c r="F521" t="n">
        <v>-0.00158664596</v>
      </c>
      <c r="G521" t="n">
        <v>0.5553684009462942</v>
      </c>
      <c r="H521" t="n">
        <v>0.008712488181927</v>
      </c>
      <c r="I521" t="n">
        <v>0.6177750742252627</v>
      </c>
      <c r="J521" t="n">
        <v>0.1042758857191846</v>
      </c>
      <c r="K521" t="n">
        <v>0.5668208724571894</v>
      </c>
      <c r="L521" t="b">
        <v>0</v>
      </c>
      <c r="M521" t="b">
        <v>0</v>
      </c>
      <c r="N521" t="inlineStr">
        <is>
          <t>ref</t>
        </is>
      </c>
      <c r="O521" t="n">
        <v>95</v>
      </c>
      <c r="P521" t="n">
        <v>0.01581</v>
      </c>
      <c r="Q521" t="n">
        <v>90</v>
      </c>
      <c r="R521" t="n">
        <v>0.0764</v>
      </c>
      <c r="S521">
        <f>IMAGE("https://mitra.stanford.edu/kundaje/oak/projects/neuro-variants/variant_position/credible/roussos_2024/variant_figures/roussos_2024.adolescence.GLU/rs11030386_count_position.png",4,220,900)</f>
        <v/>
      </c>
      <c r="T521">
        <f>IMAGE("https://mitra.stanford.edu/kundaje/oak/projects/neuro-variants/variant_position/credible/roussos_2024/variant_figures/roussos_2024.adolescence.GLU/rs11030386_profile_position.png",4,220,900)</f>
        <v/>
      </c>
    </row>
    <row r="522">
      <c r="A522" t="inlineStr">
        <is>
          <t>chr11</t>
        </is>
      </c>
      <c r="B522" t="n">
        <v>28619515</v>
      </c>
      <c r="C522" t="inlineStr">
        <is>
          <t>G</t>
        </is>
      </c>
      <c r="D522" t="inlineStr">
        <is>
          <t>A</t>
        </is>
      </c>
      <c r="E522" t="inlineStr">
        <is>
          <t>rs12226518</t>
        </is>
      </c>
      <c r="F522" t="n">
        <v>-0.0327677216</v>
      </c>
      <c r="G522" t="n">
        <v>0.1561372082778905</v>
      </c>
      <c r="H522" t="n">
        <v>0.0171463779195465</v>
      </c>
      <c r="I522" t="n">
        <v>0.1029057244886632</v>
      </c>
      <c r="J522" t="n">
        <v>0.1192804223732058</v>
      </c>
      <c r="K522" t="n">
        <v>0.5284370938524117</v>
      </c>
      <c r="L522" t="b">
        <v>0</v>
      </c>
      <c r="M522" t="b">
        <v>0</v>
      </c>
      <c r="N522" t="inlineStr">
        <is>
          <t>ref</t>
        </is>
      </c>
      <c r="O522" t="n">
        <v>50</v>
      </c>
      <c r="P522" t="n">
        <v>0.000246</v>
      </c>
      <c r="Q522" t="n">
        <v>-100</v>
      </c>
      <c r="R522" t="n">
        <v>0.02992</v>
      </c>
      <c r="S522">
        <f>IMAGE("https://mitra.stanford.edu/kundaje/oak/projects/neuro-variants/variant_position/credible/roussos_2024/variant_figures/roussos_2024.adolescence.GLU/rs12226518_count_position.png",4,220,900)</f>
        <v/>
      </c>
      <c r="T522">
        <f>IMAGE("https://mitra.stanford.edu/kundaje/oak/projects/neuro-variants/variant_position/credible/roussos_2024/variant_figures/roussos_2024.adolescence.GLU/rs12226518_profile_position.png",4,220,900)</f>
        <v/>
      </c>
    </row>
    <row r="523">
      <c r="A523" t="inlineStr">
        <is>
          <t>chr11</t>
        </is>
      </c>
      <c r="B523" t="n">
        <v>28620721</v>
      </c>
      <c r="C523" t="inlineStr">
        <is>
          <t>G</t>
        </is>
      </c>
      <c r="D523" t="inlineStr">
        <is>
          <t>A</t>
        </is>
      </c>
      <c r="E523" t="inlineStr">
        <is>
          <t>rs10767732</t>
        </is>
      </c>
      <c r="F523" t="n">
        <v>-0.0095065273999999</v>
      </c>
      <c r="G523" t="n">
        <v>0.3312556089460806</v>
      </c>
      <c r="H523" t="n">
        <v>0.0094095728462414</v>
      </c>
      <c r="I523" t="n">
        <v>0.6024974368518311</v>
      </c>
      <c r="J523" t="n">
        <v>0.0666223717770109</v>
      </c>
      <c r="K523" t="n">
        <v>0.6531692140780055</v>
      </c>
      <c r="L523" t="b">
        <v>0</v>
      </c>
      <c r="M523" t="b">
        <v>0</v>
      </c>
      <c r="N523" t="inlineStr">
        <is>
          <t>ref</t>
        </is>
      </c>
      <c r="O523" t="n">
        <v>75</v>
      </c>
      <c r="P523" t="n">
        <v>0.00448</v>
      </c>
      <c r="Q523" t="n">
        <v>-70</v>
      </c>
      <c r="R523" t="n">
        <v>0.0121</v>
      </c>
      <c r="S523">
        <f>IMAGE("https://mitra.stanford.edu/kundaje/oak/projects/neuro-variants/variant_position/credible/roussos_2024/variant_figures/roussos_2024.adolescence.GLU/rs10767732_count_position.png",4,220,900)</f>
        <v/>
      </c>
      <c r="T523">
        <f>IMAGE("https://mitra.stanford.edu/kundaje/oak/projects/neuro-variants/variant_position/credible/roussos_2024/variant_figures/roussos_2024.adolescence.GLU/rs10767732_profile_position.png",4,220,900)</f>
        <v/>
      </c>
    </row>
    <row r="524">
      <c r="A524" t="inlineStr">
        <is>
          <t>chr11</t>
        </is>
      </c>
      <c r="B524" t="n">
        <v>28621752</v>
      </c>
      <c r="C524" t="inlineStr">
        <is>
          <t>T</t>
        </is>
      </c>
      <c r="D524" t="inlineStr">
        <is>
          <t>C</t>
        </is>
      </c>
      <c r="E524" t="inlineStr">
        <is>
          <t>rs10835368</t>
        </is>
      </c>
      <c r="F524" t="n">
        <v>0.00211511434</v>
      </c>
      <c r="G524" t="n">
        <v>0.5242225214375851</v>
      </c>
      <c r="H524" t="n">
        <v>0.008750558681383001</v>
      </c>
      <c r="I524" t="n">
        <v>0.6910380792652173</v>
      </c>
      <c r="J524" t="n">
        <v>0.3393160011716712</v>
      </c>
      <c r="K524" t="n">
        <v>0.2278553072704977</v>
      </c>
      <c r="L524" t="b">
        <v>0</v>
      </c>
      <c r="M524" t="b">
        <v>0</v>
      </c>
      <c r="N524" t="inlineStr">
        <is>
          <t>alt</t>
        </is>
      </c>
      <c r="O524" t="n">
        <v>100</v>
      </c>
      <c r="P524" t="n">
        <v>0.01953</v>
      </c>
      <c r="Q524" t="n">
        <v>95</v>
      </c>
      <c r="R524" t="n">
        <v>0.1914</v>
      </c>
      <c r="S524">
        <f>IMAGE("https://mitra.stanford.edu/kundaje/oak/projects/neuro-variants/variant_position/credible/roussos_2024/variant_figures/roussos_2024.adolescence.GLU/rs10835368_count_position.png",4,220,900)</f>
        <v/>
      </c>
      <c r="T524">
        <f>IMAGE("https://mitra.stanford.edu/kundaje/oak/projects/neuro-variants/variant_position/credible/roussos_2024/variant_figures/roussos_2024.adolescence.GLU/rs10835368_profile_position.png",4,220,900)</f>
        <v/>
      </c>
    </row>
    <row r="525">
      <c r="A525" t="inlineStr">
        <is>
          <t>chr11</t>
        </is>
      </c>
      <c r="B525" t="n">
        <v>28622395</v>
      </c>
      <c r="C525" t="inlineStr">
        <is>
          <t>T</t>
        </is>
      </c>
      <c r="D525" t="inlineStr">
        <is>
          <t>C</t>
        </is>
      </c>
      <c r="E525" t="inlineStr">
        <is>
          <t>rs10835373</t>
        </is>
      </c>
      <c r="F525" t="n">
        <v>0.051204163</v>
      </c>
      <c r="G525" t="n">
        <v>0.0597372618452093</v>
      </c>
      <c r="H525" t="n">
        <v>0.0261408079557873</v>
      </c>
      <c r="I525" t="n">
        <v>0.0179102987152725</v>
      </c>
      <c r="J525" t="n">
        <v>0.3995570511034428</v>
      </c>
      <c r="K525" t="n">
        <v>0.1674359885068979</v>
      </c>
      <c r="L525" t="b">
        <v>1</v>
      </c>
      <c r="M525" t="b">
        <v>0</v>
      </c>
      <c r="N525" t="inlineStr">
        <is>
          <t>alt</t>
        </is>
      </c>
      <c r="O525" t="n">
        <v>-100</v>
      </c>
      <c r="P525" t="n">
        <v>0.01249</v>
      </c>
      <c r="Q525" t="n">
        <v>75</v>
      </c>
      <c r="R525" t="n">
        <v>0.06476</v>
      </c>
      <c r="S525">
        <f>IMAGE("https://mitra.stanford.edu/kundaje/oak/projects/neuro-variants/variant_position/credible/roussos_2024/variant_figures/roussos_2024.adolescence.GLU/rs10835373_count_position.png",4,220,900)</f>
        <v/>
      </c>
      <c r="T525">
        <f>IMAGE("https://mitra.stanford.edu/kundaje/oak/projects/neuro-variants/variant_position/credible/roussos_2024/variant_figures/roussos_2024.adolescence.GLU/rs10835373_profile_position.png",4,220,900)</f>
        <v/>
      </c>
    </row>
    <row r="526">
      <c r="A526" t="inlineStr">
        <is>
          <t>chr11</t>
        </is>
      </c>
      <c r="B526" t="n">
        <v>28622565</v>
      </c>
      <c r="C526" t="inlineStr">
        <is>
          <t>G</t>
        </is>
      </c>
      <c r="D526" t="inlineStr">
        <is>
          <t>T</t>
        </is>
      </c>
      <c r="E526" t="inlineStr">
        <is>
          <t>rs11030388</t>
        </is>
      </c>
      <c r="F526" t="n">
        <v>-0.0406984841999999</v>
      </c>
      <c r="G526" t="n">
        <v>0.1172571096814726</v>
      </c>
      <c r="H526" t="n">
        <v>0.0179186773450429</v>
      </c>
      <c r="I526" t="n">
        <v>0.09289555351903719</v>
      </c>
      <c r="J526" t="n">
        <v>0.3301941116374106</v>
      </c>
      <c r="K526" t="n">
        <v>0.2362724266933791</v>
      </c>
      <c r="L526" t="b">
        <v>0</v>
      </c>
      <c r="M526" t="b">
        <v>0</v>
      </c>
      <c r="N526" t="inlineStr">
        <is>
          <t>ref</t>
        </is>
      </c>
      <c r="O526" t="n">
        <v>100</v>
      </c>
      <c r="P526" t="n">
        <v>0.00787</v>
      </c>
      <c r="Q526" t="n">
        <v>-95</v>
      </c>
      <c r="R526" t="n">
        <v>0.06247</v>
      </c>
      <c r="S526">
        <f>IMAGE("https://mitra.stanford.edu/kundaje/oak/projects/neuro-variants/variant_position/credible/roussos_2024/variant_figures/roussos_2024.adolescence.GLU/rs11030388_count_position.png",4,220,900)</f>
        <v/>
      </c>
      <c r="T526">
        <f>IMAGE("https://mitra.stanford.edu/kundaje/oak/projects/neuro-variants/variant_position/credible/roussos_2024/variant_figures/roussos_2024.adolescence.GLU/rs11030388_profile_position.png",4,220,900)</f>
        <v/>
      </c>
    </row>
    <row r="527">
      <c r="A527" t="inlineStr">
        <is>
          <t>chr11</t>
        </is>
      </c>
      <c r="B527" t="n">
        <v>28624925</v>
      </c>
      <c r="C527" t="inlineStr">
        <is>
          <t>C</t>
        </is>
      </c>
      <c r="D527" t="inlineStr">
        <is>
          <t>T</t>
        </is>
      </c>
      <c r="E527" t="inlineStr">
        <is>
          <t>rs4576808</t>
        </is>
      </c>
      <c r="F527" t="n">
        <v>-0.0187130226</v>
      </c>
      <c r="G527" t="n">
        <v>0.3293621725931869</v>
      </c>
      <c r="H527" t="n">
        <v>0.0142721552642106</v>
      </c>
      <c r="I527" t="n">
        <v>0.1889040276605266</v>
      </c>
      <c r="J527" t="n">
        <v>0.0656193068564202</v>
      </c>
      <c r="K527" t="n">
        <v>0.6631915497557429</v>
      </c>
      <c r="L527" t="b">
        <v>0</v>
      </c>
      <c r="M527" t="b">
        <v>0</v>
      </c>
      <c r="N527" t="inlineStr">
        <is>
          <t>ref</t>
        </is>
      </c>
      <c r="O527" t="n">
        <v>55</v>
      </c>
      <c r="P527" t="n">
        <v>0.00529</v>
      </c>
      <c r="Q527" t="n">
        <v>70</v>
      </c>
      <c r="R527" t="n">
        <v>0.00983</v>
      </c>
      <c r="S527">
        <f>IMAGE("https://mitra.stanford.edu/kundaje/oak/projects/neuro-variants/variant_position/credible/roussos_2024/variant_figures/roussos_2024.adolescence.GLU/rs4576808_count_position.png",4,220,900)</f>
        <v/>
      </c>
      <c r="T527">
        <f>IMAGE("https://mitra.stanford.edu/kundaje/oak/projects/neuro-variants/variant_position/credible/roussos_2024/variant_figures/roussos_2024.adolescence.GLU/rs4576808_profile_position.png",4,220,900)</f>
        <v/>
      </c>
    </row>
    <row r="528">
      <c r="A528" t="inlineStr">
        <is>
          <t>chr11</t>
        </is>
      </c>
      <c r="B528" t="n">
        <v>28632479</v>
      </c>
      <c r="C528" t="inlineStr">
        <is>
          <t>C</t>
        </is>
      </c>
      <c r="D528" t="inlineStr">
        <is>
          <t>T</t>
        </is>
      </c>
      <c r="E528" t="inlineStr">
        <is>
          <t>rs4290216</t>
        </is>
      </c>
      <c r="F528" t="n">
        <v>-0.00141578354</v>
      </c>
      <c r="G528" t="n">
        <v>0.7798120313617095</v>
      </c>
      <c r="H528" t="n">
        <v>0.0268899907908058</v>
      </c>
      <c r="I528" t="n">
        <v>0.0149515527600737</v>
      </c>
      <c r="J528" t="n">
        <v>0.1452500875181287</v>
      </c>
      <c r="K528" t="n">
        <v>0.4787950974899997</v>
      </c>
      <c r="L528" t="b">
        <v>1</v>
      </c>
      <c r="M528" t="b">
        <v>0</v>
      </c>
      <c r="N528" t="inlineStr">
        <is>
          <t>ref</t>
        </is>
      </c>
      <c r="O528" t="n">
        <v>35</v>
      </c>
      <c r="P528" t="n">
        <v>0.002953</v>
      </c>
      <c r="Q528" t="n">
        <v>35</v>
      </c>
      <c r="R528" t="n">
        <v>0.0465</v>
      </c>
      <c r="S528">
        <f>IMAGE("https://mitra.stanford.edu/kundaje/oak/projects/neuro-variants/variant_position/credible/roussos_2024/variant_figures/roussos_2024.adolescence.GLU/rs4290216_count_position.png",4,220,900)</f>
        <v/>
      </c>
      <c r="T528">
        <f>IMAGE("https://mitra.stanford.edu/kundaje/oak/projects/neuro-variants/variant_position/credible/roussos_2024/variant_figures/roussos_2024.adolescence.GLU/rs4290216_profile_position.png",4,220,900)</f>
        <v/>
      </c>
    </row>
    <row r="529">
      <c r="A529" t="inlineStr">
        <is>
          <t>chr11</t>
        </is>
      </c>
      <c r="B529" t="n">
        <v>28633321</v>
      </c>
      <c r="C529" t="inlineStr">
        <is>
          <t>G</t>
        </is>
      </c>
      <c r="D529" t="inlineStr">
        <is>
          <t>A</t>
        </is>
      </c>
      <c r="E529" t="inlineStr">
        <is>
          <t>rs7935241</t>
        </is>
      </c>
      <c r="F529" t="n">
        <v>-0.01223384408</v>
      </c>
      <c r="G529" t="n">
        <v>0.4620119365984147</v>
      </c>
      <c r="H529" t="n">
        <v>0.0089601999943417</v>
      </c>
      <c r="I529" t="n">
        <v>0.6666479347541282</v>
      </c>
      <c r="J529" t="n">
        <v>0.2138414385837065</v>
      </c>
      <c r="K529" t="n">
        <v>0.3809684352016627</v>
      </c>
      <c r="L529" t="b">
        <v>0</v>
      </c>
      <c r="M529" t="b">
        <v>0</v>
      </c>
      <c r="N529" t="inlineStr">
        <is>
          <t>ref</t>
        </is>
      </c>
      <c r="O529" t="n">
        <v>-100</v>
      </c>
      <c r="P529" t="n">
        <v>0.005558</v>
      </c>
      <c r="Q529" t="n">
        <v>-5</v>
      </c>
      <c r="R529" t="n">
        <v>0.0083</v>
      </c>
      <c r="S529">
        <f>IMAGE("https://mitra.stanford.edu/kundaje/oak/projects/neuro-variants/variant_position/credible/roussos_2024/variant_figures/roussos_2024.adolescence.GLU/rs7935241_count_position.png",4,220,900)</f>
        <v/>
      </c>
      <c r="T529">
        <f>IMAGE("https://mitra.stanford.edu/kundaje/oak/projects/neuro-variants/variant_position/credible/roussos_2024/variant_figures/roussos_2024.adolescence.GLU/rs7935241_profile_position.png",4,220,900)</f>
        <v/>
      </c>
    </row>
    <row r="530">
      <c r="A530" t="inlineStr">
        <is>
          <t>chr11</t>
        </is>
      </c>
      <c r="B530" t="n">
        <v>28634462</v>
      </c>
      <c r="C530" t="inlineStr">
        <is>
          <t>T</t>
        </is>
      </c>
      <c r="D530" t="inlineStr">
        <is>
          <t>G</t>
        </is>
      </c>
      <c r="E530" t="inlineStr">
        <is>
          <t>rs7928893</t>
        </is>
      </c>
      <c r="F530" t="n">
        <v>-0.0056958453</v>
      </c>
      <c r="G530" t="n">
        <v>0.7080991795522928</v>
      </c>
      <c r="H530" t="n">
        <v>0.0296448437222941</v>
      </c>
      <c r="I530" t="n">
        <v>0.009135601422060999</v>
      </c>
      <c r="J530" t="n">
        <v>0.1219952704488786</v>
      </c>
      <c r="K530" t="n">
        <v>0.5398106398317867</v>
      </c>
      <c r="L530" t="b">
        <v>1</v>
      </c>
      <c r="M530" t="b">
        <v>1</v>
      </c>
      <c r="N530" t="inlineStr">
        <is>
          <t>ref</t>
        </is>
      </c>
      <c r="O530" t="n">
        <v>-95</v>
      </c>
      <c r="P530" t="n">
        <v>0.005573</v>
      </c>
      <c r="Q530" t="n">
        <v>-60</v>
      </c>
      <c r="R530" t="n">
        <v>0.0674</v>
      </c>
      <c r="S530">
        <f>IMAGE("https://mitra.stanford.edu/kundaje/oak/projects/neuro-variants/variant_position/credible/roussos_2024/variant_figures/roussos_2024.adolescence.GLU/rs7928893_count_position.png",4,220,900)</f>
        <v/>
      </c>
      <c r="T530">
        <f>IMAGE("https://mitra.stanford.edu/kundaje/oak/projects/neuro-variants/variant_position/credible/roussos_2024/variant_figures/roussos_2024.adolescence.GLU/rs7928893_profile_position.png",4,220,900)</f>
        <v/>
      </c>
    </row>
    <row r="531">
      <c r="A531" t="inlineStr">
        <is>
          <t>chr11</t>
        </is>
      </c>
      <c r="B531" t="n">
        <v>38894025</v>
      </c>
      <c r="C531" t="inlineStr">
        <is>
          <t>G</t>
        </is>
      </c>
      <c r="D531" t="inlineStr">
        <is>
          <t>A</t>
        </is>
      </c>
      <c r="E531" t="inlineStr">
        <is>
          <t>rs7122369</t>
        </is>
      </c>
      <c r="F531" t="n">
        <v>-0.04156219</v>
      </c>
      <c r="G531" t="n">
        <v>0.1038905989171473</v>
      </c>
      <c r="H531" t="n">
        <v>0.009597153421257901</v>
      </c>
      <c r="I531" t="n">
        <v>0.5490050021880386</v>
      </c>
      <c r="J531" t="n">
        <v>0.0639318144472783</v>
      </c>
      <c r="K531" t="n">
        <v>0.6607373083410284</v>
      </c>
      <c r="L531" t="b">
        <v>0</v>
      </c>
      <c r="M531" t="b">
        <v>0</v>
      </c>
      <c r="N531" t="inlineStr">
        <is>
          <t>ref</t>
        </is>
      </c>
      <c r="O531" t="n">
        <v>-100</v>
      </c>
      <c r="P531" t="n">
        <v>0.002544</v>
      </c>
      <c r="Q531" t="n">
        <v>50</v>
      </c>
      <c r="R531" t="n">
        <v>0.05173</v>
      </c>
      <c r="S531">
        <f>IMAGE("https://mitra.stanford.edu/kundaje/oak/projects/neuro-variants/variant_position/credible/roussos_2024/variant_figures/roussos_2024.adolescence.GLU/rs7122369_count_position.png",4,220,900)</f>
        <v/>
      </c>
      <c r="T531">
        <f>IMAGE("https://mitra.stanford.edu/kundaje/oak/projects/neuro-variants/variant_position/credible/roussos_2024/variant_figures/roussos_2024.adolescence.GLU/rs7122369_profile_position.png",4,220,900)</f>
        <v/>
      </c>
    </row>
    <row r="532">
      <c r="A532" t="inlineStr">
        <is>
          <t>chr11</t>
        </is>
      </c>
      <c r="B532" t="n">
        <v>38895917</v>
      </c>
      <c r="C532" t="inlineStr">
        <is>
          <t>T</t>
        </is>
      </c>
      <c r="D532" t="inlineStr">
        <is>
          <t>C</t>
        </is>
      </c>
      <c r="E532" t="inlineStr">
        <is>
          <t>rs11034985</t>
        </is>
      </c>
      <c r="F532" t="n">
        <v>0.06520258499999999</v>
      </c>
      <c r="G532" t="n">
        <v>0.0274818359406569</v>
      </c>
      <c r="H532" t="n">
        <v>0.0121422279805301</v>
      </c>
      <c r="I532" t="n">
        <v>0.3277292483589424</v>
      </c>
      <c r="J532" t="n">
        <v>0.191576826628373</v>
      </c>
      <c r="K532" t="n">
        <v>0.4131508533202848</v>
      </c>
      <c r="L532" t="b">
        <v>0</v>
      </c>
      <c r="M532" t="b">
        <v>0</v>
      </c>
      <c r="N532" t="inlineStr">
        <is>
          <t>alt</t>
        </is>
      </c>
      <c r="O532" t="n">
        <v>-65</v>
      </c>
      <c r="P532" t="n">
        <v>0.00783</v>
      </c>
      <c r="Q532" t="n">
        <v>-10</v>
      </c>
      <c r="R532" t="n">
        <v>0.02625</v>
      </c>
      <c r="S532">
        <f>IMAGE("https://mitra.stanford.edu/kundaje/oak/projects/neuro-variants/variant_position/credible/roussos_2024/variant_figures/roussos_2024.adolescence.GLU/rs11034985_count_position.png",4,220,900)</f>
        <v/>
      </c>
      <c r="T532">
        <f>IMAGE("https://mitra.stanford.edu/kundaje/oak/projects/neuro-variants/variant_position/credible/roussos_2024/variant_figures/roussos_2024.adolescence.GLU/rs11034985_profile_position.png",4,220,900)</f>
        <v/>
      </c>
    </row>
    <row r="533">
      <c r="A533" t="inlineStr">
        <is>
          <t>chr11</t>
        </is>
      </c>
      <c r="B533" t="n">
        <v>38901131</v>
      </c>
      <c r="C533" t="inlineStr">
        <is>
          <t>A</t>
        </is>
      </c>
      <c r="D533" t="inlineStr">
        <is>
          <t>G</t>
        </is>
      </c>
      <c r="E533" t="inlineStr">
        <is>
          <t>rs10837065</t>
        </is>
      </c>
      <c r="F533" t="n">
        <v>0.00174679738</v>
      </c>
      <c r="G533" t="n">
        <v>0.7303978334231849</v>
      </c>
      <c r="H533" t="n">
        <v>0.0379009559841759</v>
      </c>
      <c r="I533" t="n">
        <v>0.0034976365475848</v>
      </c>
      <c r="J533" t="n">
        <v>0.1662630116238363</v>
      </c>
      <c r="K533" t="n">
        <v>0.4579687988735866</v>
      </c>
      <c r="L533" t="b">
        <v>1</v>
      </c>
      <c r="M533" t="b">
        <v>1</v>
      </c>
      <c r="N533" t="inlineStr">
        <is>
          <t>alt</t>
        </is>
      </c>
      <c r="O533" t="n">
        <v>100</v>
      </c>
      <c r="P533" t="n">
        <v>0.0581</v>
      </c>
      <c r="Q533" t="n">
        <v>100</v>
      </c>
      <c r="R533" t="n">
        <v>0.07965</v>
      </c>
      <c r="S533">
        <f>IMAGE("https://mitra.stanford.edu/kundaje/oak/projects/neuro-variants/variant_position/credible/roussos_2024/variant_figures/roussos_2024.adolescence.GLU/rs10837065_count_position.png",4,220,900)</f>
        <v/>
      </c>
      <c r="T533">
        <f>IMAGE("https://mitra.stanford.edu/kundaje/oak/projects/neuro-variants/variant_position/credible/roussos_2024/variant_figures/roussos_2024.adolescence.GLU/rs10837065_profile_position.png",4,220,900)</f>
        <v/>
      </c>
    </row>
    <row r="534">
      <c r="A534" t="inlineStr">
        <is>
          <t>chr11</t>
        </is>
      </c>
      <c r="B534" t="n">
        <v>38901349</v>
      </c>
      <c r="C534" t="inlineStr">
        <is>
          <t>G</t>
        </is>
      </c>
      <c r="D534" t="inlineStr">
        <is>
          <t>A</t>
        </is>
      </c>
      <c r="E534" t="inlineStr">
        <is>
          <t>rs10837066</t>
        </is>
      </c>
      <c r="F534" t="n">
        <v>-0.0675927184</v>
      </c>
      <c r="G534" t="n">
        <v>0.0398062111956105</v>
      </c>
      <c r="H534" t="n">
        <v>0.0191773885144771</v>
      </c>
      <c r="I534" t="n">
        <v>0.1271442681772953</v>
      </c>
      <c r="J534" t="n">
        <v>0.1166213001264547</v>
      </c>
      <c r="K534" t="n">
        <v>0.5445248315769534</v>
      </c>
      <c r="L534" t="b">
        <v>0</v>
      </c>
      <c r="M534" t="b">
        <v>0</v>
      </c>
      <c r="N534" t="inlineStr">
        <is>
          <t>ref</t>
        </is>
      </c>
      <c r="O534" t="n">
        <v>-100</v>
      </c>
      <c r="P534" t="n">
        <v>0.06519999999999999</v>
      </c>
      <c r="Q534" t="n">
        <v>-25</v>
      </c>
      <c r="R534" t="n">
        <v>0.01706</v>
      </c>
      <c r="S534">
        <f>IMAGE("https://mitra.stanford.edu/kundaje/oak/projects/neuro-variants/variant_position/credible/roussos_2024/variant_figures/roussos_2024.adolescence.GLU/rs10837066_count_position.png",4,220,900)</f>
        <v/>
      </c>
      <c r="T534">
        <f>IMAGE("https://mitra.stanford.edu/kundaje/oak/projects/neuro-variants/variant_position/credible/roussos_2024/variant_figures/roussos_2024.adolescence.GLU/rs10837066_profile_position.png",4,220,900)</f>
        <v/>
      </c>
    </row>
    <row r="535">
      <c r="A535" t="inlineStr">
        <is>
          <t>chr11</t>
        </is>
      </c>
      <c r="B535" t="n">
        <v>38910929</v>
      </c>
      <c r="C535" t="inlineStr">
        <is>
          <t>A</t>
        </is>
      </c>
      <c r="D535" t="inlineStr">
        <is>
          <t>C</t>
        </is>
      </c>
      <c r="E535" t="inlineStr">
        <is>
          <t>rs12365929</t>
        </is>
      </c>
      <c r="F535" t="n">
        <v>-0.001339627188</v>
      </c>
      <c r="G535" t="n">
        <v>0.871956590578166</v>
      </c>
      <c r="H535" t="n">
        <v>0.0063871931486983</v>
      </c>
      <c r="I535" t="n">
        <v>0.958196284695756</v>
      </c>
      <c r="J535" t="n">
        <v>0.0662622971901322</v>
      </c>
      <c r="K535" t="n">
        <v>0.6558219274772865</v>
      </c>
      <c r="L535" t="b">
        <v>0</v>
      </c>
      <c r="M535" t="b">
        <v>0</v>
      </c>
      <c r="N535" t="inlineStr">
        <is>
          <t>ref</t>
        </is>
      </c>
      <c r="O535" t="n">
        <v>-35</v>
      </c>
      <c r="P535" t="n">
        <v>0.001804</v>
      </c>
      <c r="Q535" t="n">
        <v>20</v>
      </c>
      <c r="R535" t="n">
        <v>0.0784</v>
      </c>
      <c r="S535">
        <f>IMAGE("https://mitra.stanford.edu/kundaje/oak/projects/neuro-variants/variant_position/credible/roussos_2024/variant_figures/roussos_2024.adolescence.GLU/rs12365929_count_position.png",4,220,900)</f>
        <v/>
      </c>
      <c r="T535">
        <f>IMAGE("https://mitra.stanford.edu/kundaje/oak/projects/neuro-variants/variant_position/credible/roussos_2024/variant_figures/roussos_2024.adolescence.GLU/rs12365929_profile_position.png",4,220,900)</f>
        <v/>
      </c>
    </row>
    <row r="536">
      <c r="A536" t="inlineStr">
        <is>
          <t>chr11</t>
        </is>
      </c>
      <c r="B536" t="n">
        <v>38939996</v>
      </c>
      <c r="C536" t="inlineStr">
        <is>
          <t>A</t>
        </is>
      </c>
      <c r="D536" t="inlineStr">
        <is>
          <t>C</t>
        </is>
      </c>
      <c r="E536" t="inlineStr">
        <is>
          <t>rs67617610</t>
        </is>
      </c>
      <c r="F536" t="n">
        <v>-0.000423161</v>
      </c>
      <c r="G536" t="n">
        <v>0.6164906368669085</v>
      </c>
      <c r="H536" t="n">
        <v>0.0235819665858454</v>
      </c>
      <c r="I536" t="n">
        <v>0.0282286778445388</v>
      </c>
      <c r="J536" t="n">
        <v>0.2130884254595594</v>
      </c>
      <c r="K536" t="n">
        <v>0.3804887737347082</v>
      </c>
      <c r="L536" t="b">
        <v>0</v>
      </c>
      <c r="M536" t="b">
        <v>0</v>
      </c>
      <c r="N536" t="inlineStr">
        <is>
          <t>ref</t>
        </is>
      </c>
      <c r="O536" t="n">
        <v>-90</v>
      </c>
      <c r="P536" t="n">
        <v>0.0701</v>
      </c>
      <c r="Q536" t="n">
        <v>100</v>
      </c>
      <c r="R536" t="n">
        <v>0.0668</v>
      </c>
      <c r="S536">
        <f>IMAGE("https://mitra.stanford.edu/kundaje/oak/projects/neuro-variants/variant_position/credible/roussos_2024/variant_figures/roussos_2024.adolescence.GLU/rs67617610_count_position.png",4,220,900)</f>
        <v/>
      </c>
      <c r="T536">
        <f>IMAGE("https://mitra.stanford.edu/kundaje/oak/projects/neuro-variants/variant_position/credible/roussos_2024/variant_figures/roussos_2024.adolescence.GLU/rs67617610_profile_position.png",4,220,900)</f>
        <v/>
      </c>
    </row>
    <row r="537">
      <c r="A537" t="inlineStr">
        <is>
          <t>chr11</t>
        </is>
      </c>
      <c r="B537" t="n">
        <v>38944032</v>
      </c>
      <c r="C537" t="inlineStr">
        <is>
          <t>G</t>
        </is>
      </c>
      <c r="D537" t="inlineStr">
        <is>
          <t>A</t>
        </is>
      </c>
      <c r="E537" t="inlineStr">
        <is>
          <t>rs10837072</t>
        </is>
      </c>
      <c r="F537" t="n">
        <v>-0.049255978</v>
      </c>
      <c r="G537" t="n">
        <v>0.0697877487245747</v>
      </c>
      <c r="H537" t="n">
        <v>0.0134105311264419</v>
      </c>
      <c r="I537" t="n">
        <v>0.2407791959076411</v>
      </c>
      <c r="J537" t="n">
        <v>0.02660836887641</v>
      </c>
      <c r="K537" t="n">
        <v>0.7921533430056109</v>
      </c>
      <c r="L537" t="b">
        <v>0</v>
      </c>
      <c r="M537" t="b">
        <v>0</v>
      </c>
      <c r="N537" t="inlineStr">
        <is>
          <t>ref</t>
        </is>
      </c>
      <c r="O537" t="n">
        <v>45</v>
      </c>
      <c r="P537" t="n">
        <v>0.02048</v>
      </c>
      <c r="Q537" t="n">
        <v>0</v>
      </c>
      <c r="R537" t="n">
        <v>0</v>
      </c>
      <c r="S537">
        <f>IMAGE("https://mitra.stanford.edu/kundaje/oak/projects/neuro-variants/variant_position/credible/roussos_2024/variant_figures/roussos_2024.adolescence.GLU/rs10837072_count_position.png",4,220,900)</f>
        <v/>
      </c>
      <c r="T537">
        <f>IMAGE("https://mitra.stanford.edu/kundaje/oak/projects/neuro-variants/variant_position/credible/roussos_2024/variant_figures/roussos_2024.adolescence.GLU/rs10837072_profile_position.png",4,220,900)</f>
        <v/>
      </c>
    </row>
    <row r="538">
      <c r="A538" t="inlineStr">
        <is>
          <t>chr11</t>
        </is>
      </c>
      <c r="B538" t="n">
        <v>38948510</v>
      </c>
      <c r="C538" t="inlineStr">
        <is>
          <t>G</t>
        </is>
      </c>
      <c r="D538" t="inlineStr">
        <is>
          <t>A</t>
        </is>
      </c>
      <c r="E538" t="inlineStr">
        <is>
          <t>rs12277025</t>
        </is>
      </c>
      <c r="F538" t="n">
        <v>0.00135661394</v>
      </c>
      <c r="G538" t="n">
        <v>0.7727112370269335</v>
      </c>
      <c r="H538" t="n">
        <v>0.0214082151383274</v>
      </c>
      <c r="I538" t="n">
        <v>0.0426396139434367</v>
      </c>
      <c r="J538" t="n">
        <v>0.0024262168592065</v>
      </c>
      <c r="K538" t="n">
        <v>0.9496089247465718</v>
      </c>
      <c r="L538" t="b">
        <v>0</v>
      </c>
      <c r="M538" t="b">
        <v>0</v>
      </c>
      <c r="N538" t="inlineStr">
        <is>
          <t>alt</t>
        </is>
      </c>
      <c r="O538" t="n">
        <v>-50</v>
      </c>
      <c r="P538" t="n">
        <v>0.003082</v>
      </c>
      <c r="Q538" t="n">
        <v>70</v>
      </c>
      <c r="R538" t="n">
        <v>0.01578</v>
      </c>
      <c r="S538">
        <f>IMAGE("https://mitra.stanford.edu/kundaje/oak/projects/neuro-variants/variant_position/credible/roussos_2024/variant_figures/roussos_2024.adolescence.GLU/rs12277025_count_position.png",4,220,900)</f>
        <v/>
      </c>
      <c r="T538">
        <f>IMAGE("https://mitra.stanford.edu/kundaje/oak/projects/neuro-variants/variant_position/credible/roussos_2024/variant_figures/roussos_2024.adolescence.GLU/rs12277025_profile_position.png",4,220,900)</f>
        <v/>
      </c>
    </row>
    <row r="539">
      <c r="A539" t="inlineStr">
        <is>
          <t>chr11</t>
        </is>
      </c>
      <c r="B539" t="n">
        <v>38953272</v>
      </c>
      <c r="C539" t="inlineStr">
        <is>
          <t>A</t>
        </is>
      </c>
      <c r="D539" t="inlineStr">
        <is>
          <t>T</t>
        </is>
      </c>
      <c r="E539" t="inlineStr">
        <is>
          <t>rs10837077</t>
        </is>
      </c>
      <c r="F539" t="n">
        <v>-0.00490723668</v>
      </c>
      <c r="G539" t="n">
        <v>0.7502597557716716</v>
      </c>
      <c r="H539" t="n">
        <v>0.0237669922494273</v>
      </c>
      <c r="I539" t="n">
        <v>0.0249851909745147</v>
      </c>
      <c r="J539" t="n">
        <v>0.0578205485421979</v>
      </c>
      <c r="K539" t="n">
        <v>0.6721254922648324</v>
      </c>
      <c r="L539" t="b">
        <v>0</v>
      </c>
      <c r="M539" t="b">
        <v>0</v>
      </c>
      <c r="N539" t="inlineStr">
        <is>
          <t>ref</t>
        </is>
      </c>
      <c r="O539" t="n">
        <v>-25</v>
      </c>
      <c r="P539" t="n">
        <v>0.00448</v>
      </c>
      <c r="Q539" t="n">
        <v>-100</v>
      </c>
      <c r="R539" t="n">
        <v>0.05844</v>
      </c>
      <c r="S539">
        <f>IMAGE("https://mitra.stanford.edu/kundaje/oak/projects/neuro-variants/variant_position/credible/roussos_2024/variant_figures/roussos_2024.adolescence.GLU/rs10837077_count_position.png",4,220,900)</f>
        <v/>
      </c>
      <c r="T539">
        <f>IMAGE("https://mitra.stanford.edu/kundaje/oak/projects/neuro-variants/variant_position/credible/roussos_2024/variant_figures/roussos_2024.adolescence.GLU/rs10837077_profile_position.png",4,220,900)</f>
        <v/>
      </c>
    </row>
    <row r="540">
      <c r="A540" t="inlineStr">
        <is>
          <t>chr11</t>
        </is>
      </c>
      <c r="B540" t="n">
        <v>38961066</v>
      </c>
      <c r="C540" t="inlineStr">
        <is>
          <t>G</t>
        </is>
      </c>
      <c r="D540" t="inlineStr">
        <is>
          <t>A</t>
        </is>
      </c>
      <c r="E540" t="inlineStr">
        <is>
          <t>rs10501212</t>
        </is>
      </c>
      <c r="F540" t="n">
        <v>0.00563247488</v>
      </c>
      <c r="G540" t="n">
        <v>0.6901722986182641</v>
      </c>
      <c r="H540" t="n">
        <v>0.025375760009139</v>
      </c>
      <c r="I540" t="n">
        <v>0.0189321175216826</v>
      </c>
      <c r="J540" t="n">
        <v>0.0005944088418314</v>
      </c>
      <c r="K540" t="n">
        <v>0.982049046901452</v>
      </c>
      <c r="L540" t="b">
        <v>0</v>
      </c>
      <c r="M540" t="b">
        <v>0</v>
      </c>
      <c r="N540" t="inlineStr">
        <is>
          <t>alt</t>
        </is>
      </c>
      <c r="O540" t="n">
        <v>-100</v>
      </c>
      <c r="P540" t="n">
        <v>0.00396</v>
      </c>
      <c r="Q540" t="n">
        <v>-100</v>
      </c>
      <c r="R540" t="n">
        <v>0.0324</v>
      </c>
      <c r="S540">
        <f>IMAGE("https://mitra.stanford.edu/kundaje/oak/projects/neuro-variants/variant_position/credible/roussos_2024/variant_figures/roussos_2024.adolescence.GLU/rs10501212_count_position.png",4,220,900)</f>
        <v/>
      </c>
      <c r="T540">
        <f>IMAGE("https://mitra.stanford.edu/kundaje/oak/projects/neuro-variants/variant_position/credible/roussos_2024/variant_figures/roussos_2024.adolescence.GLU/rs10501212_profile_position.png",4,220,900)</f>
        <v/>
      </c>
    </row>
    <row r="541">
      <c r="A541" t="inlineStr">
        <is>
          <t>chr11</t>
        </is>
      </c>
      <c r="B541" t="n">
        <v>38963520</v>
      </c>
      <c r="C541" t="inlineStr">
        <is>
          <t>T</t>
        </is>
      </c>
      <c r="D541" t="inlineStr">
        <is>
          <t>C</t>
        </is>
      </c>
      <c r="E541" t="inlineStr">
        <is>
          <t>rs10837082</t>
        </is>
      </c>
      <c r="F541" t="n">
        <v>0.0146887976</v>
      </c>
      <c r="G541" t="n">
        <v>0.3862903887966524</v>
      </c>
      <c r="H541" t="n">
        <v>0.0161757099169475</v>
      </c>
      <c r="I541" t="n">
        <v>0.1333208994209666</v>
      </c>
      <c r="J541" t="n">
        <v>0.06355459345150059</v>
      </c>
      <c r="K541" t="n">
        <v>0.6543728240619835</v>
      </c>
      <c r="L541" t="b">
        <v>0</v>
      </c>
      <c r="M541" t="b">
        <v>0</v>
      </c>
      <c r="N541" t="inlineStr">
        <is>
          <t>alt</t>
        </is>
      </c>
      <c r="O541" t="n">
        <v>100</v>
      </c>
      <c r="P541" t="n">
        <v>0.0209</v>
      </c>
      <c r="Q541" t="n">
        <v>100</v>
      </c>
      <c r="R541" t="n">
        <v>0.04782</v>
      </c>
      <c r="S541">
        <f>IMAGE("https://mitra.stanford.edu/kundaje/oak/projects/neuro-variants/variant_position/credible/roussos_2024/variant_figures/roussos_2024.adolescence.GLU/rs10837082_count_position.png",4,220,900)</f>
        <v/>
      </c>
      <c r="T541">
        <f>IMAGE("https://mitra.stanford.edu/kundaje/oak/projects/neuro-variants/variant_position/credible/roussos_2024/variant_figures/roussos_2024.adolescence.GLU/rs10837082_profile_position.png",4,220,900)</f>
        <v/>
      </c>
    </row>
    <row r="542">
      <c r="A542" t="inlineStr">
        <is>
          <t>chr11</t>
        </is>
      </c>
      <c r="B542" t="n">
        <v>38964832</v>
      </c>
      <c r="C542" t="inlineStr">
        <is>
          <t>G</t>
        </is>
      </c>
      <c r="D542" t="inlineStr">
        <is>
          <t>A</t>
        </is>
      </c>
      <c r="E542" t="inlineStr">
        <is>
          <t>rs11035025</t>
        </is>
      </c>
      <c r="F542" t="n">
        <v>0.00594842608</v>
      </c>
      <c r="G542" t="n">
        <v>0.686868166498796</v>
      </c>
      <c r="H542" t="n">
        <v>0.0243964133883468</v>
      </c>
      <c r="I542" t="n">
        <v>0.0253138865165545</v>
      </c>
      <c r="J542" t="n">
        <v>0.0003343549735301</v>
      </c>
      <c r="K542" t="n">
        <v>0.9854258905598844</v>
      </c>
      <c r="L542" t="b">
        <v>0</v>
      </c>
      <c r="M542" t="b">
        <v>0</v>
      </c>
      <c r="N542" t="inlineStr">
        <is>
          <t>alt</t>
        </is>
      </c>
      <c r="O542" t="n">
        <v>100</v>
      </c>
      <c r="P542" t="n">
        <v>0.1111</v>
      </c>
      <c r="Q542" t="n">
        <v>100</v>
      </c>
      <c r="R542" t="n">
        <v>0.04514</v>
      </c>
      <c r="S542">
        <f>IMAGE("https://mitra.stanford.edu/kundaje/oak/projects/neuro-variants/variant_position/credible/roussos_2024/variant_figures/roussos_2024.adolescence.GLU/rs11035025_count_position.png",4,220,900)</f>
        <v/>
      </c>
      <c r="T542">
        <f>IMAGE("https://mitra.stanford.edu/kundaje/oak/projects/neuro-variants/variant_position/credible/roussos_2024/variant_figures/roussos_2024.adolescence.GLU/rs11035025_profile_position.png",4,220,900)</f>
        <v/>
      </c>
    </row>
    <row r="543">
      <c r="A543" t="inlineStr">
        <is>
          <t>chr11</t>
        </is>
      </c>
      <c r="B543" t="n">
        <v>38965745</v>
      </c>
      <c r="C543" t="inlineStr">
        <is>
          <t>C</t>
        </is>
      </c>
      <c r="D543" t="inlineStr">
        <is>
          <t>A</t>
        </is>
      </c>
      <c r="E543" t="inlineStr">
        <is>
          <t>rs7119965</t>
        </is>
      </c>
      <c r="F543" t="n">
        <v>0.0382121052</v>
      </c>
      <c r="G543" t="n">
        <v>0.1086361442540009</v>
      </c>
      <c r="H543" t="n">
        <v>0.0225329923288388</v>
      </c>
      <c r="I543" t="n">
        <v>0.0520605441255148</v>
      </c>
      <c r="J543" t="n">
        <v>0.0572732923248386</v>
      </c>
      <c r="K543" t="n">
        <v>0.6732904795484072</v>
      </c>
      <c r="L543" t="b">
        <v>0</v>
      </c>
      <c r="M543" t="b">
        <v>0</v>
      </c>
      <c r="N543" t="inlineStr">
        <is>
          <t>alt</t>
        </is>
      </c>
      <c r="O543" t="n">
        <v>70</v>
      </c>
      <c r="P543" t="n">
        <v>0.00461</v>
      </c>
      <c r="Q543" t="n">
        <v>-30</v>
      </c>
      <c r="R543" t="n">
        <v>0.02112</v>
      </c>
      <c r="S543">
        <f>IMAGE("https://mitra.stanford.edu/kundaje/oak/projects/neuro-variants/variant_position/credible/roussos_2024/variant_figures/roussos_2024.adolescence.GLU/rs7119965_count_position.png",4,220,900)</f>
        <v/>
      </c>
      <c r="T543">
        <f>IMAGE("https://mitra.stanford.edu/kundaje/oak/projects/neuro-variants/variant_position/credible/roussos_2024/variant_figures/roussos_2024.adolescence.GLU/rs7119965_profile_position.png",4,220,900)</f>
        <v/>
      </c>
    </row>
    <row r="544">
      <c r="A544" t="inlineStr">
        <is>
          <t>chr11</t>
        </is>
      </c>
      <c r="B544" t="n">
        <v>38975206</v>
      </c>
      <c r="C544" t="inlineStr">
        <is>
          <t>G</t>
        </is>
      </c>
      <c r="D544" t="inlineStr">
        <is>
          <t>A</t>
        </is>
      </c>
      <c r="E544" t="inlineStr">
        <is>
          <t>rs10768438</t>
        </is>
      </c>
      <c r="F544" t="n">
        <v>-0.0383227882</v>
      </c>
      <c r="G544" t="n">
        <v>0.117182774779421</v>
      </c>
      <c r="H544" t="n">
        <v>0.0125622678474415</v>
      </c>
      <c r="I544" t="n">
        <v>0.2957347267160358</v>
      </c>
      <c r="J544" t="n">
        <v>0.0295604089418522</v>
      </c>
      <c r="K544" t="n">
        <v>0.7739383613788686</v>
      </c>
      <c r="L544" t="b">
        <v>0</v>
      </c>
      <c r="M544" t="b">
        <v>0</v>
      </c>
      <c r="N544" t="inlineStr">
        <is>
          <t>ref</t>
        </is>
      </c>
      <c r="O544" t="n">
        <v>5</v>
      </c>
      <c r="P544" t="n">
        <v>0.00066</v>
      </c>
      <c r="Q544" t="n">
        <v>55</v>
      </c>
      <c r="R544" t="n">
        <v>0.0216</v>
      </c>
      <c r="S544">
        <f>IMAGE("https://mitra.stanford.edu/kundaje/oak/projects/neuro-variants/variant_position/credible/roussos_2024/variant_figures/roussos_2024.adolescence.GLU/rs10768438_count_position.png",4,220,900)</f>
        <v/>
      </c>
      <c r="T544">
        <f>IMAGE("https://mitra.stanford.edu/kundaje/oak/projects/neuro-variants/variant_position/credible/roussos_2024/variant_figures/roussos_2024.adolescence.GLU/rs10768438_profile_position.png",4,220,900)</f>
        <v/>
      </c>
    </row>
    <row r="545">
      <c r="A545" t="inlineStr">
        <is>
          <t>chr11</t>
        </is>
      </c>
      <c r="B545" t="n">
        <v>38989193</v>
      </c>
      <c r="C545" t="inlineStr">
        <is>
          <t>C</t>
        </is>
      </c>
      <c r="D545" t="inlineStr">
        <is>
          <t>T</t>
        </is>
      </c>
      <c r="E545" t="inlineStr">
        <is>
          <t>rs10837090</t>
        </is>
      </c>
      <c r="F545" t="n">
        <v>-0.0024707879199999</v>
      </c>
      <c r="G545" t="n">
        <v>0.7225371891017373</v>
      </c>
      <c r="H545" t="n">
        <v>0.0214007484674079</v>
      </c>
      <c r="I545" t="n">
        <v>0.0426159181761223</v>
      </c>
      <c r="J545" t="n">
        <v>0.0609897764536939</v>
      </c>
      <c r="K545" t="n">
        <v>0.6714501865566056</v>
      </c>
      <c r="L545" t="b">
        <v>0</v>
      </c>
      <c r="M545" t="b">
        <v>0</v>
      </c>
      <c r="N545" t="inlineStr">
        <is>
          <t>ref</t>
        </is>
      </c>
      <c r="O545" t="n">
        <v>5</v>
      </c>
      <c r="P545" t="n">
        <v>0.0009155</v>
      </c>
      <c r="Q545" t="n">
        <v>-5</v>
      </c>
      <c r="R545" t="n">
        <v>0.00525</v>
      </c>
      <c r="S545">
        <f>IMAGE("https://mitra.stanford.edu/kundaje/oak/projects/neuro-variants/variant_position/credible/roussos_2024/variant_figures/roussos_2024.adolescence.GLU/rs10837090_count_position.png",4,220,900)</f>
        <v/>
      </c>
      <c r="T545">
        <f>IMAGE("https://mitra.stanford.edu/kundaje/oak/projects/neuro-variants/variant_position/credible/roussos_2024/variant_figures/roussos_2024.adolescence.GLU/rs10837090_profile_position.png",4,220,900)</f>
        <v/>
      </c>
    </row>
    <row r="546">
      <c r="A546" t="inlineStr">
        <is>
          <t>chr11</t>
        </is>
      </c>
      <c r="B546" t="n">
        <v>46373500</v>
      </c>
      <c r="C546" t="inlineStr">
        <is>
          <t>T</t>
        </is>
      </c>
      <c r="D546" t="inlineStr">
        <is>
          <t>G</t>
        </is>
      </c>
      <c r="E546" t="inlineStr">
        <is>
          <t>rs200720298</t>
        </is>
      </c>
      <c r="F546" t="n">
        <v>0.00367177718</v>
      </c>
      <c r="G546" t="n">
        <v>0.7538236048732367</v>
      </c>
      <c r="H546" t="n">
        <v>0.0274931714118711</v>
      </c>
      <c r="I546" t="n">
        <v>0.0128438709591552</v>
      </c>
      <c r="J546" t="n">
        <v>0.3975923584171006</v>
      </c>
      <c r="K546" t="n">
        <v>0.1690487434840625</v>
      </c>
      <c r="L546" t="b">
        <v>1</v>
      </c>
      <c r="M546" t="b">
        <v>0</v>
      </c>
      <c r="N546" t="inlineStr">
        <is>
          <t>alt</t>
        </is>
      </c>
      <c r="O546" t="n">
        <v>-100</v>
      </c>
      <c r="P546" t="n">
        <v>0.0665</v>
      </c>
      <c r="Q546" t="n">
        <v>-20</v>
      </c>
      <c r="R546" t="n">
        <v>0.02954</v>
      </c>
      <c r="S546">
        <f>IMAGE("https://mitra.stanford.edu/kundaje/oak/projects/neuro-variants/variant_position/credible/roussos_2024/variant_figures/roussos_2024.adolescence.GLU/rs200720298_count_position.png",4,220,900)</f>
        <v/>
      </c>
      <c r="T546">
        <f>IMAGE("https://mitra.stanford.edu/kundaje/oak/projects/neuro-variants/variant_position/credible/roussos_2024/variant_figures/roussos_2024.adolescence.GLU/rs200720298_profile_position.png",4,220,900)</f>
        <v/>
      </c>
    </row>
    <row r="547">
      <c r="A547" t="inlineStr">
        <is>
          <t>chr11</t>
        </is>
      </c>
      <c r="B547" t="n">
        <v>46375773</v>
      </c>
      <c r="C547" t="inlineStr">
        <is>
          <t>A</t>
        </is>
      </c>
      <c r="D547" t="inlineStr">
        <is>
          <t>C</t>
        </is>
      </c>
      <c r="E547" t="inlineStr">
        <is>
          <t>rs3740974</t>
        </is>
      </c>
      <c r="F547" t="n">
        <v>0.020454605</v>
      </c>
      <c r="G547" t="n">
        <v>0.2806933415506831</v>
      </c>
      <c r="H547" t="n">
        <v>0.0210572043770072</v>
      </c>
      <c r="I547" t="n">
        <v>0.0460819518747545</v>
      </c>
      <c r="J547" t="n">
        <v>0.6388794821784514</v>
      </c>
      <c r="K547" t="n">
        <v>0.0262641582260211</v>
      </c>
      <c r="L547" t="b">
        <v>0</v>
      </c>
      <c r="M547" t="b">
        <v>0</v>
      </c>
      <c r="N547" t="inlineStr">
        <is>
          <t>alt</t>
        </is>
      </c>
      <c r="O547" t="n">
        <v>-100</v>
      </c>
      <c r="P547" t="n">
        <v>0.01004</v>
      </c>
      <c r="Q547" t="n">
        <v>-100</v>
      </c>
      <c r="R547" t="n">
        <v>0.078</v>
      </c>
      <c r="S547">
        <f>IMAGE("https://mitra.stanford.edu/kundaje/oak/projects/neuro-variants/variant_position/credible/roussos_2024/variant_figures/roussos_2024.adolescence.GLU/rs3740974_count_position.png",4,220,900)</f>
        <v/>
      </c>
      <c r="T547">
        <f>IMAGE("https://mitra.stanford.edu/kundaje/oak/projects/neuro-variants/variant_position/credible/roussos_2024/variant_figures/roussos_2024.adolescence.GLU/rs3740974_profile_position.png",4,220,900)</f>
        <v/>
      </c>
    </row>
    <row r="548">
      <c r="A548" t="inlineStr">
        <is>
          <t>chr11</t>
        </is>
      </c>
      <c r="B548" t="n">
        <v>46420976</v>
      </c>
      <c r="C548" t="inlineStr">
        <is>
          <t>C</t>
        </is>
      </c>
      <c r="D548" t="inlineStr">
        <is>
          <t>T</t>
        </is>
      </c>
      <c r="E548" t="inlineStr">
        <is>
          <t>rs12283172</t>
        </is>
      </c>
      <c r="F548" t="n">
        <v>0.00124917902</v>
      </c>
      <c r="G548" t="n">
        <v>0.8408111279976473</v>
      </c>
      <c r="H548" t="n">
        <v>0.007633102389543</v>
      </c>
      <c r="I548" t="n">
        <v>0.8414276513468087</v>
      </c>
      <c r="J548" t="n">
        <v>0.1210036364675539</v>
      </c>
      <c r="K548" t="n">
        <v>0.5358449136383545</v>
      </c>
      <c r="L548" t="b">
        <v>0</v>
      </c>
      <c r="M548" t="b">
        <v>0</v>
      </c>
      <c r="N548" t="inlineStr">
        <is>
          <t>alt</t>
        </is>
      </c>
      <c r="O548" t="n">
        <v>-65</v>
      </c>
      <c r="P548" t="n">
        <v>0.002558</v>
      </c>
      <c r="Q548" t="n">
        <v>20</v>
      </c>
      <c r="R548" t="n">
        <v>0.02173</v>
      </c>
      <c r="S548">
        <f>IMAGE("https://mitra.stanford.edu/kundaje/oak/projects/neuro-variants/variant_position/credible/roussos_2024/variant_figures/roussos_2024.adolescence.GLU/rs12283172_count_position.png",4,220,900)</f>
        <v/>
      </c>
      <c r="T548">
        <f>IMAGE("https://mitra.stanford.edu/kundaje/oak/projects/neuro-variants/variant_position/credible/roussos_2024/variant_figures/roussos_2024.adolescence.GLU/rs12283172_profile_position.png",4,220,900)</f>
        <v/>
      </c>
    </row>
    <row r="549">
      <c r="A549" t="inlineStr">
        <is>
          <t>chr11</t>
        </is>
      </c>
      <c r="B549" t="n">
        <v>46438488</v>
      </c>
      <c r="C549" t="inlineStr">
        <is>
          <t>C</t>
        </is>
      </c>
      <c r="D549" t="inlineStr">
        <is>
          <t>T</t>
        </is>
      </c>
      <c r="E549" t="inlineStr">
        <is>
          <t>rs2864076</t>
        </is>
      </c>
      <c r="F549" t="n">
        <v>-0.0505883202</v>
      </c>
      <c r="G549" t="n">
        <v>0.07043461272691209</v>
      </c>
      <c r="H549" t="n">
        <v>0.0132610304559099</v>
      </c>
      <c r="I549" t="n">
        <v>0.2673610576140214</v>
      </c>
      <c r="J549" t="n">
        <v>0.3283422994763201</v>
      </c>
      <c r="K549" t="n">
        <v>0.2374820896167661</v>
      </c>
      <c r="L549" t="b">
        <v>0</v>
      </c>
      <c r="M549" t="b">
        <v>0</v>
      </c>
      <c r="N549" t="inlineStr">
        <is>
          <t>ref</t>
        </is>
      </c>
      <c r="O549" t="n">
        <v>-100</v>
      </c>
      <c r="P549" t="n">
        <v>0.02316</v>
      </c>
      <c r="Q549" t="n">
        <v>-80</v>
      </c>
      <c r="R549" t="n">
        <v>0.02612</v>
      </c>
      <c r="S549">
        <f>IMAGE("https://mitra.stanford.edu/kundaje/oak/projects/neuro-variants/variant_position/credible/roussos_2024/variant_figures/roussos_2024.adolescence.GLU/rs2864076_count_position.png",4,220,900)</f>
        <v/>
      </c>
      <c r="T549">
        <f>IMAGE("https://mitra.stanford.edu/kundaje/oak/projects/neuro-variants/variant_position/credible/roussos_2024/variant_figures/roussos_2024.adolescence.GLU/rs2864076_profile_position.png",4,220,900)</f>
        <v/>
      </c>
    </row>
    <row r="550">
      <c r="A550" t="inlineStr">
        <is>
          <t>chr11</t>
        </is>
      </c>
      <c r="B550" t="n">
        <v>46452336</v>
      </c>
      <c r="C550" t="inlineStr">
        <is>
          <t>T</t>
        </is>
      </c>
      <c r="D550" t="inlineStr">
        <is>
          <t>G</t>
        </is>
      </c>
      <c r="E550" t="inlineStr">
        <is>
          <t>rs115292163</t>
        </is>
      </c>
      <c r="F550" t="n">
        <v>0.001171802666</v>
      </c>
      <c r="G550" t="n">
        <v>0.91534958980712</v>
      </c>
      <c r="H550" t="n">
        <v>0.021924807031301</v>
      </c>
      <c r="I550" t="n">
        <v>0.0385442282901178</v>
      </c>
      <c r="J550" t="n">
        <v>0.051757864128998</v>
      </c>
      <c r="K550" t="n">
        <v>0.6919700928547653</v>
      </c>
      <c r="L550" t="b">
        <v>0</v>
      </c>
      <c r="M550" t="b">
        <v>0</v>
      </c>
      <c r="N550" t="inlineStr">
        <is>
          <t>alt</t>
        </is>
      </c>
      <c r="O550" t="n">
        <v>100</v>
      </c>
      <c r="P550" t="n">
        <v>0.01752</v>
      </c>
      <c r="Q550" t="n">
        <v>100</v>
      </c>
      <c r="R550" t="n">
        <v>0.0755</v>
      </c>
      <c r="S550">
        <f>IMAGE("https://mitra.stanford.edu/kundaje/oak/projects/neuro-variants/variant_position/credible/roussos_2024/variant_figures/roussos_2024.adolescence.GLU/rs115292163_count_position.png",4,220,900)</f>
        <v/>
      </c>
      <c r="T550">
        <f>IMAGE("https://mitra.stanford.edu/kundaje/oak/projects/neuro-variants/variant_position/credible/roussos_2024/variant_figures/roussos_2024.adolescence.GLU/rs115292163_profile_position.png",4,220,900)</f>
        <v/>
      </c>
    </row>
    <row r="551">
      <c r="A551" t="inlineStr">
        <is>
          <t>chr11</t>
        </is>
      </c>
      <c r="B551" t="n">
        <v>46478324</v>
      </c>
      <c r="C551" t="inlineStr">
        <is>
          <t>C</t>
        </is>
      </c>
      <c r="D551" t="inlineStr">
        <is>
          <t>T</t>
        </is>
      </c>
      <c r="E551" t="inlineStr">
        <is>
          <t>rs7130141</t>
        </is>
      </c>
      <c r="F551" t="n">
        <v>0.01403850648</v>
      </c>
      <c r="G551" t="n">
        <v>0.3551044983769982</v>
      </c>
      <c r="H551" t="n">
        <v>0.0120155161706037</v>
      </c>
      <c r="I551" t="n">
        <v>0.3623071684223502</v>
      </c>
      <c r="J551" t="n">
        <v>0.116496988661937</v>
      </c>
      <c r="K551" t="n">
        <v>0.5391070248188846</v>
      </c>
      <c r="L551" t="b">
        <v>0</v>
      </c>
      <c r="M551" t="b">
        <v>0</v>
      </c>
      <c r="N551" t="inlineStr">
        <is>
          <t>alt</t>
        </is>
      </c>
      <c r="O551" t="n">
        <v>30</v>
      </c>
      <c r="P551" t="n">
        <v>0.001827</v>
      </c>
      <c r="Q551" t="n">
        <v>-50</v>
      </c>
      <c r="R551" t="n">
        <v>0.02875</v>
      </c>
      <c r="S551">
        <f>IMAGE("https://mitra.stanford.edu/kundaje/oak/projects/neuro-variants/variant_position/credible/roussos_2024/variant_figures/roussos_2024.adolescence.GLU/rs7130141_count_position.png",4,220,900)</f>
        <v/>
      </c>
      <c r="T551">
        <f>IMAGE("https://mitra.stanford.edu/kundaje/oak/projects/neuro-variants/variant_position/credible/roussos_2024/variant_figures/roussos_2024.adolescence.GLU/rs7130141_profile_position.png",4,220,900)</f>
        <v/>
      </c>
    </row>
    <row r="552">
      <c r="A552" t="inlineStr">
        <is>
          <t>chr11</t>
        </is>
      </c>
      <c r="B552" t="n">
        <v>46494352</v>
      </c>
      <c r="C552" t="inlineStr">
        <is>
          <t>A</t>
        </is>
      </c>
      <c r="D552" t="inlineStr">
        <is>
          <t>G</t>
        </is>
      </c>
      <c r="E552" t="inlineStr">
        <is>
          <t>rs3802888</t>
        </is>
      </c>
      <c r="F552" t="n">
        <v>0.0490082921999999</v>
      </c>
      <c r="G552" t="n">
        <v>0.0645677476939254</v>
      </c>
      <c r="H552" t="n">
        <v>0.0111919122524447</v>
      </c>
      <c r="I552" t="n">
        <v>0.3976015312901754</v>
      </c>
      <c r="J552" t="n">
        <v>0.2703602889169899</v>
      </c>
      <c r="K552" t="n">
        <v>0.3068535894574936</v>
      </c>
      <c r="L552" t="b">
        <v>0</v>
      </c>
      <c r="M552" t="b">
        <v>0</v>
      </c>
      <c r="N552" t="inlineStr">
        <is>
          <t>alt</t>
        </is>
      </c>
      <c r="O552" t="n">
        <v>-85</v>
      </c>
      <c r="P552" t="n">
        <v>0.007797</v>
      </c>
      <c r="Q552" t="n">
        <v>-90</v>
      </c>
      <c r="R552" t="n">
        <v>0.0796</v>
      </c>
      <c r="S552">
        <f>IMAGE("https://mitra.stanford.edu/kundaje/oak/projects/neuro-variants/variant_position/credible/roussos_2024/variant_figures/roussos_2024.adolescence.GLU/rs3802888_count_position.png",4,220,900)</f>
        <v/>
      </c>
      <c r="T552">
        <f>IMAGE("https://mitra.stanford.edu/kundaje/oak/projects/neuro-variants/variant_position/credible/roussos_2024/variant_figures/roussos_2024.adolescence.GLU/rs3802888_profile_position.png",4,220,900)</f>
        <v/>
      </c>
    </row>
    <row r="553">
      <c r="A553" t="inlineStr">
        <is>
          <t>chr11</t>
        </is>
      </c>
      <c r="B553" t="n">
        <v>46498752</v>
      </c>
      <c r="C553" t="inlineStr">
        <is>
          <t>T</t>
        </is>
      </c>
      <c r="D553" t="inlineStr">
        <is>
          <t>C</t>
        </is>
      </c>
      <c r="E553" t="inlineStr">
        <is>
          <t>rs17197116</t>
        </is>
      </c>
      <c r="F553" t="n">
        <v>0.00528229164</v>
      </c>
      <c r="G553" t="n">
        <v>0.650666495108719</v>
      </c>
      <c r="H553" t="n">
        <v>0.0065012256379054</v>
      </c>
      <c r="I553" t="n">
        <v>0.9382952859525509</v>
      </c>
      <c r="J553" t="n">
        <v>0.2293903737202706</v>
      </c>
      <c r="K553" t="n">
        <v>0.3612586078371612</v>
      </c>
      <c r="L553" t="b">
        <v>0</v>
      </c>
      <c r="M553" t="b">
        <v>0</v>
      </c>
      <c r="N553" t="inlineStr">
        <is>
          <t>alt</t>
        </is>
      </c>
      <c r="O553" t="n">
        <v>-80</v>
      </c>
      <c r="P553" t="n">
        <v>0.01674</v>
      </c>
      <c r="Q553" t="n">
        <v>-80</v>
      </c>
      <c r="R553" t="n">
        <v>0.0654</v>
      </c>
      <c r="S553">
        <f>IMAGE("https://mitra.stanford.edu/kundaje/oak/projects/neuro-variants/variant_position/credible/roussos_2024/variant_figures/roussos_2024.adolescence.GLU/rs17197116_count_position.png",4,220,900)</f>
        <v/>
      </c>
      <c r="T553">
        <f>IMAGE("https://mitra.stanford.edu/kundaje/oak/projects/neuro-variants/variant_position/credible/roussos_2024/variant_figures/roussos_2024.adolescence.GLU/rs17197116_profile_position.png",4,220,900)</f>
        <v/>
      </c>
    </row>
    <row r="554">
      <c r="A554" t="inlineStr">
        <is>
          <t>chr11</t>
        </is>
      </c>
      <c r="B554" t="n">
        <v>46526544</v>
      </c>
      <c r="C554" t="inlineStr">
        <is>
          <t>A</t>
        </is>
      </c>
      <c r="D554" t="inlineStr">
        <is>
          <t>G</t>
        </is>
      </c>
      <c r="E554" t="inlineStr">
        <is>
          <t>rs7932866</t>
        </is>
      </c>
      <c r="F554" t="n">
        <v>0.0036020344</v>
      </c>
      <c r="G554" t="n">
        <v>0.7366877354063418</v>
      </c>
      <c r="H554" t="n">
        <v>0.0430909214461028</v>
      </c>
      <c r="I554" t="n">
        <v>0.0023351592999454</v>
      </c>
      <c r="J554" t="n">
        <v>0.0840116881353994</v>
      </c>
      <c r="K554" t="n">
        <v>0.6080614149457361</v>
      </c>
      <c r="L554" t="b">
        <v>1</v>
      </c>
      <c r="M554" t="b">
        <v>1</v>
      </c>
      <c r="N554" t="inlineStr">
        <is>
          <t>alt</t>
        </is>
      </c>
      <c r="O554" t="n">
        <v>-100</v>
      </c>
      <c r="P554" t="n">
        <v>0.00421</v>
      </c>
      <c r="Q554" t="n">
        <v>-75</v>
      </c>
      <c r="R554" t="n">
        <v>0.0954</v>
      </c>
      <c r="S554">
        <f>IMAGE("https://mitra.stanford.edu/kundaje/oak/projects/neuro-variants/variant_position/credible/roussos_2024/variant_figures/roussos_2024.adolescence.GLU/rs7932866_count_position.png",4,220,900)</f>
        <v/>
      </c>
      <c r="T554">
        <f>IMAGE("https://mitra.stanford.edu/kundaje/oak/projects/neuro-variants/variant_position/credible/roussos_2024/variant_figures/roussos_2024.adolescence.GLU/rs7932866_profile_position.png",4,220,900)</f>
        <v/>
      </c>
    </row>
    <row r="555">
      <c r="A555" t="inlineStr">
        <is>
          <t>chr11</t>
        </is>
      </c>
      <c r="B555" t="n">
        <v>46564231</v>
      </c>
      <c r="C555" t="inlineStr">
        <is>
          <t>A</t>
        </is>
      </c>
      <c r="D555" t="inlineStr">
        <is>
          <t>G</t>
        </is>
      </c>
      <c r="E555" t="inlineStr">
        <is>
          <t>rs11038919</t>
        </is>
      </c>
      <c r="F555" t="n">
        <v>0.00435459794</v>
      </c>
      <c r="G555" t="n">
        <v>0.7209354504923107</v>
      </c>
      <c r="H555" t="n">
        <v>0.0212806931831985</v>
      </c>
      <c r="I555" t="n">
        <v>0.0426429871135611</v>
      </c>
      <c r="J555" t="n">
        <v>0.0600538683012909</v>
      </c>
      <c r="K555" t="n">
        <v>0.6652981373354804</v>
      </c>
      <c r="L555" t="b">
        <v>0</v>
      </c>
      <c r="M555" t="b">
        <v>0</v>
      </c>
      <c r="N555" t="inlineStr">
        <is>
          <t>alt</t>
        </is>
      </c>
      <c r="O555" t="n">
        <v>-55</v>
      </c>
      <c r="P555" t="n">
        <v>0.001099</v>
      </c>
      <c r="Q555" t="n">
        <v>-100</v>
      </c>
      <c r="R555" t="n">
        <v>0.09045</v>
      </c>
      <c r="S555">
        <f>IMAGE("https://mitra.stanford.edu/kundaje/oak/projects/neuro-variants/variant_position/credible/roussos_2024/variant_figures/roussos_2024.adolescence.GLU/rs11038919_count_position.png",4,220,900)</f>
        <v/>
      </c>
      <c r="T555">
        <f>IMAGE("https://mitra.stanford.edu/kundaje/oak/projects/neuro-variants/variant_position/credible/roussos_2024/variant_figures/roussos_2024.adolescence.GLU/rs11038919_profile_position.png",4,220,900)</f>
        <v/>
      </c>
    </row>
    <row r="556">
      <c r="A556" t="inlineStr">
        <is>
          <t>chr11</t>
        </is>
      </c>
      <c r="B556" t="n">
        <v>46589689</v>
      </c>
      <c r="C556" t="inlineStr">
        <is>
          <t>G</t>
        </is>
      </c>
      <c r="D556" t="inlineStr">
        <is>
          <t>A</t>
        </is>
      </c>
      <c r="E556" t="inlineStr">
        <is>
          <t>rs61882757</t>
        </is>
      </c>
      <c r="F556" t="n">
        <v>-0.00676446722</v>
      </c>
      <c r="G556" t="n">
        <v>0.6568797580456509</v>
      </c>
      <c r="H556" t="n">
        <v>0.009394861316986599</v>
      </c>
      <c r="I556" t="n">
        <v>0.5984531901994898</v>
      </c>
      <c r="J556" t="n">
        <v>0.1761636338955926</v>
      </c>
      <c r="K556" t="n">
        <v>0.4375202434605855</v>
      </c>
      <c r="L556" t="b">
        <v>0</v>
      </c>
      <c r="M556" t="b">
        <v>0</v>
      </c>
      <c r="N556" t="inlineStr">
        <is>
          <t>ref</t>
        </is>
      </c>
      <c r="O556" t="n">
        <v>-100</v>
      </c>
      <c r="P556" t="n">
        <v>0.01675</v>
      </c>
      <c r="Q556" t="n">
        <v>-70</v>
      </c>
      <c r="R556" t="n">
        <v>0.1039</v>
      </c>
      <c r="S556">
        <f>IMAGE("https://mitra.stanford.edu/kundaje/oak/projects/neuro-variants/variant_position/credible/roussos_2024/variant_figures/roussos_2024.adolescence.GLU/rs61882757_count_position.png",4,220,900)</f>
        <v/>
      </c>
      <c r="T556">
        <f>IMAGE("https://mitra.stanford.edu/kundaje/oak/projects/neuro-variants/variant_position/credible/roussos_2024/variant_figures/roussos_2024.adolescence.GLU/rs61882757_profile_position.png",4,220,900)</f>
        <v/>
      </c>
    </row>
    <row r="557">
      <c r="A557" t="inlineStr">
        <is>
          <t>chr11</t>
        </is>
      </c>
      <c r="B557" t="n">
        <v>46613413</v>
      </c>
      <c r="C557" t="inlineStr">
        <is>
          <t>T</t>
        </is>
      </c>
      <c r="D557" t="inlineStr">
        <is>
          <t>A</t>
        </is>
      </c>
      <c r="E557" t="inlineStr">
        <is>
          <t>rs55657382</t>
        </is>
      </c>
      <c r="F557" t="n">
        <v>0.0017183772199999</v>
      </c>
      <c r="G557" t="n">
        <v>0.7865847588008111</v>
      </c>
      <c r="H557" t="n">
        <v>0.0071782394900249</v>
      </c>
      <c r="I557" t="n">
        <v>0.884664148766785</v>
      </c>
      <c r="J557" t="n">
        <v>0.0340513392059783</v>
      </c>
      <c r="K557" t="n">
        <v>0.7640197619867247</v>
      </c>
      <c r="L557" t="b">
        <v>0</v>
      </c>
      <c r="M557" t="b">
        <v>0</v>
      </c>
      <c r="N557" t="inlineStr">
        <is>
          <t>alt</t>
        </is>
      </c>
      <c r="O557" t="n">
        <v>20</v>
      </c>
      <c r="P557" t="n">
        <v>0.001625</v>
      </c>
      <c r="Q557" t="n">
        <v>90</v>
      </c>
      <c r="R557" t="n">
        <v>0.0598</v>
      </c>
      <c r="S557">
        <f>IMAGE("https://mitra.stanford.edu/kundaje/oak/projects/neuro-variants/variant_position/credible/roussos_2024/variant_figures/roussos_2024.adolescence.GLU/rs55657382_count_position.png",4,220,900)</f>
        <v/>
      </c>
      <c r="T557">
        <f>IMAGE("https://mitra.stanford.edu/kundaje/oak/projects/neuro-variants/variant_position/credible/roussos_2024/variant_figures/roussos_2024.adolescence.GLU/rs55657382_profile_position.png",4,220,900)</f>
        <v/>
      </c>
    </row>
    <row r="558">
      <c r="A558" t="inlineStr">
        <is>
          <t>chr11</t>
        </is>
      </c>
      <c r="B558" t="n">
        <v>46634411</v>
      </c>
      <c r="C558" t="inlineStr">
        <is>
          <t>T</t>
        </is>
      </c>
      <c r="D558" t="inlineStr">
        <is>
          <t>A</t>
        </is>
      </c>
      <c r="E558" t="inlineStr">
        <is>
          <t>rs7128092</t>
        </is>
      </c>
      <c r="F558" t="n">
        <v>-0.0085608198599999</v>
      </c>
      <c r="G558" t="n">
        <v>0.597380757532874</v>
      </c>
      <c r="H558" t="n">
        <v>0.0316293728497388</v>
      </c>
      <c r="I558" t="n">
        <v>0.0068209968029678</v>
      </c>
      <c r="J558" t="n">
        <v>0.1001135949589557</v>
      </c>
      <c r="K558" t="n">
        <v>0.5774212781036782</v>
      </c>
      <c r="L558" t="b">
        <v>1</v>
      </c>
      <c r="M558" t="b">
        <v>1</v>
      </c>
      <c r="N558" t="inlineStr">
        <is>
          <t>ref</t>
        </is>
      </c>
      <c r="O558" t="n">
        <v>-55</v>
      </c>
      <c r="P558" t="n">
        <v>0.00409</v>
      </c>
      <c r="Q558" t="n">
        <v>-30</v>
      </c>
      <c r="R558" t="n">
        <v>0.06365999999999999</v>
      </c>
      <c r="S558">
        <f>IMAGE("https://mitra.stanford.edu/kundaje/oak/projects/neuro-variants/variant_position/credible/roussos_2024/variant_figures/roussos_2024.adolescence.GLU/rs7128092_count_position.png",4,220,900)</f>
        <v/>
      </c>
      <c r="T558">
        <f>IMAGE("https://mitra.stanford.edu/kundaje/oak/projects/neuro-variants/variant_position/credible/roussos_2024/variant_figures/roussos_2024.adolescence.GLU/rs7128092_profile_position.png",4,220,900)</f>
        <v/>
      </c>
    </row>
    <row r="559">
      <c r="A559" t="inlineStr">
        <is>
          <t>chr11</t>
        </is>
      </c>
      <c r="B559" t="n">
        <v>46645114</v>
      </c>
      <c r="C559" t="inlineStr">
        <is>
          <t>A</t>
        </is>
      </c>
      <c r="D559" t="inlineStr">
        <is>
          <t>G</t>
        </is>
      </c>
      <c r="E559" t="inlineStr">
        <is>
          <t>rs61884274</t>
        </is>
      </c>
      <c r="F559" t="n">
        <v>-0.0405061025</v>
      </c>
      <c r="G559" t="n">
        <v>0.1106270126675518</v>
      </c>
      <c r="H559" t="n">
        <v>0.0180319543850595</v>
      </c>
      <c r="I559" t="n">
        <v>0.0739098676961799</v>
      </c>
      <c r="J559" t="n">
        <v>0.0831072150659779</v>
      </c>
      <c r="K559" t="n">
        <v>0.6065072676520955</v>
      </c>
      <c r="L559" t="b">
        <v>0</v>
      </c>
      <c r="M559" t="b">
        <v>0</v>
      </c>
      <c r="N559" t="inlineStr">
        <is>
          <t>ref</t>
        </is>
      </c>
      <c r="O559" t="n">
        <v>-30</v>
      </c>
      <c r="P559" t="n">
        <v>0.004562</v>
      </c>
      <c r="Q559" t="n">
        <v>70</v>
      </c>
      <c r="R559" t="n">
        <v>0.02582</v>
      </c>
      <c r="S559">
        <f>IMAGE("https://mitra.stanford.edu/kundaje/oak/projects/neuro-variants/variant_position/credible/roussos_2024/variant_figures/roussos_2024.adolescence.GLU/rs61884274_count_position.png",4,220,900)</f>
        <v/>
      </c>
      <c r="T559">
        <f>IMAGE("https://mitra.stanford.edu/kundaje/oak/projects/neuro-variants/variant_position/credible/roussos_2024/variant_figures/roussos_2024.adolescence.GLU/rs61884274_profile_position.png",4,220,900)</f>
        <v/>
      </c>
    </row>
    <row r="560">
      <c r="A560" t="inlineStr">
        <is>
          <t>chr11</t>
        </is>
      </c>
      <c r="B560" t="n">
        <v>46664710</v>
      </c>
      <c r="C560" t="inlineStr">
        <is>
          <t>G</t>
        </is>
      </c>
      <c r="D560" t="inlineStr">
        <is>
          <t>A</t>
        </is>
      </c>
      <c r="E560" t="inlineStr">
        <is>
          <t>rs10838610</t>
        </is>
      </c>
      <c r="F560" t="n">
        <v>-0.103638691</v>
      </c>
      <c r="G560" t="n">
        <v>0.008423963732853999</v>
      </c>
      <c r="H560" t="n">
        <v>0.0224322590270534</v>
      </c>
      <c r="I560" t="n">
        <v>0.0361780655097508</v>
      </c>
      <c r="J560" t="n">
        <v>0.4175779268562773</v>
      </c>
      <c r="K560" t="n">
        <v>0.151885475832901</v>
      </c>
      <c r="L560" t="b">
        <v>1</v>
      </c>
      <c r="M560" t="b">
        <v>1</v>
      </c>
      <c r="N560" t="inlineStr">
        <is>
          <t>ref</t>
        </is>
      </c>
      <c r="O560" t="n">
        <v>15</v>
      </c>
      <c r="P560" t="n">
        <v>0.00074</v>
      </c>
      <c r="Q560" t="n">
        <v>-75</v>
      </c>
      <c r="R560" t="n">
        <v>0.0769</v>
      </c>
      <c r="S560">
        <f>IMAGE("https://mitra.stanford.edu/kundaje/oak/projects/neuro-variants/variant_position/credible/roussos_2024/variant_figures/roussos_2024.adolescence.GLU/rs10838610_count_position.png",4,220,900)</f>
        <v/>
      </c>
      <c r="T560">
        <f>IMAGE("https://mitra.stanford.edu/kundaje/oak/projects/neuro-variants/variant_position/credible/roussos_2024/variant_figures/roussos_2024.adolescence.GLU/rs10838610_profile_position.png",4,220,900)</f>
        <v/>
      </c>
    </row>
    <row r="561">
      <c r="A561" t="inlineStr">
        <is>
          <t>chr11</t>
        </is>
      </c>
      <c r="B561" t="n">
        <v>46760922</v>
      </c>
      <c r="C561" t="inlineStr">
        <is>
          <t>C</t>
        </is>
      </c>
      <c r="D561" t="inlineStr">
        <is>
          <t>A</t>
        </is>
      </c>
      <c r="E561" t="inlineStr">
        <is>
          <t>rs10466477</t>
        </is>
      </c>
      <c r="F561" t="n">
        <v>0.0171679850999999</v>
      </c>
      <c r="G561" t="n">
        <v>0.3402342532870461</v>
      </c>
      <c r="H561" t="n">
        <v>0.0141504389995153</v>
      </c>
      <c r="I561" t="n">
        <v>0.2119222569063139</v>
      </c>
      <c r="J561" t="n">
        <v>0.08634502861306979</v>
      </c>
      <c r="K561" t="n">
        <v>0.6057445536506481</v>
      </c>
      <c r="L561" t="b">
        <v>0</v>
      </c>
      <c r="M561" t="b">
        <v>0</v>
      </c>
      <c r="N561" t="inlineStr">
        <is>
          <t>alt</t>
        </is>
      </c>
      <c r="O561" t="n">
        <v>10</v>
      </c>
      <c r="P561" t="n">
        <v>0.0001945</v>
      </c>
      <c r="Q561" t="n">
        <v>-80</v>
      </c>
      <c r="R561" t="n">
        <v>0.1263</v>
      </c>
      <c r="S561">
        <f>IMAGE("https://mitra.stanford.edu/kundaje/oak/projects/neuro-variants/variant_position/credible/roussos_2024/variant_figures/roussos_2024.adolescence.GLU/rs10466477_count_position.png",4,220,900)</f>
        <v/>
      </c>
      <c r="T561">
        <f>IMAGE("https://mitra.stanford.edu/kundaje/oak/projects/neuro-variants/variant_position/credible/roussos_2024/variant_figures/roussos_2024.adolescence.GLU/rs10466477_profile_position.png",4,220,900)</f>
        <v/>
      </c>
    </row>
    <row r="562">
      <c r="A562" t="inlineStr">
        <is>
          <t>chr11</t>
        </is>
      </c>
      <c r="B562" t="n">
        <v>46775133</v>
      </c>
      <c r="C562" t="inlineStr">
        <is>
          <t>A</t>
        </is>
      </c>
      <c r="D562" t="inlineStr">
        <is>
          <t>C</t>
        </is>
      </c>
      <c r="E562" t="inlineStr">
        <is>
          <t>rs7111811</t>
        </is>
      </c>
      <c r="F562" t="n">
        <v>0.0040548250999999</v>
      </c>
      <c r="G562" t="n">
        <v>0.7449799833105256</v>
      </c>
      <c r="H562" t="n">
        <v>0.0272173255201063</v>
      </c>
      <c r="I562" t="n">
        <v>0.0140769486563143</v>
      </c>
      <c r="J562" t="n">
        <v>0.0631859456601724</v>
      </c>
      <c r="K562" t="n">
        <v>0.6580809309300165</v>
      </c>
      <c r="L562" t="b">
        <v>1</v>
      </c>
      <c r="M562" t="b">
        <v>0</v>
      </c>
      <c r="N562" t="inlineStr">
        <is>
          <t>alt</t>
        </is>
      </c>
      <c r="O562" t="n">
        <v>85</v>
      </c>
      <c r="P562" t="n">
        <v>0.00919</v>
      </c>
      <c r="Q562" t="n">
        <v>-65</v>
      </c>
      <c r="R562" t="n">
        <v>0.03366</v>
      </c>
      <c r="S562">
        <f>IMAGE("https://mitra.stanford.edu/kundaje/oak/projects/neuro-variants/variant_position/credible/roussos_2024/variant_figures/roussos_2024.adolescence.GLU/rs7111811_count_position.png",4,220,900)</f>
        <v/>
      </c>
      <c r="T562">
        <f>IMAGE("https://mitra.stanford.edu/kundaje/oak/projects/neuro-variants/variant_position/credible/roussos_2024/variant_figures/roussos_2024.adolescence.GLU/rs7111811_profile_position.png",4,220,900)</f>
        <v/>
      </c>
    </row>
    <row r="563">
      <c r="A563" t="inlineStr">
        <is>
          <t>chr11</t>
        </is>
      </c>
      <c r="B563" t="n">
        <v>46777081</v>
      </c>
      <c r="C563" t="inlineStr">
        <is>
          <t>A</t>
        </is>
      </c>
      <c r="D563" t="inlineStr">
        <is>
          <t>G</t>
        </is>
      </c>
      <c r="E563" t="inlineStr">
        <is>
          <t>rs6485690</t>
        </is>
      </c>
      <c r="F563" t="n">
        <v>0.09623192780000001</v>
      </c>
      <c r="G563" t="n">
        <v>0.0083016795448752</v>
      </c>
      <c r="H563" t="n">
        <v>0.017177815953699</v>
      </c>
      <c r="I563" t="n">
        <v>0.09920831039785739</v>
      </c>
      <c r="J563" t="n">
        <v>0.0110437161983553</v>
      </c>
      <c r="K563" t="n">
        <v>0.8775913149268947</v>
      </c>
      <c r="L563" t="b">
        <v>1</v>
      </c>
      <c r="M563" t="b">
        <v>1</v>
      </c>
      <c r="N563" t="inlineStr">
        <is>
          <t>alt</t>
        </is>
      </c>
      <c r="O563" t="n">
        <v>55</v>
      </c>
      <c r="P563" t="n">
        <v>0.002928</v>
      </c>
      <c r="Q563" t="n">
        <v>100</v>
      </c>
      <c r="R563" t="n">
        <v>0.010025</v>
      </c>
      <c r="S563">
        <f>IMAGE("https://mitra.stanford.edu/kundaje/oak/projects/neuro-variants/variant_position/credible/roussos_2024/variant_figures/roussos_2024.adolescence.GLU/rs6485690_count_position.png",4,220,900)</f>
        <v/>
      </c>
      <c r="T563">
        <f>IMAGE("https://mitra.stanford.edu/kundaje/oak/projects/neuro-variants/variant_position/credible/roussos_2024/variant_figures/roussos_2024.adolescence.GLU/rs6485690_profile_position.png",4,220,900)</f>
        <v/>
      </c>
    </row>
    <row r="564">
      <c r="A564" t="inlineStr">
        <is>
          <t>chr11</t>
        </is>
      </c>
      <c r="B564" t="n">
        <v>46799349</v>
      </c>
      <c r="C564" t="inlineStr">
        <is>
          <t>A</t>
        </is>
      </c>
      <c r="D564" t="inlineStr">
        <is>
          <t>G</t>
        </is>
      </c>
      <c r="E564" t="inlineStr">
        <is>
          <t>rs7118097</t>
        </is>
      </c>
      <c r="F564" t="n">
        <v>0.06257860699999999</v>
      </c>
      <c r="G564" t="n">
        <v>0.0348156991582071</v>
      </c>
      <c r="H564" t="n">
        <v>0.0125279217670775</v>
      </c>
      <c r="I564" t="n">
        <v>0.3177949668095862</v>
      </c>
      <c r="J564" t="n">
        <v>0.07819048231419359</v>
      </c>
      <c r="K564" t="n">
        <v>0.6218358919839128</v>
      </c>
      <c r="L564" t="b">
        <v>0</v>
      </c>
      <c r="M564" t="b">
        <v>0</v>
      </c>
      <c r="N564" t="inlineStr">
        <is>
          <t>alt</t>
        </is>
      </c>
      <c r="O564" t="n">
        <v>-95</v>
      </c>
      <c r="P564" t="n">
        <v>0.02472</v>
      </c>
      <c r="Q564" t="n">
        <v>-80</v>
      </c>
      <c r="R564" t="n">
        <v>0.01656</v>
      </c>
      <c r="S564">
        <f>IMAGE("https://mitra.stanford.edu/kundaje/oak/projects/neuro-variants/variant_position/credible/roussos_2024/variant_figures/roussos_2024.adolescence.GLU/rs7118097_count_position.png",4,220,900)</f>
        <v/>
      </c>
      <c r="T564">
        <f>IMAGE("https://mitra.stanford.edu/kundaje/oak/projects/neuro-variants/variant_position/credible/roussos_2024/variant_figures/roussos_2024.adolescence.GLU/rs7118097_profile_position.png",4,220,900)</f>
        <v/>
      </c>
    </row>
    <row r="565">
      <c r="A565" t="inlineStr">
        <is>
          <t>chr11</t>
        </is>
      </c>
      <c r="B565" t="n">
        <v>46820494</v>
      </c>
      <c r="C565" t="inlineStr">
        <is>
          <t>C</t>
        </is>
      </c>
      <c r="D565" t="inlineStr">
        <is>
          <t>T</t>
        </is>
      </c>
      <c r="E565" t="inlineStr">
        <is>
          <t>rs6485696</t>
        </is>
      </c>
      <c r="F565" t="n">
        <v>0.002125047674</v>
      </c>
      <c r="G565" t="n">
        <v>0.840160022980696</v>
      </c>
      <c r="H565" t="n">
        <v>0.0228155405565317</v>
      </c>
      <c r="I565" t="n">
        <v>0.0323461513863888</v>
      </c>
      <c r="J565" t="n">
        <v>0.0304062984475355</v>
      </c>
      <c r="K565" t="n">
        <v>0.7687389370804346</v>
      </c>
      <c r="L565" t="b">
        <v>0</v>
      </c>
      <c r="M565" t="b">
        <v>0</v>
      </c>
      <c r="N565" t="inlineStr">
        <is>
          <t>alt</t>
        </is>
      </c>
      <c r="O565" t="n">
        <v>-90</v>
      </c>
      <c r="P565" t="n">
        <v>0.00281</v>
      </c>
      <c r="Q565" t="n">
        <v>-80</v>
      </c>
      <c r="R565" t="n">
        <v>0.05862</v>
      </c>
      <c r="S565">
        <f>IMAGE("https://mitra.stanford.edu/kundaje/oak/projects/neuro-variants/variant_position/credible/roussos_2024/variant_figures/roussos_2024.adolescence.GLU/rs6485696_count_position.png",4,220,900)</f>
        <v/>
      </c>
      <c r="T565">
        <f>IMAGE("https://mitra.stanford.edu/kundaje/oak/projects/neuro-variants/variant_position/credible/roussos_2024/variant_figures/roussos_2024.adolescence.GLU/rs6485696_profile_position.png",4,220,900)</f>
        <v/>
      </c>
    </row>
    <row r="566">
      <c r="A566" t="inlineStr">
        <is>
          <t>chr11</t>
        </is>
      </c>
      <c r="B566" t="n">
        <v>46843154</v>
      </c>
      <c r="C566" t="inlineStr">
        <is>
          <t>T</t>
        </is>
      </c>
      <c r="D566" t="inlineStr">
        <is>
          <t>C</t>
        </is>
      </c>
      <c r="E566" t="inlineStr">
        <is>
          <t>rs11824327</t>
        </is>
      </c>
      <c r="F566" t="n">
        <v>-0.003266507232</v>
      </c>
      <c r="G566" t="n">
        <v>0.76701673916407</v>
      </c>
      <c r="H566" t="n">
        <v>0.0065412353701116</v>
      </c>
      <c r="I566" t="n">
        <v>0.9482070506945308</v>
      </c>
      <c r="J566" t="n">
        <v>0.1476420115595373</v>
      </c>
      <c r="K566" t="n">
        <v>0.4900347141376345</v>
      </c>
      <c r="L566" t="b">
        <v>0</v>
      </c>
      <c r="M566" t="b">
        <v>0</v>
      </c>
      <c r="N566" t="inlineStr">
        <is>
          <t>ref</t>
        </is>
      </c>
      <c r="O566" t="n">
        <v>-100</v>
      </c>
      <c r="P566" t="n">
        <v>0.1829</v>
      </c>
      <c r="Q566" t="n">
        <v>70</v>
      </c>
      <c r="R566" t="n">
        <v>0.05237</v>
      </c>
      <c r="S566">
        <f>IMAGE("https://mitra.stanford.edu/kundaje/oak/projects/neuro-variants/variant_position/credible/roussos_2024/variant_figures/roussos_2024.adolescence.GLU/rs11824327_count_position.png",4,220,900)</f>
        <v/>
      </c>
      <c r="T566">
        <f>IMAGE("https://mitra.stanford.edu/kundaje/oak/projects/neuro-variants/variant_position/credible/roussos_2024/variant_figures/roussos_2024.adolescence.GLU/rs11824327_profile_position.png",4,220,900)</f>
        <v/>
      </c>
    </row>
    <row r="567">
      <c r="A567" t="inlineStr">
        <is>
          <t>chr11</t>
        </is>
      </c>
      <c r="B567" t="n">
        <v>46855531</v>
      </c>
      <c r="C567" t="inlineStr">
        <is>
          <t>T</t>
        </is>
      </c>
      <c r="D567" t="inlineStr">
        <is>
          <t>C</t>
        </is>
      </c>
      <c r="E567" t="inlineStr">
        <is>
          <t>rs7938960</t>
        </is>
      </c>
      <c r="F567" t="n">
        <v>0.00324040672</v>
      </c>
      <c r="G567" t="n">
        <v>0.7720856679247026</v>
      </c>
      <c r="H567" t="n">
        <v>0.0177081961702107</v>
      </c>
      <c r="I567" t="n">
        <v>0.0908353272128538</v>
      </c>
      <c r="J567" t="n">
        <v>0.07770323852798069</v>
      </c>
      <c r="K567" t="n">
        <v>0.6279666586018849</v>
      </c>
      <c r="L567" t="b">
        <v>0</v>
      </c>
      <c r="M567" t="b">
        <v>0</v>
      </c>
      <c r="N567" t="inlineStr">
        <is>
          <t>alt</t>
        </is>
      </c>
      <c r="O567" t="n">
        <v>-95</v>
      </c>
      <c r="P567" t="n">
        <v>0.008415000000000001</v>
      </c>
      <c r="Q567" t="n">
        <v>-65</v>
      </c>
      <c r="R567" t="n">
        <v>0.009889999999999999</v>
      </c>
      <c r="S567">
        <f>IMAGE("https://mitra.stanford.edu/kundaje/oak/projects/neuro-variants/variant_position/credible/roussos_2024/variant_figures/roussos_2024.adolescence.GLU/rs7938960_count_position.png",4,220,900)</f>
        <v/>
      </c>
      <c r="T567">
        <f>IMAGE("https://mitra.stanford.edu/kundaje/oak/projects/neuro-variants/variant_position/credible/roussos_2024/variant_figures/roussos_2024.adolescence.GLU/rs7938960_profile_position.png",4,220,900)</f>
        <v/>
      </c>
    </row>
    <row r="568">
      <c r="A568" t="inlineStr">
        <is>
          <t>chr11</t>
        </is>
      </c>
      <c r="B568" t="n">
        <v>46861767</v>
      </c>
      <c r="C568" t="inlineStr">
        <is>
          <t>A</t>
        </is>
      </c>
      <c r="D568" t="inlineStr">
        <is>
          <t>C</t>
        </is>
      </c>
      <c r="E568" t="inlineStr">
        <is>
          <t>rs11039012</t>
        </is>
      </c>
      <c r="F568" t="n">
        <v>-0.00418742302</v>
      </c>
      <c r="G568" t="n">
        <v>0.6870877682235991</v>
      </c>
      <c r="H568" t="n">
        <v>0.0200260684945511</v>
      </c>
      <c r="I568" t="n">
        <v>0.0566636694394729</v>
      </c>
      <c r="J568" t="n">
        <v>0.07170913975037679</v>
      </c>
      <c r="K568" t="n">
        <v>0.6419770650566239</v>
      </c>
      <c r="L568" t="b">
        <v>0</v>
      </c>
      <c r="M568" t="b">
        <v>0</v>
      </c>
      <c r="N568" t="inlineStr">
        <is>
          <t>ref</t>
        </is>
      </c>
      <c r="O568" t="n">
        <v>-100</v>
      </c>
      <c r="P568" t="n">
        <v>0.02176</v>
      </c>
      <c r="Q568" t="n">
        <v>-60</v>
      </c>
      <c r="R568" t="n">
        <v>0.0663</v>
      </c>
      <c r="S568">
        <f>IMAGE("https://mitra.stanford.edu/kundaje/oak/projects/neuro-variants/variant_position/credible/roussos_2024/variant_figures/roussos_2024.adolescence.GLU/rs11039012_count_position.png",4,220,900)</f>
        <v/>
      </c>
      <c r="T568">
        <f>IMAGE("https://mitra.stanford.edu/kundaje/oak/projects/neuro-variants/variant_position/credible/roussos_2024/variant_figures/roussos_2024.adolescence.GLU/rs11039012_profile_position.png",4,220,900)</f>
        <v/>
      </c>
    </row>
    <row r="569">
      <c r="A569" t="inlineStr">
        <is>
          <t>chr11</t>
        </is>
      </c>
      <c r="B569" t="n">
        <v>46868168</v>
      </c>
      <c r="C569" t="inlineStr">
        <is>
          <t>T</t>
        </is>
      </c>
      <c r="D569" t="inlineStr">
        <is>
          <t>C</t>
        </is>
      </c>
      <c r="E569" t="inlineStr">
        <is>
          <t>rs12273360</t>
        </is>
      </c>
      <c r="F569" t="n">
        <v>0.0523414436</v>
      </c>
      <c r="G569" t="n">
        <v>0.0489760329859359</v>
      </c>
      <c r="H569" t="n">
        <v>0.0104367486379133</v>
      </c>
      <c r="I569" t="n">
        <v>0.4899841346560289</v>
      </c>
      <c r="J569" t="n">
        <v>0.204772417143551</v>
      </c>
      <c r="K569" t="n">
        <v>0.4001560565493238</v>
      </c>
      <c r="L569" t="b">
        <v>0</v>
      </c>
      <c r="M569" t="b">
        <v>0</v>
      </c>
      <c r="N569" t="inlineStr">
        <is>
          <t>alt</t>
        </is>
      </c>
      <c r="O569" t="n">
        <v>100</v>
      </c>
      <c r="P569" t="n">
        <v>0.005516</v>
      </c>
      <c r="Q569" t="n">
        <v>-70</v>
      </c>
      <c r="R569" t="n">
        <v>0.10315</v>
      </c>
      <c r="S569">
        <f>IMAGE("https://mitra.stanford.edu/kundaje/oak/projects/neuro-variants/variant_position/credible/roussos_2024/variant_figures/roussos_2024.adolescence.GLU/rs12273360_count_position.png",4,220,900)</f>
        <v/>
      </c>
      <c r="T569">
        <f>IMAGE("https://mitra.stanford.edu/kundaje/oak/projects/neuro-variants/variant_position/credible/roussos_2024/variant_figures/roussos_2024.adolescence.GLU/rs12273360_profile_position.png",4,220,900)</f>
        <v/>
      </c>
    </row>
    <row r="570">
      <c r="A570" t="inlineStr">
        <is>
          <t>chr11</t>
        </is>
      </c>
      <c r="B570" t="n">
        <v>46884180</v>
      </c>
      <c r="C570" t="inlineStr">
        <is>
          <t>G</t>
        </is>
      </c>
      <c r="D570" t="inlineStr">
        <is>
          <t>A</t>
        </is>
      </c>
      <c r="E570" t="inlineStr">
        <is>
          <t>rs61898529</t>
        </is>
      </c>
      <c r="F570" t="n">
        <v>0.0070236898</v>
      </c>
      <c r="G570" t="n">
        <v>0.6388650680954346</v>
      </c>
      <c r="H570" t="n">
        <v>0.0188071114983518</v>
      </c>
      <c r="I570" t="n">
        <v>0.0758038429847252</v>
      </c>
      <c r="J570" t="n">
        <v>0.2416386251437797</v>
      </c>
      <c r="K570" t="n">
        <v>0.3460691241453976</v>
      </c>
      <c r="L570" t="b">
        <v>0</v>
      </c>
      <c r="M570" t="b">
        <v>0</v>
      </c>
      <c r="N570" t="inlineStr">
        <is>
          <t>alt</t>
        </is>
      </c>
      <c r="O570" t="n">
        <v>25</v>
      </c>
      <c r="P570" t="n">
        <v>0.009429999999999999</v>
      </c>
      <c r="Q570" t="n">
        <v>15</v>
      </c>
      <c r="R570" t="n">
        <v>0.02466</v>
      </c>
      <c r="S570">
        <f>IMAGE("https://mitra.stanford.edu/kundaje/oak/projects/neuro-variants/variant_position/credible/roussos_2024/variant_figures/roussos_2024.adolescence.GLU/rs61898529_count_position.png",4,220,900)</f>
        <v/>
      </c>
      <c r="T570">
        <f>IMAGE("https://mitra.stanford.edu/kundaje/oak/projects/neuro-variants/variant_position/credible/roussos_2024/variant_figures/roussos_2024.adolescence.GLU/rs61898529_profile_position.png",4,220,900)</f>
        <v/>
      </c>
    </row>
    <row r="571">
      <c r="A571" t="inlineStr">
        <is>
          <t>chr11</t>
        </is>
      </c>
      <c r="B571" t="n">
        <v>46906904</v>
      </c>
      <c r="C571" t="inlineStr">
        <is>
          <t>G</t>
        </is>
      </c>
      <c r="D571" t="inlineStr">
        <is>
          <t>A</t>
        </is>
      </c>
      <c r="E571" t="inlineStr">
        <is>
          <t>rs7128102</t>
        </is>
      </c>
      <c r="F571" t="n">
        <v>-0.0342131646</v>
      </c>
      <c r="G571" t="n">
        <v>0.1423407257875442</v>
      </c>
      <c r="H571" t="n">
        <v>0.0104486009073806</v>
      </c>
      <c r="I571" t="n">
        <v>0.4776527103965383</v>
      </c>
      <c r="J571" t="n">
        <v>0.4605025326674811</v>
      </c>
      <c r="K571" t="n">
        <v>0.1167871824095649</v>
      </c>
      <c r="L571" t="b">
        <v>0</v>
      </c>
      <c r="M571" t="b">
        <v>0</v>
      </c>
      <c r="N571" t="inlineStr">
        <is>
          <t>ref</t>
        </is>
      </c>
      <c r="O571" t="n">
        <v>100</v>
      </c>
      <c r="P571" t="n">
        <v>0.00639</v>
      </c>
      <c r="Q571" t="n">
        <v>-55</v>
      </c>
      <c r="R571" t="n">
        <v>0.1414</v>
      </c>
      <c r="S571">
        <f>IMAGE("https://mitra.stanford.edu/kundaje/oak/projects/neuro-variants/variant_position/credible/roussos_2024/variant_figures/roussos_2024.adolescence.GLU/rs7128102_count_position.png",4,220,900)</f>
        <v/>
      </c>
      <c r="T571">
        <f>IMAGE("https://mitra.stanford.edu/kundaje/oak/projects/neuro-variants/variant_position/credible/roussos_2024/variant_figures/roussos_2024.adolescence.GLU/rs7128102_profile_position.png",4,220,900)</f>
        <v/>
      </c>
    </row>
    <row r="572">
      <c r="A572" t="inlineStr">
        <is>
          <t>chr11</t>
        </is>
      </c>
      <c r="B572" t="n">
        <v>46912818</v>
      </c>
      <c r="C572" t="inlineStr">
        <is>
          <t>C</t>
        </is>
      </c>
      <c r="D572" t="inlineStr">
        <is>
          <t>T</t>
        </is>
      </c>
      <c r="E572" t="inlineStr">
        <is>
          <t>rs7120113</t>
        </is>
      </c>
      <c r="F572" t="n">
        <v>-0.0521049336</v>
      </c>
      <c r="G572" t="n">
        <v>0.0606272034536827</v>
      </c>
      <c r="H572" t="n">
        <v>0.0116325727039742</v>
      </c>
      <c r="I572" t="n">
        <v>0.3337780340971519</v>
      </c>
      <c r="J572" t="n">
        <v>0.5943574026048253</v>
      </c>
      <c r="K572" t="n">
        <v>0.0402815393844611</v>
      </c>
      <c r="L572" t="b">
        <v>0</v>
      </c>
      <c r="M572" t="b">
        <v>0</v>
      </c>
      <c r="N572" t="inlineStr">
        <is>
          <t>ref</t>
        </is>
      </c>
      <c r="O572" t="n">
        <v>60</v>
      </c>
      <c r="P572" t="n">
        <v>0.00189</v>
      </c>
      <c r="Q572" t="n">
        <v>95</v>
      </c>
      <c r="R572" t="n">
        <v>0.04193</v>
      </c>
      <c r="S572">
        <f>IMAGE("https://mitra.stanford.edu/kundaje/oak/projects/neuro-variants/variant_position/credible/roussos_2024/variant_figures/roussos_2024.adolescence.GLU/rs7120113_count_position.png",4,220,900)</f>
        <v/>
      </c>
      <c r="T572">
        <f>IMAGE("https://mitra.stanford.edu/kundaje/oak/projects/neuro-variants/variant_position/credible/roussos_2024/variant_figures/roussos_2024.adolescence.GLU/rs7120113_profile_position.png",4,220,900)</f>
        <v/>
      </c>
    </row>
    <row r="573">
      <c r="A573" t="inlineStr">
        <is>
          <t>chr11</t>
        </is>
      </c>
      <c r="B573" t="n">
        <v>47098515</v>
      </c>
      <c r="C573" t="inlineStr">
        <is>
          <t>T</t>
        </is>
      </c>
      <c r="D573" t="inlineStr">
        <is>
          <t>C</t>
        </is>
      </c>
      <c r="E573" t="inlineStr">
        <is>
          <t>rs118012321</t>
        </is>
      </c>
      <c r="F573" t="n">
        <v>-9.459240000000044e-05</v>
      </c>
      <c r="G573" t="n">
        <v>0.6760228701383464</v>
      </c>
      <c r="H573" t="n">
        <v>0.040060938262953</v>
      </c>
      <c r="I573" t="n">
        <v>0.0026861599669458</v>
      </c>
      <c r="J573" t="n">
        <v>0.1100042151588543</v>
      </c>
      <c r="K573" t="n">
        <v>0.5564523218262725</v>
      </c>
      <c r="L573" t="b">
        <v>1</v>
      </c>
      <c r="M573" t="b">
        <v>1</v>
      </c>
      <c r="N573" t="inlineStr">
        <is>
          <t>ref</t>
        </is>
      </c>
      <c r="O573" t="n">
        <v>-100</v>
      </c>
      <c r="P573" t="n">
        <v>0.2432</v>
      </c>
      <c r="Q573" t="n">
        <v>-15</v>
      </c>
      <c r="R573" t="n">
        <v>0.00586</v>
      </c>
      <c r="S573">
        <f>IMAGE("https://mitra.stanford.edu/kundaje/oak/projects/neuro-variants/variant_position/credible/roussos_2024/variant_figures/roussos_2024.adolescence.GLU/rs118012321_count_position.png",4,220,900)</f>
        <v/>
      </c>
      <c r="T573">
        <f>IMAGE("https://mitra.stanford.edu/kundaje/oak/projects/neuro-variants/variant_position/credible/roussos_2024/variant_figures/roussos_2024.adolescence.GLU/rs118012321_profile_position.png",4,220,900)</f>
        <v/>
      </c>
    </row>
    <row r="574">
      <c r="A574" t="inlineStr">
        <is>
          <t>chr11</t>
        </is>
      </c>
      <c r="B574" t="n">
        <v>47130722</v>
      </c>
      <c r="C574" t="inlineStr">
        <is>
          <t>G</t>
        </is>
      </c>
      <c r="D574" t="inlineStr">
        <is>
          <t>A</t>
        </is>
      </c>
      <c r="E574" t="inlineStr">
        <is>
          <t>rs10838660</t>
        </is>
      </c>
      <c r="F574" t="n">
        <v>-0.0258670763</v>
      </c>
      <c r="G574" t="n">
        <v>0.2340088115200325</v>
      </c>
      <c r="H574" t="n">
        <v>0.009140931520764801</v>
      </c>
      <c r="I574" t="n">
        <v>0.6331155736546928</v>
      </c>
      <c r="J574" t="n">
        <v>0.2678469111458802</v>
      </c>
      <c r="K574" t="n">
        <v>0.3109358115511006</v>
      </c>
      <c r="L574" t="b">
        <v>0</v>
      </c>
      <c r="M574" t="b">
        <v>0</v>
      </c>
      <c r="N574" t="inlineStr">
        <is>
          <t>ref</t>
        </is>
      </c>
      <c r="O574" t="n">
        <v>95</v>
      </c>
      <c r="P574" t="n">
        <v>0.01079</v>
      </c>
      <c r="Q574" t="n">
        <v>10</v>
      </c>
      <c r="R574" t="n">
        <v>0.00525</v>
      </c>
      <c r="S574">
        <f>IMAGE("https://mitra.stanford.edu/kundaje/oak/projects/neuro-variants/variant_position/credible/roussos_2024/variant_figures/roussos_2024.adolescence.GLU/rs10838660_count_position.png",4,220,900)</f>
        <v/>
      </c>
      <c r="T574">
        <f>IMAGE("https://mitra.stanford.edu/kundaje/oak/projects/neuro-variants/variant_position/credible/roussos_2024/variant_figures/roussos_2024.adolescence.GLU/rs10838660_profile_position.png",4,220,900)</f>
        <v/>
      </c>
    </row>
    <row r="575">
      <c r="A575" t="inlineStr">
        <is>
          <t>chr11</t>
        </is>
      </c>
      <c r="B575" t="n">
        <v>47143555</v>
      </c>
      <c r="C575" t="inlineStr">
        <is>
          <t>G</t>
        </is>
      </c>
      <c r="D575" t="inlineStr">
        <is>
          <t>A</t>
        </is>
      </c>
      <c r="E575" t="inlineStr">
        <is>
          <t>rs7121418</t>
        </is>
      </c>
      <c r="F575" t="n">
        <v>0.0062811268199999</v>
      </c>
      <c r="G575" t="n">
        <v>0.6733417724970646</v>
      </c>
      <c r="H575" t="n">
        <v>0.009173333078505101</v>
      </c>
      <c r="I575" t="n">
        <v>0.6332652750818003</v>
      </c>
      <c r="J575" t="n">
        <v>0.1954633459788098</v>
      </c>
      <c r="K575" t="n">
        <v>0.4103936729075965</v>
      </c>
      <c r="L575" t="b">
        <v>0</v>
      </c>
      <c r="M575" t="b">
        <v>0</v>
      </c>
      <c r="N575" t="inlineStr">
        <is>
          <t>alt</t>
        </is>
      </c>
      <c r="O575" t="n">
        <v>-90</v>
      </c>
      <c r="P575" t="n">
        <v>0.00456</v>
      </c>
      <c r="Q575" t="n">
        <v>-80</v>
      </c>
      <c r="R575" t="n">
        <v>0.0476</v>
      </c>
      <c r="S575">
        <f>IMAGE("https://mitra.stanford.edu/kundaje/oak/projects/neuro-variants/variant_position/credible/roussos_2024/variant_figures/roussos_2024.adolescence.GLU/rs7121418_count_position.png",4,220,900)</f>
        <v/>
      </c>
      <c r="T575">
        <f>IMAGE("https://mitra.stanford.edu/kundaje/oak/projects/neuro-variants/variant_position/credible/roussos_2024/variant_figures/roussos_2024.adolescence.GLU/rs7121418_profile_position.png",4,220,900)</f>
        <v/>
      </c>
    </row>
    <row r="576">
      <c r="A576" t="inlineStr">
        <is>
          <t>chr11</t>
        </is>
      </c>
      <c r="B576" t="n">
        <v>57653412</v>
      </c>
      <c r="C576" t="inlineStr">
        <is>
          <t>G</t>
        </is>
      </c>
      <c r="D576" t="inlineStr">
        <is>
          <t>A</t>
        </is>
      </c>
      <c r="E576" t="inlineStr">
        <is>
          <t>rs1631684</t>
        </is>
      </c>
      <c r="F576" t="n">
        <v>0.0082793707</v>
      </c>
      <c r="G576" t="n">
        <v>0.5792570161622181</v>
      </c>
      <c r="H576" t="n">
        <v>0.0131332404030045</v>
      </c>
      <c r="I576" t="n">
        <v>0.2397766254656768</v>
      </c>
      <c r="J576" t="n">
        <v>0.1292210529323931</v>
      </c>
      <c r="K576" t="n">
        <v>0.5167380924182524</v>
      </c>
      <c r="L576" t="b">
        <v>0</v>
      </c>
      <c r="M576" t="b">
        <v>0</v>
      </c>
      <c r="N576" t="inlineStr">
        <is>
          <t>alt</t>
        </is>
      </c>
      <c r="O576" t="n">
        <v>100</v>
      </c>
      <c r="P576" t="n">
        <v>0.05307</v>
      </c>
      <c r="Q576" t="n">
        <v>-10</v>
      </c>
      <c r="R576" t="n">
        <v>0.008574999999999999</v>
      </c>
      <c r="S576">
        <f>IMAGE("https://mitra.stanford.edu/kundaje/oak/projects/neuro-variants/variant_position/credible/roussos_2024/variant_figures/roussos_2024.adolescence.GLU/rs1631684_count_position.png",4,220,900)</f>
        <v/>
      </c>
      <c r="T576">
        <f>IMAGE("https://mitra.stanford.edu/kundaje/oak/projects/neuro-variants/variant_position/credible/roussos_2024/variant_figures/roussos_2024.adolescence.GLU/rs1631684_profile_position.png",4,220,900)</f>
        <v/>
      </c>
    </row>
    <row r="577">
      <c r="A577" t="inlineStr">
        <is>
          <t>chr11</t>
        </is>
      </c>
      <c r="B577" t="n">
        <v>57666650</v>
      </c>
      <c r="C577" t="inlineStr">
        <is>
          <t>C</t>
        </is>
      </c>
      <c r="D577" t="inlineStr">
        <is>
          <t>A</t>
        </is>
      </c>
      <c r="E577" t="inlineStr">
        <is>
          <t>rs499188</t>
        </is>
      </c>
      <c r="F577" t="n">
        <v>0.0134719951</v>
      </c>
      <c r="G577" t="n">
        <v>0.4344263272163804</v>
      </c>
      <c r="H577" t="n">
        <v>0.0162136072016723</v>
      </c>
      <c r="I577" t="n">
        <v>0.1274346098486458</v>
      </c>
      <c r="J577" t="n">
        <v>0.4758371376928078</v>
      </c>
      <c r="K577" t="n">
        <v>0.1055227313780212</v>
      </c>
      <c r="L577" t="b">
        <v>0</v>
      </c>
      <c r="M577" t="b">
        <v>0</v>
      </c>
      <c r="N577" t="inlineStr">
        <is>
          <t>alt</t>
        </is>
      </c>
      <c r="O577" t="n">
        <v>60</v>
      </c>
      <c r="P577" t="n">
        <v>0.02042</v>
      </c>
      <c r="Q577" t="n">
        <v>90</v>
      </c>
      <c r="R577" t="n">
        <v>0.1376</v>
      </c>
      <c r="S577">
        <f>IMAGE("https://mitra.stanford.edu/kundaje/oak/projects/neuro-variants/variant_position/credible/roussos_2024/variant_figures/roussos_2024.adolescence.GLU/rs499188_count_position.png",4,220,900)</f>
        <v/>
      </c>
      <c r="T577">
        <f>IMAGE("https://mitra.stanford.edu/kundaje/oak/projects/neuro-variants/variant_position/credible/roussos_2024/variant_figures/roussos_2024.adolescence.GLU/rs499188_profile_position.png",4,220,900)</f>
        <v/>
      </c>
    </row>
    <row r="578">
      <c r="A578" t="inlineStr">
        <is>
          <t>chr11</t>
        </is>
      </c>
      <c r="B578" t="n">
        <v>57741206</v>
      </c>
      <c r="C578" t="inlineStr">
        <is>
          <t>G</t>
        </is>
      </c>
      <c r="D578" t="inlineStr">
        <is>
          <t>C</t>
        </is>
      </c>
      <c r="E578" t="inlineStr">
        <is>
          <t>rs12146541</t>
        </is>
      </c>
      <c r="F578" t="n">
        <v>-0.06652301519999999</v>
      </c>
      <c r="G578" t="n">
        <v>0.0358193085232223</v>
      </c>
      <c r="H578" t="n">
        <v>0.0289210660633611</v>
      </c>
      <c r="I578" t="n">
        <v>0.0131541854354878</v>
      </c>
      <c r="J578" t="n">
        <v>0.7636896214215803</v>
      </c>
      <c r="K578" t="n">
        <v>0.009820217227102799</v>
      </c>
      <c r="L578" t="b">
        <v>1</v>
      </c>
      <c r="M578" t="b">
        <v>0</v>
      </c>
      <c r="N578" t="inlineStr">
        <is>
          <t>ref</t>
        </is>
      </c>
      <c r="O578" t="n">
        <v>100</v>
      </c>
      <c r="P578" t="n">
        <v>0.01735</v>
      </c>
      <c r="Q578" t="n">
        <v>100</v>
      </c>
      <c r="R578" t="n">
        <v>0.2239</v>
      </c>
      <c r="S578">
        <f>IMAGE("https://mitra.stanford.edu/kundaje/oak/projects/neuro-variants/variant_position/credible/roussos_2024/variant_figures/roussos_2024.adolescence.GLU/rs12146541_count_position.png",4,220,900)</f>
        <v/>
      </c>
      <c r="T578">
        <f>IMAGE("https://mitra.stanford.edu/kundaje/oak/projects/neuro-variants/variant_position/credible/roussos_2024/variant_figures/roussos_2024.adolescence.GLU/rs12146541_profile_position.png",4,220,900)</f>
        <v/>
      </c>
    </row>
    <row r="579">
      <c r="A579" t="inlineStr">
        <is>
          <t>chr11</t>
        </is>
      </c>
      <c r="B579" t="n">
        <v>57779528</v>
      </c>
      <c r="C579" t="inlineStr">
        <is>
          <t>T</t>
        </is>
      </c>
      <c r="D579" t="inlineStr">
        <is>
          <t>C</t>
        </is>
      </c>
      <c r="E579" t="inlineStr">
        <is>
          <t>rs35808061</t>
        </is>
      </c>
      <c r="F579" t="n">
        <v>-0.0339691478</v>
      </c>
      <c r="G579" t="n">
        <v>0.1619679370561701</v>
      </c>
      <c r="H579" t="n">
        <v>0.0183004365953166</v>
      </c>
      <c r="I579" t="n">
        <v>0.0763337864500326</v>
      </c>
      <c r="J579" t="n">
        <v>0.2315436769045016</v>
      </c>
      <c r="K579" t="n">
        <v>0.3575746459348796</v>
      </c>
      <c r="L579" t="b">
        <v>0</v>
      </c>
      <c r="M579" t="b">
        <v>0</v>
      </c>
      <c r="N579" t="inlineStr">
        <is>
          <t>ref</t>
        </is>
      </c>
      <c r="O579" t="n">
        <v>60</v>
      </c>
      <c r="P579" t="n">
        <v>0.00518</v>
      </c>
      <c r="Q579" t="n">
        <v>15</v>
      </c>
      <c r="R579" t="n">
        <v>0.007446</v>
      </c>
      <c r="S579">
        <f>IMAGE("https://mitra.stanford.edu/kundaje/oak/projects/neuro-variants/variant_position/credible/roussos_2024/variant_figures/roussos_2024.adolescence.GLU/rs35808061_count_position.png",4,220,900)</f>
        <v/>
      </c>
      <c r="T579">
        <f>IMAGE("https://mitra.stanford.edu/kundaje/oak/projects/neuro-variants/variant_position/credible/roussos_2024/variant_figures/roussos_2024.adolescence.GLU/rs35808061_profile_position.png",4,220,900)</f>
        <v/>
      </c>
    </row>
    <row r="580">
      <c r="A580" t="inlineStr">
        <is>
          <t>chr11</t>
        </is>
      </c>
      <c r="B580" t="n">
        <v>57788298</v>
      </c>
      <c r="C580" t="inlineStr">
        <is>
          <t>T</t>
        </is>
      </c>
      <c r="D580" t="inlineStr">
        <is>
          <t>C</t>
        </is>
      </c>
      <c r="E580" t="inlineStr">
        <is>
          <t>rs11570181</t>
        </is>
      </c>
      <c r="F580" t="n">
        <v>0.0605744578</v>
      </c>
      <c r="G580" t="n">
        <v>0.0359281292836623</v>
      </c>
      <c r="H580" t="n">
        <v>0.0104426589648709</v>
      </c>
      <c r="I580" t="n">
        <v>0.4776476303215217</v>
      </c>
      <c r="J580" t="n">
        <v>0.1986211429510397</v>
      </c>
      <c r="K580" t="n">
        <v>0.4082833008325607</v>
      </c>
      <c r="L580" t="b">
        <v>0</v>
      </c>
      <c r="M580" t="b">
        <v>0</v>
      </c>
      <c r="N580" t="inlineStr">
        <is>
          <t>alt</t>
        </is>
      </c>
      <c r="O580" t="n">
        <v>-85</v>
      </c>
      <c r="P580" t="n">
        <v>0.00876</v>
      </c>
      <c r="Q580" t="n">
        <v>100</v>
      </c>
      <c r="R580" t="n">
        <v>0.08459999999999999</v>
      </c>
      <c r="S580">
        <f>IMAGE("https://mitra.stanford.edu/kundaje/oak/projects/neuro-variants/variant_position/credible/roussos_2024/variant_figures/roussos_2024.adolescence.GLU/rs11570181_count_position.png",4,220,900)</f>
        <v/>
      </c>
      <c r="T580">
        <f>IMAGE("https://mitra.stanford.edu/kundaje/oak/projects/neuro-variants/variant_position/credible/roussos_2024/variant_figures/roussos_2024.adolescence.GLU/rs11570181_profile_position.png",4,220,900)</f>
        <v/>
      </c>
    </row>
    <row r="581">
      <c r="A581" t="inlineStr">
        <is>
          <t>chr11</t>
        </is>
      </c>
      <c r="B581" t="n">
        <v>57807627</v>
      </c>
      <c r="C581" t="inlineStr">
        <is>
          <t>A</t>
        </is>
      </c>
      <c r="D581" t="inlineStr">
        <is>
          <t>G</t>
        </is>
      </c>
      <c r="E581" t="inlineStr">
        <is>
          <t>rs1268667</t>
        </is>
      </c>
      <c r="F581" t="n">
        <v>0.0011877470599999</v>
      </c>
      <c r="G581" t="n">
        <v>0.7300392799459469</v>
      </c>
      <c r="H581" t="n">
        <v>0.0390165016191841</v>
      </c>
      <c r="I581" t="n">
        <v>0.0032995373374921</v>
      </c>
      <c r="J581" t="n">
        <v>0.1104114423702052</v>
      </c>
      <c r="K581" t="n">
        <v>0.5624639588953805</v>
      </c>
      <c r="L581" t="b">
        <v>1</v>
      </c>
      <c r="M581" t="b">
        <v>1</v>
      </c>
      <c r="N581" t="inlineStr">
        <is>
          <t>alt</t>
        </is>
      </c>
      <c r="O581" t="n">
        <v>-90</v>
      </c>
      <c r="P581" t="n">
        <v>0.01001</v>
      </c>
      <c r="Q581" t="n">
        <v>30</v>
      </c>
      <c r="R581" t="n">
        <v>0.01965</v>
      </c>
      <c r="S581">
        <f>IMAGE("https://mitra.stanford.edu/kundaje/oak/projects/neuro-variants/variant_position/credible/roussos_2024/variant_figures/roussos_2024.adolescence.GLU/rs1268667_count_position.png",4,220,900)</f>
        <v/>
      </c>
      <c r="T581">
        <f>IMAGE("https://mitra.stanford.edu/kundaje/oak/projects/neuro-variants/variant_position/credible/roussos_2024/variant_figures/roussos_2024.adolescence.GLU/rs1268667_profile_position.png",4,220,900)</f>
        <v/>
      </c>
    </row>
    <row r="582">
      <c r="A582" t="inlineStr">
        <is>
          <t>chr11</t>
        </is>
      </c>
      <c r="B582" t="n">
        <v>63872198</v>
      </c>
      <c r="C582" t="inlineStr">
        <is>
          <t>G</t>
        </is>
      </c>
      <c r="D582" t="inlineStr">
        <is>
          <t>A</t>
        </is>
      </c>
      <c r="E582" t="inlineStr">
        <is>
          <t>rs4980505</t>
        </is>
      </c>
      <c r="F582" t="n">
        <v>0.00767433656</v>
      </c>
      <c r="G582" t="n">
        <v>0.5390077046598372</v>
      </c>
      <c r="H582" t="n">
        <v>0.007923372484292601</v>
      </c>
      <c r="I582" t="n">
        <v>0.8058153222976457</v>
      </c>
      <c r="J582" t="n">
        <v>0.5623764922733996</v>
      </c>
      <c r="K582" t="n">
        <v>0.0546455322354109</v>
      </c>
      <c r="L582" t="b">
        <v>0</v>
      </c>
      <c r="M582" t="b">
        <v>0</v>
      </c>
      <c r="N582" t="inlineStr">
        <is>
          <t>alt</t>
        </is>
      </c>
      <c r="O582" t="n">
        <v>-55</v>
      </c>
      <c r="P582" t="n">
        <v>0.012146</v>
      </c>
      <c r="Q582" t="n">
        <v>-20</v>
      </c>
      <c r="R582" t="n">
        <v>0.03003</v>
      </c>
      <c r="S582">
        <f>IMAGE("https://mitra.stanford.edu/kundaje/oak/projects/neuro-variants/variant_position/credible/roussos_2024/variant_figures/roussos_2024.adolescence.GLU/rs4980505_count_position.png",4,220,900)</f>
        <v/>
      </c>
      <c r="T582">
        <f>IMAGE("https://mitra.stanford.edu/kundaje/oak/projects/neuro-variants/variant_position/credible/roussos_2024/variant_figures/roussos_2024.adolescence.GLU/rs4980505_profile_position.png",4,220,900)</f>
        <v/>
      </c>
    </row>
    <row r="583">
      <c r="A583" t="inlineStr">
        <is>
          <t>chr11</t>
        </is>
      </c>
      <c r="B583" t="n">
        <v>64048350</v>
      </c>
      <c r="C583" t="inlineStr">
        <is>
          <t>C</t>
        </is>
      </c>
      <c r="D583" t="inlineStr">
        <is>
          <t>T</t>
        </is>
      </c>
      <c r="E583" t="inlineStr">
        <is>
          <t>rs2014328</t>
        </is>
      </c>
      <c r="F583" t="n">
        <v>-0.0242717586</v>
      </c>
      <c r="G583" t="n">
        <v>0.2404934708834789</v>
      </c>
      <c r="H583" t="n">
        <v>0.0105913089336797</v>
      </c>
      <c r="I583" t="n">
        <v>0.4588301074649057</v>
      </c>
      <c r="J583" t="n">
        <v>0.5437040529824035</v>
      </c>
      <c r="K583" t="n">
        <v>0.06367433061071059</v>
      </c>
      <c r="L583" t="b">
        <v>0</v>
      </c>
      <c r="M583" t="b">
        <v>0</v>
      </c>
      <c r="N583" t="inlineStr">
        <is>
          <t>ref</t>
        </is>
      </c>
      <c r="O583" t="n">
        <v>-55</v>
      </c>
      <c r="P583" t="n">
        <v>0.002045</v>
      </c>
      <c r="Q583" t="n">
        <v>-15</v>
      </c>
      <c r="R583" t="n">
        <v>0.010925</v>
      </c>
      <c r="S583">
        <f>IMAGE("https://mitra.stanford.edu/kundaje/oak/projects/neuro-variants/variant_position/credible/roussos_2024/variant_figures/roussos_2024.adolescence.GLU/rs2014328_count_position.png",4,220,900)</f>
        <v/>
      </c>
      <c r="T583">
        <f>IMAGE("https://mitra.stanford.edu/kundaje/oak/projects/neuro-variants/variant_position/credible/roussos_2024/variant_figures/roussos_2024.adolescence.GLU/rs2014328_profile_position.png",4,220,900)</f>
        <v/>
      </c>
    </row>
    <row r="584">
      <c r="A584" t="inlineStr">
        <is>
          <t>chr11</t>
        </is>
      </c>
      <c r="B584" t="n">
        <v>64053900</v>
      </c>
      <c r="C584" t="inlineStr">
        <is>
          <t>G</t>
        </is>
      </c>
      <c r="D584" t="inlineStr">
        <is>
          <t>A</t>
        </is>
      </c>
      <c r="E584" t="inlineStr">
        <is>
          <t>rs478294</t>
        </is>
      </c>
      <c r="F584" t="n">
        <v>-0.1015044482</v>
      </c>
      <c r="G584" t="n">
        <v>0.0089360224368436</v>
      </c>
      <c r="H584" t="n">
        <v>0.016450549750814</v>
      </c>
      <c r="I584" t="n">
        <v>0.1303658254032733</v>
      </c>
      <c r="J584" t="n">
        <v>0.5804602381921971</v>
      </c>
      <c r="K584" t="n">
        <v>0.0456394565549565</v>
      </c>
      <c r="L584" t="b">
        <v>1</v>
      </c>
      <c r="M584" t="b">
        <v>1</v>
      </c>
      <c r="N584" t="inlineStr">
        <is>
          <t>ref</t>
        </is>
      </c>
      <c r="O584" t="n">
        <v>85</v>
      </c>
      <c r="P584" t="n">
        <v>0.001205</v>
      </c>
      <c r="Q584" t="n">
        <v>-45</v>
      </c>
      <c r="R584" t="n">
        <v>0.011475</v>
      </c>
      <c r="S584">
        <f>IMAGE("https://mitra.stanford.edu/kundaje/oak/projects/neuro-variants/variant_position/credible/roussos_2024/variant_figures/roussos_2024.adolescence.GLU/rs478294_count_position.png",4,220,900)</f>
        <v/>
      </c>
      <c r="T584">
        <f>IMAGE("https://mitra.stanford.edu/kundaje/oak/projects/neuro-variants/variant_position/credible/roussos_2024/variant_figures/roussos_2024.adolescence.GLU/rs478294_profile_position.png",4,220,900)</f>
        <v/>
      </c>
    </row>
    <row r="585">
      <c r="A585" t="inlineStr">
        <is>
          <t>chr11</t>
        </is>
      </c>
      <c r="B585" t="n">
        <v>64056059</v>
      </c>
      <c r="C585" t="inlineStr">
        <is>
          <t>G</t>
        </is>
      </c>
      <c r="D585" t="inlineStr">
        <is>
          <t>A</t>
        </is>
      </c>
      <c r="E585" t="inlineStr">
        <is>
          <t>rs540741</t>
        </is>
      </c>
      <c r="F585" t="n">
        <v>-0.0246881664</v>
      </c>
      <c r="G585" t="n">
        <v>0.2388781888018379</v>
      </c>
      <c r="H585" t="n">
        <v>0.0156315097660581</v>
      </c>
      <c r="I585" t="n">
        <v>0.1444173455639664</v>
      </c>
      <c r="J585" t="n">
        <v>0.5991483950246838</v>
      </c>
      <c r="K585" t="n">
        <v>0.0384784286758318</v>
      </c>
      <c r="L585" t="b">
        <v>0</v>
      </c>
      <c r="M585" t="b">
        <v>0</v>
      </c>
      <c r="N585" t="inlineStr">
        <is>
          <t>ref</t>
        </is>
      </c>
      <c r="O585" t="n">
        <v>65</v>
      </c>
      <c r="P585" t="n">
        <v>0.00425</v>
      </c>
      <c r="Q585" t="n">
        <v>-5</v>
      </c>
      <c r="R585" t="n">
        <v>0.003174</v>
      </c>
      <c r="S585">
        <f>IMAGE("https://mitra.stanford.edu/kundaje/oak/projects/neuro-variants/variant_position/credible/roussos_2024/variant_figures/roussos_2024.adolescence.GLU/rs540741_count_position.png",4,220,900)</f>
        <v/>
      </c>
      <c r="T585">
        <f>IMAGE("https://mitra.stanford.edu/kundaje/oak/projects/neuro-variants/variant_position/credible/roussos_2024/variant_figures/roussos_2024.adolescence.GLU/rs540741_profile_position.png",4,220,900)</f>
        <v/>
      </c>
    </row>
    <row r="586">
      <c r="A586" t="inlineStr">
        <is>
          <t>chr11</t>
        </is>
      </c>
      <c r="B586" t="n">
        <v>64056147</v>
      </c>
      <c r="C586" t="inlineStr">
        <is>
          <t>C</t>
        </is>
      </c>
      <c r="D586" t="inlineStr">
        <is>
          <t>T</t>
        </is>
      </c>
      <c r="E586" t="inlineStr">
        <is>
          <t>rs562664</t>
        </is>
      </c>
      <c r="F586" t="n">
        <v>-0.074867161</v>
      </c>
      <c r="G586" t="n">
        <v>0.0222064867198499</v>
      </c>
      <c r="H586" t="n">
        <v>0.0229557517879017</v>
      </c>
      <c r="I586" t="n">
        <v>0.0296706874948934</v>
      </c>
      <c r="J586" t="n">
        <v>0.6102821298697587</v>
      </c>
      <c r="K586" t="n">
        <v>0.0345509460678303</v>
      </c>
      <c r="L586" t="b">
        <v>0</v>
      </c>
      <c r="M586" t="b">
        <v>0</v>
      </c>
      <c r="N586" t="inlineStr">
        <is>
          <t>ref</t>
        </is>
      </c>
      <c r="O586" t="n">
        <v>95</v>
      </c>
      <c r="P586" t="n">
        <v>0.01208</v>
      </c>
      <c r="Q586" t="n">
        <v>-90</v>
      </c>
      <c r="R586" t="n">
        <v>0.1126</v>
      </c>
      <c r="S586">
        <f>IMAGE("https://mitra.stanford.edu/kundaje/oak/projects/neuro-variants/variant_position/credible/roussos_2024/variant_figures/roussos_2024.adolescence.GLU/rs562664_count_position.png",4,220,900)</f>
        <v/>
      </c>
      <c r="T586">
        <f>IMAGE("https://mitra.stanford.edu/kundaje/oak/projects/neuro-variants/variant_position/credible/roussos_2024/variant_figures/roussos_2024.adolescence.GLU/rs562664_profile_position.png",4,220,900)</f>
        <v/>
      </c>
    </row>
    <row r="587">
      <c r="A587" t="inlineStr">
        <is>
          <t>chr11</t>
        </is>
      </c>
      <c r="B587" t="n">
        <v>66349440</v>
      </c>
      <c r="C587" t="inlineStr">
        <is>
          <t>A</t>
        </is>
      </c>
      <c r="D587" t="inlineStr">
        <is>
          <t>G</t>
        </is>
      </c>
      <c r="E587" t="inlineStr">
        <is>
          <t>rs4930355</t>
        </is>
      </c>
      <c r="F587" t="n">
        <v>0.0490416434</v>
      </c>
      <c r="G587" t="n">
        <v>0.0656157992231589</v>
      </c>
      <c r="H587" t="n">
        <v>0.009901439052645801</v>
      </c>
      <c r="I587" t="n">
        <v>0.5559563232240385</v>
      </c>
      <c r="J587" t="n">
        <v>0.1383400847318373</v>
      </c>
      <c r="K587" t="n">
        <v>0.5102107856599215</v>
      </c>
      <c r="L587" t="b">
        <v>0</v>
      </c>
      <c r="M587" t="b">
        <v>0</v>
      </c>
      <c r="N587" t="inlineStr">
        <is>
          <t>alt</t>
        </is>
      </c>
      <c r="O587" t="n">
        <v>40</v>
      </c>
      <c r="P587" t="n">
        <v>0.01368</v>
      </c>
      <c r="Q587" t="n">
        <v>-80</v>
      </c>
      <c r="R587" t="n">
        <v>0.009889999999999999</v>
      </c>
      <c r="S587">
        <f>IMAGE("https://mitra.stanford.edu/kundaje/oak/projects/neuro-variants/variant_position/credible/roussos_2024/variant_figures/roussos_2024.adolescence.GLU/rs4930355_count_position.png",4,220,900)</f>
        <v/>
      </c>
      <c r="T587">
        <f>IMAGE("https://mitra.stanford.edu/kundaje/oak/projects/neuro-variants/variant_position/credible/roussos_2024/variant_figures/roussos_2024.adolescence.GLU/rs4930355_profile_position.png",4,220,900)</f>
        <v/>
      </c>
    </row>
    <row r="588">
      <c r="A588" t="inlineStr">
        <is>
          <t>chr11</t>
        </is>
      </c>
      <c r="B588" t="n">
        <v>67004840</v>
      </c>
      <c r="C588" t="inlineStr">
        <is>
          <t>G</t>
        </is>
      </c>
      <c r="D588" t="inlineStr">
        <is>
          <t>T</t>
        </is>
      </c>
      <c r="E588" t="inlineStr">
        <is>
          <t>rs11227649</t>
        </is>
      </c>
      <c r="F588" t="n">
        <v>-0.0039153961</v>
      </c>
      <c r="G588" t="n">
        <v>0.7320023918056676</v>
      </c>
      <c r="H588" t="n">
        <v>0.0174830682413502</v>
      </c>
      <c r="I588" t="n">
        <v>0.1010251252290009</v>
      </c>
      <c r="J588" t="n">
        <v>0.1948789392088361</v>
      </c>
      <c r="K588" t="n">
        <v>0.4096894253121981</v>
      </c>
      <c r="L588" t="b">
        <v>0</v>
      </c>
      <c r="M588" t="b">
        <v>0</v>
      </c>
      <c r="N588" t="inlineStr">
        <is>
          <t>ref</t>
        </is>
      </c>
      <c r="O588" t="n">
        <v>-90</v>
      </c>
      <c r="P588" t="n">
        <v>0.00958</v>
      </c>
      <c r="Q588" t="n">
        <v>75</v>
      </c>
      <c r="R588" t="n">
        <v>0.06494</v>
      </c>
      <c r="S588">
        <f>IMAGE("https://mitra.stanford.edu/kundaje/oak/projects/neuro-variants/variant_position/credible/roussos_2024/variant_figures/roussos_2024.adolescence.GLU/rs11227649_count_position.png",4,220,900)</f>
        <v/>
      </c>
      <c r="T588">
        <f>IMAGE("https://mitra.stanford.edu/kundaje/oak/projects/neuro-variants/variant_position/credible/roussos_2024/variant_figures/roussos_2024.adolescence.GLU/rs11227649_profile_position.png",4,220,900)</f>
        <v/>
      </c>
    </row>
    <row r="589">
      <c r="A589" t="inlineStr">
        <is>
          <t>chr11</t>
        </is>
      </c>
      <c r="B589" t="n">
        <v>67005606</v>
      </c>
      <c r="C589" t="inlineStr">
        <is>
          <t>C</t>
        </is>
      </c>
      <c r="D589" t="inlineStr">
        <is>
          <t>T</t>
        </is>
      </c>
      <c r="E589" t="inlineStr">
        <is>
          <t>rs1253435</t>
        </is>
      </c>
      <c r="F589" t="n">
        <v>-0.1282742617999999</v>
      </c>
      <c r="G589" t="n">
        <v>0.0038704100736757</v>
      </c>
      <c r="H589" t="n">
        <v>0.0312252603088358</v>
      </c>
      <c r="I589" t="n">
        <v>0.0097544883190486</v>
      </c>
      <c r="J589" t="n">
        <v>0.3268734237806402</v>
      </c>
      <c r="K589" t="n">
        <v>0.2411195891949835</v>
      </c>
      <c r="L589" t="b">
        <v>1</v>
      </c>
      <c r="M589" t="b">
        <v>1</v>
      </c>
      <c r="N589" t="inlineStr">
        <is>
          <t>ref</t>
        </is>
      </c>
      <c r="O589" t="n">
        <v>-100</v>
      </c>
      <c r="P589" t="n">
        <v>0.00421</v>
      </c>
      <c r="Q589" t="n">
        <v>-65</v>
      </c>
      <c r="R589" t="n">
        <v>0.06560000000000001</v>
      </c>
      <c r="S589">
        <f>IMAGE("https://mitra.stanford.edu/kundaje/oak/projects/neuro-variants/variant_position/credible/roussos_2024/variant_figures/roussos_2024.adolescence.GLU/rs1253435_count_position.png",4,220,900)</f>
        <v/>
      </c>
      <c r="T589">
        <f>IMAGE("https://mitra.stanford.edu/kundaje/oak/projects/neuro-variants/variant_position/credible/roussos_2024/variant_figures/roussos_2024.adolescence.GLU/rs1253435_profile_position.png",4,220,900)</f>
        <v/>
      </c>
    </row>
    <row r="590">
      <c r="A590" t="inlineStr">
        <is>
          <t>chr11</t>
        </is>
      </c>
      <c r="B590" t="n">
        <v>79499415</v>
      </c>
      <c r="C590" t="inlineStr">
        <is>
          <t>A</t>
        </is>
      </c>
      <c r="D590" t="inlineStr">
        <is>
          <t>C</t>
        </is>
      </c>
      <c r="E590" t="inlineStr">
        <is>
          <t>rs112437913</t>
        </is>
      </c>
      <c r="F590" t="n">
        <v>-0.0536861505999999</v>
      </c>
      <c r="G590" t="n">
        <v>0.0529958060351032</v>
      </c>
      <c r="H590" t="n">
        <v>0.0213014134407898</v>
      </c>
      <c r="I590" t="n">
        <v>0.0443002212706446</v>
      </c>
      <c r="J590" t="n">
        <v>0.6219416879210693</v>
      </c>
      <c r="K590" t="n">
        <v>0.0310394617623021</v>
      </c>
      <c r="L590" t="b">
        <v>0</v>
      </c>
      <c r="M590" t="b">
        <v>0</v>
      </c>
      <c r="N590" t="inlineStr">
        <is>
          <t>ref</t>
        </is>
      </c>
      <c r="O590" t="n">
        <v>80</v>
      </c>
      <c r="P590" t="n">
        <v>0.003654</v>
      </c>
      <c r="Q590" t="n">
        <v>5</v>
      </c>
      <c r="R590" t="n">
        <v>0.014404</v>
      </c>
      <c r="S590">
        <f>IMAGE("https://mitra.stanford.edu/kundaje/oak/projects/neuro-variants/variant_position/credible/roussos_2024/variant_figures/roussos_2024.adolescence.GLU/rs112437913_count_position.png",4,220,900)</f>
        <v/>
      </c>
      <c r="T590">
        <f>IMAGE("https://mitra.stanford.edu/kundaje/oak/projects/neuro-variants/variant_position/credible/roussos_2024/variant_figures/roussos_2024.adolescence.GLU/rs112437913_profile_position.png",4,220,900)</f>
        <v/>
      </c>
    </row>
    <row r="591">
      <c r="A591" t="inlineStr">
        <is>
          <t>chr11</t>
        </is>
      </c>
      <c r="B591" t="n">
        <v>79591215</v>
      </c>
      <c r="C591" t="inlineStr">
        <is>
          <t>T</t>
        </is>
      </c>
      <c r="D591" t="inlineStr">
        <is>
          <t>C</t>
        </is>
      </c>
      <c r="E591" t="inlineStr">
        <is>
          <t>rs1893846</t>
        </is>
      </c>
      <c r="F591" t="n">
        <v>0.0578552152</v>
      </c>
      <c r="G591" t="n">
        <v>0.0389323997417353</v>
      </c>
      <c r="H591" t="n">
        <v>0.0119881094510698</v>
      </c>
      <c r="I591" t="n">
        <v>0.317338218400894</v>
      </c>
      <c r="J591" t="n">
        <v>0.1759850254695615</v>
      </c>
      <c r="K591" t="n">
        <v>0.4367069016464142</v>
      </c>
      <c r="L591" t="b">
        <v>0</v>
      </c>
      <c r="M591" t="b">
        <v>0</v>
      </c>
      <c r="N591" t="inlineStr">
        <is>
          <t>alt</t>
        </is>
      </c>
      <c r="O591" t="n">
        <v>100</v>
      </c>
      <c r="P591" t="n">
        <v>0.004845</v>
      </c>
      <c r="Q591" t="n">
        <v>100</v>
      </c>
      <c r="R591" t="n">
        <v>0.09520000000000001</v>
      </c>
      <c r="S591">
        <f>IMAGE("https://mitra.stanford.edu/kundaje/oak/projects/neuro-variants/variant_position/credible/roussos_2024/variant_figures/roussos_2024.adolescence.GLU/rs1893846_count_position.png",4,220,900)</f>
        <v/>
      </c>
      <c r="T591">
        <f>IMAGE("https://mitra.stanford.edu/kundaje/oak/projects/neuro-variants/variant_position/credible/roussos_2024/variant_figures/roussos_2024.adolescence.GLU/rs1893846_profile_position.png",4,220,900)</f>
        <v/>
      </c>
    </row>
    <row r="592">
      <c r="A592" t="inlineStr">
        <is>
          <t>chr11</t>
        </is>
      </c>
      <c r="B592" t="n">
        <v>79634979</v>
      </c>
      <c r="C592" t="inlineStr">
        <is>
          <t>A</t>
        </is>
      </c>
      <c r="D592" t="inlineStr">
        <is>
          <t>G</t>
        </is>
      </c>
      <c r="E592" t="inlineStr">
        <is>
          <t>rs2457246</t>
        </is>
      </c>
      <c r="F592" t="n">
        <v>0.00213253446</v>
      </c>
      <c r="G592" t="n">
        <v>0.8624018245218582</v>
      </c>
      <c r="H592" t="n">
        <v>0.0214724074165874</v>
      </c>
      <c r="I592" t="n">
        <v>0.0413736868075232</v>
      </c>
      <c r="J592" t="n">
        <v>0.1867929785455558</v>
      </c>
      <c r="K592" t="n">
        <v>0.4217085027693681</v>
      </c>
      <c r="L592" t="b">
        <v>0</v>
      </c>
      <c r="M592" t="b">
        <v>0</v>
      </c>
      <c r="N592" t="inlineStr">
        <is>
          <t>alt</t>
        </is>
      </c>
      <c r="O592" t="n">
        <v>100</v>
      </c>
      <c r="P592" t="n">
        <v>0.0219</v>
      </c>
      <c r="Q592" t="n">
        <v>100</v>
      </c>
      <c r="R592" t="n">
        <v>0.1107</v>
      </c>
      <c r="S592">
        <f>IMAGE("https://mitra.stanford.edu/kundaje/oak/projects/neuro-variants/variant_position/credible/roussos_2024/variant_figures/roussos_2024.adolescence.GLU/rs2457246_count_position.png",4,220,900)</f>
        <v/>
      </c>
      <c r="T592">
        <f>IMAGE("https://mitra.stanford.edu/kundaje/oak/projects/neuro-variants/variant_position/credible/roussos_2024/variant_figures/roussos_2024.adolescence.GLU/rs2457246_profile_position.png",4,220,900)</f>
        <v/>
      </c>
    </row>
    <row r="593">
      <c r="A593" t="inlineStr">
        <is>
          <t>chr11</t>
        </is>
      </c>
      <c r="B593" t="n">
        <v>79637393</v>
      </c>
      <c r="C593" t="inlineStr">
        <is>
          <t>C</t>
        </is>
      </c>
      <c r="D593" t="inlineStr">
        <is>
          <t>T</t>
        </is>
      </c>
      <c r="E593" t="inlineStr">
        <is>
          <t>rs591699</t>
        </is>
      </c>
      <c r="F593" t="n">
        <v>-0.01116836156</v>
      </c>
      <c r="G593" t="n">
        <v>0.3371930668656444</v>
      </c>
      <c r="H593" t="n">
        <v>0.0153307058746412</v>
      </c>
      <c r="I593" t="n">
        <v>0.162136094633654</v>
      </c>
      <c r="J593" t="n">
        <v>0.2318165905794771</v>
      </c>
      <c r="K593" t="n">
        <v>0.3578163987505482</v>
      </c>
      <c r="L593" t="b">
        <v>0</v>
      </c>
      <c r="M593" t="b">
        <v>0</v>
      </c>
      <c r="N593" t="inlineStr">
        <is>
          <t>ref</t>
        </is>
      </c>
      <c r="O593" t="n">
        <v>-100</v>
      </c>
      <c r="P593" t="n">
        <v>0.005493</v>
      </c>
      <c r="Q593" t="n">
        <v>-100</v>
      </c>
      <c r="R593" t="n">
        <v>0.0919</v>
      </c>
      <c r="S593">
        <f>IMAGE("https://mitra.stanford.edu/kundaje/oak/projects/neuro-variants/variant_position/credible/roussos_2024/variant_figures/roussos_2024.adolescence.GLU/rs591699_count_position.png",4,220,900)</f>
        <v/>
      </c>
      <c r="T593">
        <f>IMAGE("https://mitra.stanford.edu/kundaje/oak/projects/neuro-variants/variant_position/credible/roussos_2024/variant_figures/roussos_2024.adolescence.GLU/rs591699_profile_position.png",4,220,900)</f>
        <v/>
      </c>
    </row>
    <row r="594">
      <c r="A594" t="inlineStr">
        <is>
          <t>chr11</t>
        </is>
      </c>
      <c r="B594" t="n">
        <v>79643238</v>
      </c>
      <c r="C594" t="inlineStr">
        <is>
          <t>T</t>
        </is>
      </c>
      <c r="D594" t="inlineStr">
        <is>
          <t>C</t>
        </is>
      </c>
      <c r="E594" t="inlineStr">
        <is>
          <t>rs12789884</t>
        </is>
      </c>
      <c r="F594" t="n">
        <v>0.0551643674</v>
      </c>
      <c r="G594" t="n">
        <v>0.0516876359975656</v>
      </c>
      <c r="H594" t="n">
        <v>0.0119522677178849</v>
      </c>
      <c r="I594" t="n">
        <v>0.3263753826515496</v>
      </c>
      <c r="J594" t="n">
        <v>0.2786762972329982</v>
      </c>
      <c r="K594" t="n">
        <v>0.2968015362931901</v>
      </c>
      <c r="L594" t="b">
        <v>0</v>
      </c>
      <c r="M594" t="b">
        <v>0</v>
      </c>
      <c r="N594" t="inlineStr">
        <is>
          <t>alt</t>
        </is>
      </c>
      <c r="O594" t="n">
        <v>100</v>
      </c>
      <c r="P594" t="n">
        <v>0.00835</v>
      </c>
      <c r="Q594" t="n">
        <v>20</v>
      </c>
      <c r="R594" t="n">
        <v>0.0299</v>
      </c>
      <c r="S594">
        <f>IMAGE("https://mitra.stanford.edu/kundaje/oak/projects/neuro-variants/variant_position/credible/roussos_2024/variant_figures/roussos_2024.adolescence.GLU/rs12789884_count_position.png",4,220,900)</f>
        <v/>
      </c>
      <c r="T594">
        <f>IMAGE("https://mitra.stanford.edu/kundaje/oak/projects/neuro-variants/variant_position/credible/roussos_2024/variant_figures/roussos_2024.adolescence.GLU/rs12789884_profile_position.png",4,220,900)</f>
        <v/>
      </c>
    </row>
    <row r="595">
      <c r="A595" t="inlineStr">
        <is>
          <t>chr11</t>
        </is>
      </c>
      <c r="B595" t="n">
        <v>104509903</v>
      </c>
      <c r="C595" t="inlineStr">
        <is>
          <t>A</t>
        </is>
      </c>
      <c r="D595" t="inlineStr">
        <is>
          <t>G</t>
        </is>
      </c>
      <c r="E595" t="inlineStr">
        <is>
          <t>rs71464734</t>
        </is>
      </c>
      <c r="F595" t="n">
        <v>-0.0640073614</v>
      </c>
      <c r="G595" t="n">
        <v>0.0376273724576613</v>
      </c>
      <c r="H595" t="n">
        <v>0.040659352383568</v>
      </c>
      <c r="I595" t="n">
        <v>0.0027167735041567</v>
      </c>
      <c r="J595" t="n">
        <v>0.0880925334533581</v>
      </c>
      <c r="K595" t="n">
        <v>0.6003691696235234</v>
      </c>
      <c r="L595" t="b">
        <v>1</v>
      </c>
      <c r="M595" t="b">
        <v>1</v>
      </c>
      <c r="N595" t="inlineStr">
        <is>
          <t>ref</t>
        </is>
      </c>
      <c r="O595" t="n">
        <v>85</v>
      </c>
      <c r="P595" t="n">
        <v>0.004684</v>
      </c>
      <c r="Q595" t="n">
        <v>-95</v>
      </c>
      <c r="R595" t="n">
        <v>0.0755</v>
      </c>
      <c r="S595">
        <f>IMAGE("https://mitra.stanford.edu/kundaje/oak/projects/neuro-variants/variant_position/credible/roussos_2024/variant_figures/roussos_2024.adolescence.GLU/rs71464734_count_position.png",4,220,900)</f>
        <v/>
      </c>
      <c r="T595">
        <f>IMAGE("https://mitra.stanford.edu/kundaje/oak/projects/neuro-variants/variant_position/credible/roussos_2024/variant_figures/roussos_2024.adolescence.GLU/rs71464734_profile_position.png",4,220,900)</f>
        <v/>
      </c>
    </row>
    <row r="596">
      <c r="A596" t="inlineStr">
        <is>
          <t>chr11</t>
        </is>
      </c>
      <c r="B596" t="n">
        <v>104552280</v>
      </c>
      <c r="C596" t="inlineStr">
        <is>
          <t>C</t>
        </is>
      </c>
      <c r="D596" t="inlineStr">
        <is>
          <t>T</t>
        </is>
      </c>
      <c r="E596" t="inlineStr">
        <is>
          <t>rs722354</t>
        </is>
      </c>
      <c r="F596" t="n">
        <v>0.00516622972</v>
      </c>
      <c r="G596" t="n">
        <v>0.6460045772684408</v>
      </c>
      <c r="H596" t="n">
        <v>0.0189447462415197</v>
      </c>
      <c r="I596" t="n">
        <v>0.0701433967945912</v>
      </c>
      <c r="J596" t="n">
        <v>0.0642933179015652</v>
      </c>
      <c r="K596" t="n">
        <v>0.6614803930428498</v>
      </c>
      <c r="L596" t="b">
        <v>0</v>
      </c>
      <c r="M596" t="b">
        <v>0</v>
      </c>
      <c r="N596" t="inlineStr">
        <is>
          <t>alt</t>
        </is>
      </c>
      <c r="O596" t="n">
        <v>-80</v>
      </c>
      <c r="P596" t="n">
        <v>0.005096</v>
      </c>
      <c r="Q596" t="n">
        <v>-90</v>
      </c>
      <c r="R596" t="n">
        <v>0.03522</v>
      </c>
      <c r="S596">
        <f>IMAGE("https://mitra.stanford.edu/kundaje/oak/projects/neuro-variants/variant_position/credible/roussos_2024/variant_figures/roussos_2024.adolescence.GLU/rs722354_count_position.png",4,220,900)</f>
        <v/>
      </c>
      <c r="T596">
        <f>IMAGE("https://mitra.stanford.edu/kundaje/oak/projects/neuro-variants/variant_position/credible/roussos_2024/variant_figures/roussos_2024.adolescence.GLU/rs722354_profile_position.png",4,220,900)</f>
        <v/>
      </c>
    </row>
    <row r="597">
      <c r="A597" t="inlineStr">
        <is>
          <t>chr11</t>
        </is>
      </c>
      <c r="B597" t="n">
        <v>104566928</v>
      </c>
      <c r="C597" t="inlineStr">
        <is>
          <t>G</t>
        </is>
      </c>
      <c r="D597" t="inlineStr">
        <is>
          <t>A</t>
        </is>
      </c>
      <c r="E597" t="inlineStr">
        <is>
          <t>rs34793132</t>
        </is>
      </c>
      <c r="F597" t="n">
        <v>-0.08568750360000001</v>
      </c>
      <c r="G597" t="n">
        <v>0.0147808589031563</v>
      </c>
      <c r="H597" t="n">
        <v>0.0136713467948074</v>
      </c>
      <c r="I597" t="n">
        <v>0.2604455746945835</v>
      </c>
      <c r="J597" t="n">
        <v>0.1835765980095876</v>
      </c>
      <c r="K597" t="n">
        <v>0.4273079489136295</v>
      </c>
      <c r="L597" t="b">
        <v>1</v>
      </c>
      <c r="M597" t="b">
        <v>0</v>
      </c>
      <c r="N597" t="inlineStr">
        <is>
          <t>ref</t>
        </is>
      </c>
      <c r="O597" t="n">
        <v>85</v>
      </c>
      <c r="P597" t="n">
        <v>0.005886</v>
      </c>
      <c r="Q597" t="n">
        <v>45</v>
      </c>
      <c r="R597" t="n">
        <v>0.0271</v>
      </c>
      <c r="S597">
        <f>IMAGE("https://mitra.stanford.edu/kundaje/oak/projects/neuro-variants/variant_position/credible/roussos_2024/variant_figures/roussos_2024.adolescence.GLU/rs34793132_count_position.png",4,220,900)</f>
        <v/>
      </c>
      <c r="T597">
        <f>IMAGE("https://mitra.stanford.edu/kundaje/oak/projects/neuro-variants/variant_position/credible/roussos_2024/variant_figures/roussos_2024.adolescence.GLU/rs34793132_profile_position.png",4,220,900)</f>
        <v/>
      </c>
    </row>
    <row r="598">
      <c r="A598" t="inlineStr">
        <is>
          <t>chr11</t>
        </is>
      </c>
      <c r="B598" t="n">
        <v>104574276</v>
      </c>
      <c r="C598" t="inlineStr">
        <is>
          <t>T</t>
        </is>
      </c>
      <c r="D598" t="inlineStr">
        <is>
          <t>C</t>
        </is>
      </c>
      <c r="E598" t="inlineStr">
        <is>
          <t>rs59832858</t>
        </is>
      </c>
      <c r="F598" t="n">
        <v>0.0441492684</v>
      </c>
      <c r="G598" t="n">
        <v>0.0822292995400724</v>
      </c>
      <c r="H598" t="n">
        <v>0.0171104442247123</v>
      </c>
      <c r="I598" t="n">
        <v>0.1101694562955214</v>
      </c>
      <c r="J598" t="n">
        <v>0.0265383543734058</v>
      </c>
      <c r="K598" t="n">
        <v>0.7871536099455868</v>
      </c>
      <c r="L598" t="b">
        <v>0</v>
      </c>
      <c r="M598" t="b">
        <v>0</v>
      </c>
      <c r="N598" t="inlineStr">
        <is>
          <t>alt</t>
        </is>
      </c>
      <c r="O598" t="n">
        <v>-100</v>
      </c>
      <c r="P598" t="n">
        <v>0.014145</v>
      </c>
      <c r="Q598" t="n">
        <v>-10</v>
      </c>
      <c r="R598" t="n">
        <v>0.00894</v>
      </c>
      <c r="S598">
        <f>IMAGE("https://mitra.stanford.edu/kundaje/oak/projects/neuro-variants/variant_position/credible/roussos_2024/variant_figures/roussos_2024.adolescence.GLU/rs59832858_count_position.png",4,220,900)</f>
        <v/>
      </c>
      <c r="T598">
        <f>IMAGE("https://mitra.stanford.edu/kundaje/oak/projects/neuro-variants/variant_position/credible/roussos_2024/variant_figures/roussos_2024.adolescence.GLU/rs59832858_profile_position.png",4,220,900)</f>
        <v/>
      </c>
    </row>
    <row r="599">
      <c r="A599" t="inlineStr">
        <is>
          <t>chr11</t>
        </is>
      </c>
      <c r="B599" t="n">
        <v>104592078</v>
      </c>
      <c r="C599" t="inlineStr">
        <is>
          <t>G</t>
        </is>
      </c>
      <c r="D599" t="inlineStr">
        <is>
          <t>C</t>
        </is>
      </c>
      <c r="E599" t="inlineStr">
        <is>
          <t>rs7927714</t>
        </is>
      </c>
      <c r="F599" t="n">
        <v>-0.328331786</v>
      </c>
      <c r="G599" t="n">
        <v>0.0001880386988032</v>
      </c>
      <c r="H599" t="n">
        <v>0.09982694502445839</v>
      </c>
      <c r="I599" t="n">
        <v>0.0002564290784616</v>
      </c>
      <c r="J599" t="n">
        <v>0.1157396889355652</v>
      </c>
      <c r="K599" t="n">
        <v>0.5343429920585604</v>
      </c>
      <c r="L599" t="b">
        <v>1</v>
      </c>
      <c r="M599" t="b">
        <v>1</v>
      </c>
      <c r="N599" t="inlineStr">
        <is>
          <t>ref</t>
        </is>
      </c>
      <c r="O599" t="n">
        <v>-90</v>
      </c>
      <c r="P599" t="n">
        <v>0.00928</v>
      </c>
      <c r="Q599" t="n">
        <v>0</v>
      </c>
      <c r="R599" t="n">
        <v>0</v>
      </c>
      <c r="S599">
        <f>IMAGE("https://mitra.stanford.edu/kundaje/oak/projects/neuro-variants/variant_position/credible/roussos_2024/variant_figures/roussos_2024.adolescence.GLU/rs7927714_count_position.png",4,220,900)</f>
        <v/>
      </c>
      <c r="T599">
        <f>IMAGE("https://mitra.stanford.edu/kundaje/oak/projects/neuro-variants/variant_position/credible/roussos_2024/variant_figures/roussos_2024.adolescence.GLU/rs7927714_profile_position.png",4,220,900)</f>
        <v/>
      </c>
    </row>
    <row r="600">
      <c r="A600" t="inlineStr">
        <is>
          <t>chr11</t>
        </is>
      </c>
      <c r="B600" t="n">
        <v>104594377</v>
      </c>
      <c r="C600" t="inlineStr">
        <is>
          <t>T</t>
        </is>
      </c>
      <c r="D600" t="inlineStr">
        <is>
          <t>G</t>
        </is>
      </c>
      <c r="E600" t="inlineStr">
        <is>
          <t>rs11226433</t>
        </is>
      </c>
      <c r="F600" t="n">
        <v>0.0192690149999999</v>
      </c>
      <c r="G600" t="n">
        <v>0.2955727849582596</v>
      </c>
      <c r="H600" t="n">
        <v>0.014364853380253</v>
      </c>
      <c r="I600" t="n">
        <v>0.2021229737623808</v>
      </c>
      <c r="J600" t="n">
        <v>0.1162483657329017</v>
      </c>
      <c r="K600" t="n">
        <v>0.529899055894719</v>
      </c>
      <c r="L600" t="b">
        <v>0</v>
      </c>
      <c r="M600" t="b">
        <v>0</v>
      </c>
      <c r="N600" t="inlineStr">
        <is>
          <t>alt</t>
        </is>
      </c>
      <c r="O600" t="n">
        <v>35</v>
      </c>
      <c r="P600" t="n">
        <v>0.00612</v>
      </c>
      <c r="Q600" t="n">
        <v>5</v>
      </c>
      <c r="R600" t="n">
        <v>0.001038</v>
      </c>
      <c r="S600">
        <f>IMAGE("https://mitra.stanford.edu/kundaje/oak/projects/neuro-variants/variant_position/credible/roussos_2024/variant_figures/roussos_2024.adolescence.GLU/rs11226433_count_position.png",4,220,900)</f>
        <v/>
      </c>
      <c r="T600">
        <f>IMAGE("https://mitra.stanford.edu/kundaje/oak/projects/neuro-variants/variant_position/credible/roussos_2024/variant_figures/roussos_2024.adolescence.GLU/rs11226433_profile_position.png",4,220,900)</f>
        <v/>
      </c>
    </row>
    <row r="601">
      <c r="A601" t="inlineStr">
        <is>
          <t>chr11</t>
        </is>
      </c>
      <c r="B601" t="n">
        <v>104610096</v>
      </c>
      <c r="C601" t="inlineStr">
        <is>
          <t>G</t>
        </is>
      </c>
      <c r="D601" t="inlineStr">
        <is>
          <t>C</t>
        </is>
      </c>
      <c r="E601" t="inlineStr">
        <is>
          <t>rs10895711</t>
        </is>
      </c>
      <c r="F601" t="n">
        <v>0.0508884375999999</v>
      </c>
      <c r="G601" t="n">
        <v>0.066252607128472</v>
      </c>
      <c r="H601" t="n">
        <v>0.0260092191481946</v>
      </c>
      <c r="I601" t="n">
        <v>0.0238559586152621</v>
      </c>
      <c r="J601" t="n">
        <v>0.1965521429438955</v>
      </c>
      <c r="K601" t="n">
        <v>0.4041099997134166</v>
      </c>
      <c r="L601" t="b">
        <v>0</v>
      </c>
      <c r="M601" t="b">
        <v>0</v>
      </c>
      <c r="N601" t="inlineStr">
        <is>
          <t>alt</t>
        </is>
      </c>
      <c r="O601" t="n">
        <v>-100</v>
      </c>
      <c r="P601" t="n">
        <v>0.02103</v>
      </c>
      <c r="Q601" t="n">
        <v>-95</v>
      </c>
      <c r="R601" t="n">
        <v>0.06909999999999999</v>
      </c>
      <c r="S601">
        <f>IMAGE("https://mitra.stanford.edu/kundaje/oak/projects/neuro-variants/variant_position/credible/roussos_2024/variant_figures/roussos_2024.adolescence.GLU/rs10895711_count_position.png",4,220,900)</f>
        <v/>
      </c>
      <c r="T601">
        <f>IMAGE("https://mitra.stanford.edu/kundaje/oak/projects/neuro-variants/variant_position/credible/roussos_2024/variant_figures/roussos_2024.adolescence.GLU/rs10895711_profile_position.png",4,220,900)</f>
        <v/>
      </c>
    </row>
    <row r="602">
      <c r="A602" t="inlineStr">
        <is>
          <t>chr11</t>
        </is>
      </c>
      <c r="B602" t="n">
        <v>104628386</v>
      </c>
      <c r="C602" t="inlineStr">
        <is>
          <t>C</t>
        </is>
      </c>
      <c r="D602" t="inlineStr">
        <is>
          <t>T</t>
        </is>
      </c>
      <c r="E602" t="inlineStr">
        <is>
          <t>rs12418899</t>
        </is>
      </c>
      <c r="F602" t="n">
        <v>-0.0788545084</v>
      </c>
      <c r="G602" t="n">
        <v>0.0157505075169664</v>
      </c>
      <c r="H602" t="n">
        <v>0.0151652124550874</v>
      </c>
      <c r="I602" t="n">
        <v>0.1557729147033481</v>
      </c>
      <c r="J602" t="n">
        <v>0.0504518793178586</v>
      </c>
      <c r="K602" t="n">
        <v>0.7001055930258646</v>
      </c>
      <c r="L602" t="b">
        <v>1</v>
      </c>
      <c r="M602" t="b">
        <v>0</v>
      </c>
      <c r="N602" t="inlineStr">
        <is>
          <t>ref</t>
        </is>
      </c>
      <c r="O602" t="n">
        <v>-100</v>
      </c>
      <c r="P602" t="n">
        <v>0.01651</v>
      </c>
      <c r="Q602" t="n">
        <v>20</v>
      </c>
      <c r="R602" t="n">
        <v>0.01868</v>
      </c>
      <c r="S602">
        <f>IMAGE("https://mitra.stanford.edu/kundaje/oak/projects/neuro-variants/variant_position/credible/roussos_2024/variant_figures/roussos_2024.adolescence.GLU/rs12418899_count_position.png",4,220,900)</f>
        <v/>
      </c>
      <c r="T602">
        <f>IMAGE("https://mitra.stanford.edu/kundaje/oak/projects/neuro-variants/variant_position/credible/roussos_2024/variant_figures/roussos_2024.adolescence.GLU/rs12418899_profile_position.png",4,220,900)</f>
        <v/>
      </c>
    </row>
    <row r="603">
      <c r="A603" t="inlineStr">
        <is>
          <t>chr11</t>
        </is>
      </c>
      <c r="B603" t="n">
        <v>104633688</v>
      </c>
      <c r="C603" t="inlineStr">
        <is>
          <t>G</t>
        </is>
      </c>
      <c r="D603" t="inlineStr">
        <is>
          <t>A</t>
        </is>
      </c>
      <c r="E603" t="inlineStr">
        <is>
          <t>rs16894</t>
        </is>
      </c>
      <c r="F603" t="n">
        <v>0.0005253664799999001</v>
      </c>
      <c r="G603" t="n">
        <v>0.8380868407821241</v>
      </c>
      <c r="H603" t="n">
        <v>0.0196214093090316</v>
      </c>
      <c r="I603" t="n">
        <v>0.055657470108739</v>
      </c>
      <c r="J603" t="n">
        <v>0.0638475112701916</v>
      </c>
      <c r="K603" t="n">
        <v>0.6556632667140251</v>
      </c>
      <c r="L603" t="b">
        <v>0</v>
      </c>
      <c r="M603" t="b">
        <v>0</v>
      </c>
      <c r="N603" t="inlineStr">
        <is>
          <t>alt</t>
        </is>
      </c>
      <c r="O603" t="n">
        <v>-85</v>
      </c>
      <c r="P603" t="n">
        <v>0.02847</v>
      </c>
      <c r="Q603" t="n">
        <v>-100</v>
      </c>
      <c r="R603" t="n">
        <v>0.04095</v>
      </c>
      <c r="S603">
        <f>IMAGE("https://mitra.stanford.edu/kundaje/oak/projects/neuro-variants/variant_position/credible/roussos_2024/variant_figures/roussos_2024.adolescence.GLU/rs16894_count_position.png",4,220,900)</f>
        <v/>
      </c>
      <c r="T603">
        <f>IMAGE("https://mitra.stanford.edu/kundaje/oak/projects/neuro-variants/variant_position/credible/roussos_2024/variant_figures/roussos_2024.adolescence.GLU/rs16894_profile_position.png",4,220,900)</f>
        <v/>
      </c>
    </row>
    <row r="604">
      <c r="A604" t="inlineStr">
        <is>
          <t>chr11</t>
        </is>
      </c>
      <c r="B604" t="n">
        <v>104653880</v>
      </c>
      <c r="C604" t="inlineStr">
        <is>
          <t>G</t>
        </is>
      </c>
      <c r="D604" t="inlineStr">
        <is>
          <t>A</t>
        </is>
      </c>
      <c r="E604" t="inlineStr">
        <is>
          <t>rs10895715</t>
        </is>
      </c>
      <c r="F604" t="n">
        <v>-0.0449441078</v>
      </c>
      <c r="G604" t="n">
        <v>0.08581063377676169</v>
      </c>
      <c r="H604" t="n">
        <v>0.0088694981868505</v>
      </c>
      <c r="I604" t="n">
        <v>0.6427745717393176</v>
      </c>
      <c r="J604" t="n">
        <v>0.1146508919704795</v>
      </c>
      <c r="K604" t="n">
        <v>0.541182718695056</v>
      </c>
      <c r="L604" t="b">
        <v>0</v>
      </c>
      <c r="M604" t="b">
        <v>0</v>
      </c>
      <c r="N604" t="inlineStr">
        <is>
          <t>ref</t>
        </is>
      </c>
      <c r="O604" t="n">
        <v>100</v>
      </c>
      <c r="P604" t="n">
        <v>0.02231</v>
      </c>
      <c r="Q604" t="n">
        <v>-60</v>
      </c>
      <c r="R604" t="n">
        <v>0.03955</v>
      </c>
      <c r="S604">
        <f>IMAGE("https://mitra.stanford.edu/kundaje/oak/projects/neuro-variants/variant_position/credible/roussos_2024/variant_figures/roussos_2024.adolescence.GLU/rs10895715_count_position.png",4,220,900)</f>
        <v/>
      </c>
      <c r="T604">
        <f>IMAGE("https://mitra.stanford.edu/kundaje/oak/projects/neuro-variants/variant_position/credible/roussos_2024/variant_figures/roussos_2024.adolescence.GLU/rs10895715_profile_position.png",4,220,900)</f>
        <v/>
      </c>
    </row>
    <row r="605">
      <c r="A605" t="inlineStr">
        <is>
          <t>chr11</t>
        </is>
      </c>
      <c r="B605" t="n">
        <v>104703675</v>
      </c>
      <c r="C605" t="inlineStr">
        <is>
          <t>C</t>
        </is>
      </c>
      <c r="D605" t="inlineStr">
        <is>
          <t>T</t>
        </is>
      </c>
      <c r="E605" t="inlineStr">
        <is>
          <t>rs1147010</t>
        </is>
      </c>
      <c r="F605" t="n">
        <v>-0.0318968939999999</v>
      </c>
      <c r="G605" t="n">
        <v>0.1688391062795908</v>
      </c>
      <c r="H605" t="n">
        <v>0.0147617321095512</v>
      </c>
      <c r="I605" t="n">
        <v>0.187885346267174</v>
      </c>
      <c r="J605" t="n">
        <v>0.0066085117631509</v>
      </c>
      <c r="K605" t="n">
        <v>0.9034425628560664</v>
      </c>
      <c r="L605" t="b">
        <v>0</v>
      </c>
      <c r="M605" t="b">
        <v>0</v>
      </c>
      <c r="N605" t="inlineStr">
        <is>
          <t>ref</t>
        </is>
      </c>
      <c r="O605" t="n">
        <v>80</v>
      </c>
      <c r="P605" t="n">
        <v>0.0004883</v>
      </c>
      <c r="Q605" t="n">
        <v>85</v>
      </c>
      <c r="R605" t="n">
        <v>0.04248</v>
      </c>
      <c r="S605">
        <f>IMAGE("https://mitra.stanford.edu/kundaje/oak/projects/neuro-variants/variant_position/credible/roussos_2024/variant_figures/roussos_2024.adolescence.GLU/rs1147010_count_position.png",4,220,900)</f>
        <v/>
      </c>
      <c r="T605">
        <f>IMAGE("https://mitra.stanford.edu/kundaje/oak/projects/neuro-variants/variant_position/credible/roussos_2024/variant_figures/roussos_2024.adolescence.GLU/rs1147010_profile_position.png",4,220,900)</f>
        <v/>
      </c>
    </row>
    <row r="606">
      <c r="A606" t="inlineStr">
        <is>
          <t>chr11</t>
        </is>
      </c>
      <c r="B606" t="n">
        <v>104796270</v>
      </c>
      <c r="C606" t="inlineStr">
        <is>
          <t>C</t>
        </is>
      </c>
      <c r="D606" t="inlineStr">
        <is>
          <t>A</t>
        </is>
      </c>
      <c r="E606" t="inlineStr">
        <is>
          <t>rs72972953</t>
        </is>
      </c>
      <c r="F606" t="n">
        <v>0.0030294893428</v>
      </c>
      <c r="G606" t="n">
        <v>0.798629620155735</v>
      </c>
      <c r="H606" t="n">
        <v>0.0214769541090913</v>
      </c>
      <c r="I606" t="n">
        <v>0.041946860065396</v>
      </c>
      <c r="J606" t="n">
        <v>0.1149266633802716</v>
      </c>
      <c r="K606" t="n">
        <v>0.5387628329850948</v>
      </c>
      <c r="L606" t="b">
        <v>0</v>
      </c>
      <c r="M606" t="b">
        <v>0</v>
      </c>
      <c r="N606" t="inlineStr">
        <is>
          <t>alt</t>
        </is>
      </c>
      <c r="O606" t="n">
        <v>85</v>
      </c>
      <c r="P606" t="n">
        <v>0.01692</v>
      </c>
      <c r="Q606" t="n">
        <v>100</v>
      </c>
      <c r="R606" t="n">
        <v>0.0834</v>
      </c>
      <c r="S606">
        <f>IMAGE("https://mitra.stanford.edu/kundaje/oak/projects/neuro-variants/variant_position/credible/roussos_2024/variant_figures/roussos_2024.adolescence.GLU/rs72972953_count_position.png",4,220,900)</f>
        <v/>
      </c>
      <c r="T606">
        <f>IMAGE("https://mitra.stanford.edu/kundaje/oak/projects/neuro-variants/variant_position/credible/roussos_2024/variant_figures/roussos_2024.adolescence.GLU/rs72972953_profile_position.png",4,220,900)</f>
        <v/>
      </c>
    </row>
    <row r="607">
      <c r="A607" t="inlineStr">
        <is>
          <t>chr11</t>
        </is>
      </c>
      <c r="B607" t="n">
        <v>104804375</v>
      </c>
      <c r="C607" t="inlineStr">
        <is>
          <t>A</t>
        </is>
      </c>
      <c r="D607" t="inlineStr">
        <is>
          <t>G</t>
        </is>
      </c>
      <c r="E607" t="inlineStr">
        <is>
          <t>rs6591097</t>
        </is>
      </c>
      <c r="F607" t="n">
        <v>-0.001251711374</v>
      </c>
      <c r="G607" t="n">
        <v>0.8403312527621755</v>
      </c>
      <c r="H607" t="n">
        <v>0.0182496403321988</v>
      </c>
      <c r="I607" t="n">
        <v>0.0807993066922507</v>
      </c>
      <c r="J607" t="n">
        <v>0.0135370898257495</v>
      </c>
      <c r="K607" t="n">
        <v>0.8525173358029909</v>
      </c>
      <c r="L607" t="b">
        <v>0</v>
      </c>
      <c r="M607" t="b">
        <v>0</v>
      </c>
      <c r="N607" t="inlineStr">
        <is>
          <t>ref</t>
        </is>
      </c>
      <c r="O607" t="n">
        <v>-100</v>
      </c>
      <c r="P607" t="n">
        <v>0.03857</v>
      </c>
      <c r="Q607" t="n">
        <v>-100</v>
      </c>
      <c r="R607" t="n">
        <v>0.0353</v>
      </c>
      <c r="S607">
        <f>IMAGE("https://mitra.stanford.edu/kundaje/oak/projects/neuro-variants/variant_position/credible/roussos_2024/variant_figures/roussos_2024.adolescence.GLU/rs6591097_count_position.png",4,220,900)</f>
        <v/>
      </c>
      <c r="T607">
        <f>IMAGE("https://mitra.stanford.edu/kundaje/oak/projects/neuro-variants/variant_position/credible/roussos_2024/variant_figures/roussos_2024.adolescence.GLU/rs6591097_profile_position.png",4,220,900)</f>
        <v/>
      </c>
    </row>
    <row r="608">
      <c r="A608" t="inlineStr">
        <is>
          <t>chr11</t>
        </is>
      </c>
      <c r="B608" t="n">
        <v>104807143</v>
      </c>
      <c r="C608" t="inlineStr">
        <is>
          <t>A</t>
        </is>
      </c>
      <c r="D608" t="inlineStr">
        <is>
          <t>T</t>
        </is>
      </c>
      <c r="E608" t="inlineStr">
        <is>
          <t>rs1144403</t>
        </is>
      </c>
      <c r="F608" t="n">
        <v>0.004925181331</v>
      </c>
      <c r="G608" t="n">
        <v>0.7022741791081506</v>
      </c>
      <c r="H608" t="n">
        <v>0.0080100057238788</v>
      </c>
      <c r="I608" t="n">
        <v>0.7536558376879349</v>
      </c>
      <c r="J608" t="n">
        <v>0.0068585635595944</v>
      </c>
      <c r="K608" t="n">
        <v>0.9059634812004368</v>
      </c>
      <c r="L608" t="b">
        <v>0</v>
      </c>
      <c r="M608" t="b">
        <v>0</v>
      </c>
      <c r="N608" t="inlineStr">
        <is>
          <t>alt</t>
        </is>
      </c>
      <c r="O608" t="n">
        <v>75</v>
      </c>
      <c r="P608" t="n">
        <v>0.0006104</v>
      </c>
      <c r="Q608" t="n">
        <v>-100</v>
      </c>
      <c r="R608" t="n">
        <v>0.02138</v>
      </c>
      <c r="S608">
        <f>IMAGE("https://mitra.stanford.edu/kundaje/oak/projects/neuro-variants/variant_position/credible/roussos_2024/variant_figures/roussos_2024.adolescence.GLU/rs1144403_count_position.png",4,220,900)</f>
        <v/>
      </c>
      <c r="T608">
        <f>IMAGE("https://mitra.stanford.edu/kundaje/oak/projects/neuro-variants/variant_position/credible/roussos_2024/variant_figures/roussos_2024.adolescence.GLU/rs1144403_profile_position.png",4,220,900)</f>
        <v/>
      </c>
    </row>
    <row r="609">
      <c r="A609" t="inlineStr">
        <is>
          <t>chr11</t>
        </is>
      </c>
      <c r="B609" t="n">
        <v>104812625</v>
      </c>
      <c r="C609" t="inlineStr">
        <is>
          <t>G</t>
        </is>
      </c>
      <c r="D609" t="inlineStr">
        <is>
          <t>C</t>
        </is>
      </c>
      <c r="E609" t="inlineStr">
        <is>
          <t>rs1529338</t>
        </is>
      </c>
      <c r="F609" t="n">
        <v>-0.0435007456</v>
      </c>
      <c r="G609" t="n">
        <v>0.0948525462001977</v>
      </c>
      <c r="H609" t="n">
        <v>0.0166745765731983</v>
      </c>
      <c r="I609" t="n">
        <v>0.1214773308872128</v>
      </c>
      <c r="J609" t="n">
        <v>0.1584971172600038</v>
      </c>
      <c r="K609" t="n">
        <v>0.4627693529386295</v>
      </c>
      <c r="L609" t="b">
        <v>0</v>
      </c>
      <c r="M609" t="b">
        <v>0</v>
      </c>
      <c r="N609" t="inlineStr">
        <is>
          <t>ref</t>
        </is>
      </c>
      <c r="O609" t="n">
        <v>10</v>
      </c>
      <c r="P609" t="n">
        <v>0.001785</v>
      </c>
      <c r="Q609" t="n">
        <v>10</v>
      </c>
      <c r="R609" t="n">
        <v>0.00818</v>
      </c>
      <c r="S609">
        <f>IMAGE("https://mitra.stanford.edu/kundaje/oak/projects/neuro-variants/variant_position/credible/roussos_2024/variant_figures/roussos_2024.adolescence.GLU/rs1529338_count_position.png",4,220,900)</f>
        <v/>
      </c>
      <c r="T609">
        <f>IMAGE("https://mitra.stanford.edu/kundaje/oak/projects/neuro-variants/variant_position/credible/roussos_2024/variant_figures/roussos_2024.adolescence.GLU/rs1529338_profile_position.png",4,220,900)</f>
        <v/>
      </c>
    </row>
    <row r="610">
      <c r="A610" t="inlineStr">
        <is>
          <t>chr11</t>
        </is>
      </c>
      <c r="B610" t="n">
        <v>104813115</v>
      </c>
      <c r="C610" t="inlineStr">
        <is>
          <t>G</t>
        </is>
      </c>
      <c r="D610" t="inlineStr">
        <is>
          <t>A</t>
        </is>
      </c>
      <c r="E610" t="inlineStr">
        <is>
          <t>rs4755059</t>
        </is>
      </c>
      <c r="F610" t="n">
        <v>-0.000870792622</v>
      </c>
      <c r="G610" t="n">
        <v>0.8786164893907341</v>
      </c>
      <c r="H610" t="n">
        <v>0.0159196249633491</v>
      </c>
      <c r="I610" t="n">
        <v>0.130495601431144</v>
      </c>
      <c r="J610" t="n">
        <v>0.0391809732015916</v>
      </c>
      <c r="K610" t="n">
        <v>0.7341870038346919</v>
      </c>
      <c r="L610" t="b">
        <v>0</v>
      </c>
      <c r="M610" t="b">
        <v>0</v>
      </c>
      <c r="N610" t="inlineStr">
        <is>
          <t>ref</t>
        </is>
      </c>
      <c r="O610" t="n">
        <v>-95</v>
      </c>
      <c r="P610" t="n">
        <v>0.01366</v>
      </c>
      <c r="Q610" t="n">
        <v>100</v>
      </c>
      <c r="R610" t="n">
        <v>0.05457</v>
      </c>
      <c r="S610">
        <f>IMAGE("https://mitra.stanford.edu/kundaje/oak/projects/neuro-variants/variant_position/credible/roussos_2024/variant_figures/roussos_2024.adolescence.GLU/rs4755059_count_position.png",4,220,900)</f>
        <v/>
      </c>
      <c r="T610">
        <f>IMAGE("https://mitra.stanford.edu/kundaje/oak/projects/neuro-variants/variant_position/credible/roussos_2024/variant_figures/roussos_2024.adolescence.GLU/rs4755059_profile_position.png",4,220,900)</f>
        <v/>
      </c>
    </row>
    <row r="611">
      <c r="A611" t="inlineStr">
        <is>
          <t>chr11</t>
        </is>
      </c>
      <c r="B611" t="n">
        <v>104820457</v>
      </c>
      <c r="C611" t="inlineStr">
        <is>
          <t>T</t>
        </is>
      </c>
      <c r="D611" t="inlineStr">
        <is>
          <t>C</t>
        </is>
      </c>
      <c r="E611" t="inlineStr">
        <is>
          <t>rs2555136</t>
        </is>
      </c>
      <c r="F611" t="n">
        <v>0.02510968654</v>
      </c>
      <c r="G611" t="n">
        <v>0.2340575868437886</v>
      </c>
      <c r="H611" t="n">
        <v>0.0155841097909442</v>
      </c>
      <c r="I611" t="n">
        <v>0.161836384521103</v>
      </c>
      <c r="J611" t="n">
        <v>0.0397253716841345</v>
      </c>
      <c r="K611" t="n">
        <v>0.7368553175707089</v>
      </c>
      <c r="L611" t="b">
        <v>0</v>
      </c>
      <c r="M611" t="b">
        <v>0</v>
      </c>
      <c r="N611" t="inlineStr">
        <is>
          <t>alt</t>
        </is>
      </c>
      <c r="O611" t="n">
        <v>-45</v>
      </c>
      <c r="P611" t="n">
        <v>0.00783</v>
      </c>
      <c r="Q611" t="n">
        <v>100</v>
      </c>
      <c r="R611" t="n">
        <v>0.09660000000000001</v>
      </c>
      <c r="S611">
        <f>IMAGE("https://mitra.stanford.edu/kundaje/oak/projects/neuro-variants/variant_position/credible/roussos_2024/variant_figures/roussos_2024.adolescence.GLU/rs2555136_count_position.png",4,220,900)</f>
        <v/>
      </c>
      <c r="T611">
        <f>IMAGE("https://mitra.stanford.edu/kundaje/oak/projects/neuro-variants/variant_position/credible/roussos_2024/variant_figures/roussos_2024.adolescence.GLU/rs2555136_profile_position.png",4,220,900)</f>
        <v/>
      </c>
    </row>
    <row r="612">
      <c r="A612" t="inlineStr">
        <is>
          <t>chr11</t>
        </is>
      </c>
      <c r="B612" t="n">
        <v>104821521</v>
      </c>
      <c r="C612" t="inlineStr">
        <is>
          <t>G</t>
        </is>
      </c>
      <c r="D612" t="inlineStr">
        <is>
          <t>A</t>
        </is>
      </c>
      <c r="E612" t="inlineStr">
        <is>
          <t>rs7131576</t>
        </is>
      </c>
      <c r="F612" t="n">
        <v>-0.0036837533879999</v>
      </c>
      <c r="G612" t="n">
        <v>0.7475228440555239</v>
      </c>
      <c r="H612" t="n">
        <v>0.0231581470556525</v>
      </c>
      <c r="I612" t="n">
        <v>0.0300452689426391</v>
      </c>
      <c r="J612" t="n">
        <v>0.0197469475819991</v>
      </c>
      <c r="K612" t="n">
        <v>0.8264760673800086</v>
      </c>
      <c r="L612" t="b">
        <v>0</v>
      </c>
      <c r="M612" t="b">
        <v>0</v>
      </c>
      <c r="N612" t="inlineStr">
        <is>
          <t>ref</t>
        </is>
      </c>
      <c r="O612" t="n">
        <v>-65</v>
      </c>
      <c r="P612" t="n">
        <v>0.00423</v>
      </c>
      <c r="Q612" t="n">
        <v>40</v>
      </c>
      <c r="R612" t="n">
        <v>0.01703</v>
      </c>
      <c r="S612">
        <f>IMAGE("https://mitra.stanford.edu/kundaje/oak/projects/neuro-variants/variant_position/credible/roussos_2024/variant_figures/roussos_2024.adolescence.GLU/rs7131576_count_position.png",4,220,900)</f>
        <v/>
      </c>
      <c r="T612">
        <f>IMAGE("https://mitra.stanford.edu/kundaje/oak/projects/neuro-variants/variant_position/credible/roussos_2024/variant_figures/roussos_2024.adolescence.GLU/rs7131576_profile_position.png",4,220,900)</f>
        <v/>
      </c>
    </row>
    <row r="613">
      <c r="A613" t="inlineStr">
        <is>
          <t>chr11</t>
        </is>
      </c>
      <c r="B613" t="n">
        <v>104825330</v>
      </c>
      <c r="C613" t="inlineStr">
        <is>
          <t>C</t>
        </is>
      </c>
      <c r="D613" t="inlineStr">
        <is>
          <t>T</t>
        </is>
      </c>
      <c r="E613" t="inlineStr">
        <is>
          <t>rs1030395</t>
        </is>
      </c>
      <c r="F613" t="n">
        <v>-0.0163097872</v>
      </c>
      <c r="G613" t="n">
        <v>0.3701926538332407</v>
      </c>
      <c r="H613" t="n">
        <v>0.0116578578120683</v>
      </c>
      <c r="I613" t="n">
        <v>0.3523381501211791</v>
      </c>
      <c r="J613" t="n">
        <v>0.0215287452400854</v>
      </c>
      <c r="K613" t="n">
        <v>0.8067908983577532</v>
      </c>
      <c r="L613" t="b">
        <v>0</v>
      </c>
      <c r="M613" t="b">
        <v>0</v>
      </c>
      <c r="N613" t="inlineStr">
        <is>
          <t>ref</t>
        </is>
      </c>
      <c r="O613" t="n">
        <v>-80</v>
      </c>
      <c r="P613" t="n">
        <v>0.005943</v>
      </c>
      <c r="Q613" t="n">
        <v>-90</v>
      </c>
      <c r="R613" t="n">
        <v>0.00471</v>
      </c>
      <c r="S613">
        <f>IMAGE("https://mitra.stanford.edu/kundaje/oak/projects/neuro-variants/variant_position/credible/roussos_2024/variant_figures/roussos_2024.adolescence.GLU/rs1030395_count_position.png",4,220,900)</f>
        <v/>
      </c>
      <c r="T613">
        <f>IMAGE("https://mitra.stanford.edu/kundaje/oak/projects/neuro-variants/variant_position/credible/roussos_2024/variant_figures/roussos_2024.adolescence.GLU/rs1030395_profile_position.png",4,220,900)</f>
        <v/>
      </c>
    </row>
    <row r="614">
      <c r="A614" t="inlineStr">
        <is>
          <t>chr11</t>
        </is>
      </c>
      <c r="B614" t="n">
        <v>104829767</v>
      </c>
      <c r="C614" t="inlineStr">
        <is>
          <t>T</t>
        </is>
      </c>
      <c r="D614" t="inlineStr">
        <is>
          <t>A</t>
        </is>
      </c>
      <c r="E614" t="inlineStr">
        <is>
          <t>rs10895736</t>
        </is>
      </c>
      <c r="F614" t="n">
        <v>0.0112768504</v>
      </c>
      <c r="G614" t="n">
        <v>0.4661421892024182</v>
      </c>
      <c r="H614" t="n">
        <v>0.0282179140088452</v>
      </c>
      <c r="I614" t="n">
        <v>0.0112751087132295</v>
      </c>
      <c r="J614" t="n">
        <v>0.0201413149866757</v>
      </c>
      <c r="K614" t="n">
        <v>0.8224257568123191</v>
      </c>
      <c r="L614" t="b">
        <v>1</v>
      </c>
      <c r="M614" t="b">
        <v>0</v>
      </c>
      <c r="N614" t="inlineStr">
        <is>
          <t>alt</t>
        </is>
      </c>
      <c r="O614" t="n">
        <v>-60</v>
      </c>
      <c r="P614" t="n">
        <v>0.02242</v>
      </c>
      <c r="Q614" t="n">
        <v>-5</v>
      </c>
      <c r="R614" t="n">
        <v>0.000454</v>
      </c>
      <c r="S614">
        <f>IMAGE("https://mitra.stanford.edu/kundaje/oak/projects/neuro-variants/variant_position/credible/roussos_2024/variant_figures/roussos_2024.adolescence.GLU/rs10895736_count_position.png",4,220,900)</f>
        <v/>
      </c>
      <c r="T614">
        <f>IMAGE("https://mitra.stanford.edu/kundaje/oak/projects/neuro-variants/variant_position/credible/roussos_2024/variant_figures/roussos_2024.adolescence.GLU/rs10895736_profile_position.png",4,220,900)</f>
        <v/>
      </c>
    </row>
    <row r="615">
      <c r="A615" t="inlineStr">
        <is>
          <t>chr11</t>
        </is>
      </c>
      <c r="B615" t="n">
        <v>104829957</v>
      </c>
      <c r="C615" t="inlineStr">
        <is>
          <t>T</t>
        </is>
      </c>
      <c r="D615" t="inlineStr">
        <is>
          <t>C</t>
        </is>
      </c>
      <c r="E615" t="inlineStr">
        <is>
          <t>rs10895737</t>
        </is>
      </c>
      <c r="F615" t="n">
        <v>0.00127789664</v>
      </c>
      <c r="G615" t="n">
        <v>0.8721910577782296</v>
      </c>
      <c r="H615" t="n">
        <v>0.0213337509639565</v>
      </c>
      <c r="I615" t="n">
        <v>0.0416917211044507</v>
      </c>
      <c r="J615" t="n">
        <v>0.0160876181494737</v>
      </c>
      <c r="K615" t="n">
        <v>0.8482833028366938</v>
      </c>
      <c r="L615" t="b">
        <v>0</v>
      </c>
      <c r="M615" t="b">
        <v>0</v>
      </c>
      <c r="N615" t="inlineStr">
        <is>
          <t>alt</t>
        </is>
      </c>
      <c r="O615" t="n">
        <v>-100</v>
      </c>
      <c r="P615" t="n">
        <v>0.02472</v>
      </c>
      <c r="Q615" t="n">
        <v>-20</v>
      </c>
      <c r="R615" t="n">
        <v>0.0332</v>
      </c>
      <c r="S615">
        <f>IMAGE("https://mitra.stanford.edu/kundaje/oak/projects/neuro-variants/variant_position/credible/roussos_2024/variant_figures/roussos_2024.adolescence.GLU/rs10895737_count_position.png",4,220,900)</f>
        <v/>
      </c>
      <c r="T615">
        <f>IMAGE("https://mitra.stanford.edu/kundaje/oak/projects/neuro-variants/variant_position/credible/roussos_2024/variant_figures/roussos_2024.adolescence.GLU/rs10895737_profile_position.png",4,220,900)</f>
        <v/>
      </c>
    </row>
    <row r="616">
      <c r="A616" t="inlineStr">
        <is>
          <t>chr11</t>
        </is>
      </c>
      <c r="B616" t="n">
        <v>104832911</v>
      </c>
      <c r="C616" t="inlineStr">
        <is>
          <t>G</t>
        </is>
      </c>
      <c r="D616" t="inlineStr">
        <is>
          <t>A</t>
        </is>
      </c>
      <c r="E616" t="inlineStr">
        <is>
          <t>rs7947634</t>
        </is>
      </c>
      <c r="F616" t="n">
        <v>-0.0137518223999999</v>
      </c>
      <c r="G616" t="n">
        <v>0.4192276526552115</v>
      </c>
      <c r="H616" t="n">
        <v>0.0085055834743614</v>
      </c>
      <c r="I616" t="n">
        <v>0.7210823849596585</v>
      </c>
      <c r="J616" t="n">
        <v>0.0174579019939844</v>
      </c>
      <c r="K616" t="n">
        <v>0.8367239951508008</v>
      </c>
      <c r="L616" t="b">
        <v>0</v>
      </c>
      <c r="M616" t="b">
        <v>0</v>
      </c>
      <c r="N616" t="inlineStr">
        <is>
          <t>ref</t>
        </is>
      </c>
      <c r="O616" t="n">
        <v>-100</v>
      </c>
      <c r="P616" t="n">
        <v>0.009445</v>
      </c>
      <c r="Q616" t="n">
        <v>-35</v>
      </c>
      <c r="R616" t="n">
        <v>0.01096</v>
      </c>
      <c r="S616">
        <f>IMAGE("https://mitra.stanford.edu/kundaje/oak/projects/neuro-variants/variant_position/credible/roussos_2024/variant_figures/roussos_2024.adolescence.GLU/rs7947634_count_position.png",4,220,900)</f>
        <v/>
      </c>
      <c r="T616">
        <f>IMAGE("https://mitra.stanford.edu/kundaje/oak/projects/neuro-variants/variant_position/credible/roussos_2024/variant_figures/roussos_2024.adolescence.GLU/rs7947634_profile_position.png",4,220,900)</f>
        <v/>
      </c>
    </row>
    <row r="617">
      <c r="A617" t="inlineStr">
        <is>
          <t>chr11</t>
        </is>
      </c>
      <c r="B617" t="n">
        <v>112393282</v>
      </c>
      <c r="C617" t="inlineStr">
        <is>
          <t>T</t>
        </is>
      </c>
      <c r="D617" t="inlineStr">
        <is>
          <t>G</t>
        </is>
      </c>
      <c r="E617" t="inlineStr">
        <is>
          <t>rs12576701</t>
        </is>
      </c>
      <c r="F617" t="n">
        <v>0.0462021264</v>
      </c>
      <c r="G617" t="n">
        <v>0.0743963488630561</v>
      </c>
      <c r="H617" t="n">
        <v>0.009304597257446401</v>
      </c>
      <c r="I617" t="n">
        <v>0.6159069941864311</v>
      </c>
      <c r="J617" t="n">
        <v>0.3864857720527823</v>
      </c>
      <c r="K617" t="n">
        <v>0.1794764212129294</v>
      </c>
      <c r="L617" t="b">
        <v>0</v>
      </c>
      <c r="M617" t="b">
        <v>0</v>
      </c>
      <c r="N617" t="inlineStr">
        <is>
          <t>alt</t>
        </is>
      </c>
      <c r="O617" t="n">
        <v>-95</v>
      </c>
      <c r="P617" t="n">
        <v>0.008704999999999999</v>
      </c>
      <c r="Q617" t="n">
        <v>-95</v>
      </c>
      <c r="R617" t="n">
        <v>0.06850000000000001</v>
      </c>
      <c r="S617">
        <f>IMAGE("https://mitra.stanford.edu/kundaje/oak/projects/neuro-variants/variant_position/credible/roussos_2024/variant_figures/roussos_2024.adolescence.GLU/rs12576701_count_position.png",4,220,900)</f>
        <v/>
      </c>
      <c r="T617">
        <f>IMAGE("https://mitra.stanford.edu/kundaje/oak/projects/neuro-variants/variant_position/credible/roussos_2024/variant_figures/roussos_2024.adolescence.GLU/rs12576701_profile_position.png",4,220,900)</f>
        <v/>
      </c>
    </row>
    <row r="618">
      <c r="A618" t="inlineStr">
        <is>
          <t>chr11</t>
        </is>
      </c>
      <c r="B618" t="n">
        <v>112393897</v>
      </c>
      <c r="C618" t="inlineStr">
        <is>
          <t>G</t>
        </is>
      </c>
      <c r="D618" t="inlineStr">
        <is>
          <t>A</t>
        </is>
      </c>
      <c r="E618" t="inlineStr">
        <is>
          <t>rs6589285</t>
        </is>
      </c>
      <c r="F618" t="n">
        <v>-0.00682536458</v>
      </c>
      <c r="G618" t="n">
        <v>0.6749827694144316</v>
      </c>
      <c r="H618" t="n">
        <v>0.0074022406439866</v>
      </c>
      <c r="I618" t="n">
        <v>0.8303484422865044</v>
      </c>
      <c r="J618" t="n">
        <v>0.1630966414471568</v>
      </c>
      <c r="K618" t="n">
        <v>0.4522434277168305</v>
      </c>
      <c r="L618" t="b">
        <v>0</v>
      </c>
      <c r="M618" t="b">
        <v>0</v>
      </c>
      <c r="N618" t="inlineStr">
        <is>
          <t>ref</t>
        </is>
      </c>
      <c r="O618" t="n">
        <v>0</v>
      </c>
      <c r="P618" t="n">
        <v>0</v>
      </c>
      <c r="Q618" t="n">
        <v>-95</v>
      </c>
      <c r="R618" t="n">
        <v>0.009735000000000001</v>
      </c>
      <c r="S618">
        <f>IMAGE("https://mitra.stanford.edu/kundaje/oak/projects/neuro-variants/variant_position/credible/roussos_2024/variant_figures/roussos_2024.adolescence.GLU/rs6589285_count_position.png",4,220,900)</f>
        <v/>
      </c>
      <c r="T618">
        <f>IMAGE("https://mitra.stanford.edu/kundaje/oak/projects/neuro-variants/variant_position/credible/roussos_2024/variant_figures/roussos_2024.adolescence.GLU/rs6589285_profile_position.png",4,220,900)</f>
        <v/>
      </c>
    </row>
    <row r="619">
      <c r="A619" t="inlineStr">
        <is>
          <t>chr11</t>
        </is>
      </c>
      <c r="B619" t="n">
        <v>112398241</v>
      </c>
      <c r="C619" t="inlineStr">
        <is>
          <t>T</t>
        </is>
      </c>
      <c r="D619" t="inlineStr">
        <is>
          <t>G</t>
        </is>
      </c>
      <c r="E619" t="inlineStr">
        <is>
          <t>rs4936065</t>
        </is>
      </c>
      <c r="F619" t="n">
        <v>-0.042859812</v>
      </c>
      <c r="G619" t="n">
        <v>0.0979102906787731</v>
      </c>
      <c r="H619" t="n">
        <v>0.0204975859157705</v>
      </c>
      <c r="I619" t="n">
        <v>0.0583648076584988</v>
      </c>
      <c r="J619" t="n">
        <v>0.2428045809489107</v>
      </c>
      <c r="K619" t="n">
        <v>0.3424348093607768</v>
      </c>
      <c r="L619" t="b">
        <v>0</v>
      </c>
      <c r="M619" t="b">
        <v>0</v>
      </c>
      <c r="N619" t="inlineStr">
        <is>
          <t>ref</t>
        </is>
      </c>
      <c r="O619" t="n">
        <v>5</v>
      </c>
      <c r="P619" t="n">
        <v>0.001099</v>
      </c>
      <c r="Q619" t="n">
        <v>50</v>
      </c>
      <c r="R619" t="n">
        <v>0.0327</v>
      </c>
      <c r="S619">
        <f>IMAGE("https://mitra.stanford.edu/kundaje/oak/projects/neuro-variants/variant_position/credible/roussos_2024/variant_figures/roussos_2024.adolescence.GLU/rs4936065_count_position.png",4,220,900)</f>
        <v/>
      </c>
      <c r="T619">
        <f>IMAGE("https://mitra.stanford.edu/kundaje/oak/projects/neuro-variants/variant_position/credible/roussos_2024/variant_figures/roussos_2024.adolescence.GLU/rs4936065_profile_position.png",4,220,900)</f>
        <v/>
      </c>
    </row>
    <row r="620">
      <c r="A620" t="inlineStr">
        <is>
          <t>chr11</t>
        </is>
      </c>
      <c r="B620" t="n">
        <v>112400682</v>
      </c>
      <c r="C620" t="inlineStr">
        <is>
          <t>C</t>
        </is>
      </c>
      <c r="D620" t="inlineStr">
        <is>
          <t>T</t>
        </is>
      </c>
      <c r="E620" t="inlineStr">
        <is>
          <t>rs12419862</t>
        </is>
      </c>
      <c r="F620" t="n">
        <v>0.014577269346</v>
      </c>
      <c r="G620" t="n">
        <v>0.4144675571106711</v>
      </c>
      <c r="H620" t="n">
        <v>0.011218180463943</v>
      </c>
      <c r="I620" t="n">
        <v>0.4146770138407442</v>
      </c>
      <c r="J620" t="n">
        <v>0.3575940730579906</v>
      </c>
      <c r="K620" t="n">
        <v>0.2081262727056633</v>
      </c>
      <c r="L620" t="b">
        <v>0</v>
      </c>
      <c r="M620" t="b">
        <v>0</v>
      </c>
      <c r="N620" t="inlineStr">
        <is>
          <t>alt</t>
        </is>
      </c>
      <c r="O620" t="n">
        <v>-80</v>
      </c>
      <c r="P620" t="n">
        <v>0.002537</v>
      </c>
      <c r="Q620" t="n">
        <v>-35</v>
      </c>
      <c r="R620" t="n">
        <v>0.01196</v>
      </c>
      <c r="S620">
        <f>IMAGE("https://mitra.stanford.edu/kundaje/oak/projects/neuro-variants/variant_position/credible/roussos_2024/variant_figures/roussos_2024.adolescence.GLU/rs12419862_count_position.png",4,220,900)</f>
        <v/>
      </c>
      <c r="T620">
        <f>IMAGE("https://mitra.stanford.edu/kundaje/oak/projects/neuro-variants/variant_position/credible/roussos_2024/variant_figures/roussos_2024.adolescence.GLU/rs12419862_profile_position.png",4,220,900)</f>
        <v/>
      </c>
    </row>
    <row r="621">
      <c r="A621" t="inlineStr">
        <is>
          <t>chr11</t>
        </is>
      </c>
      <c r="B621" t="n">
        <v>112400714</v>
      </c>
      <c r="C621" t="inlineStr">
        <is>
          <t>A</t>
        </is>
      </c>
      <c r="D621" t="inlineStr">
        <is>
          <t>C</t>
        </is>
      </c>
      <c r="E621" t="inlineStr">
        <is>
          <t>rs11214193</t>
        </is>
      </c>
      <c r="F621" t="n">
        <v>-0.0369761466</v>
      </c>
      <c r="G621" t="n">
        <v>0.1277428427462746</v>
      </c>
      <c r="H621" t="n">
        <v>0.0129437841100668</v>
      </c>
      <c r="I621" t="n">
        <v>0.255387270050412</v>
      </c>
      <c r="J621" t="n">
        <v>0.3568896414257238</v>
      </c>
      <c r="K621" t="n">
        <v>0.2089594541849269</v>
      </c>
      <c r="L621" t="b">
        <v>0</v>
      </c>
      <c r="M621" t="b">
        <v>0</v>
      </c>
      <c r="N621" t="inlineStr">
        <is>
          <t>ref</t>
        </is>
      </c>
      <c r="O621" t="n">
        <v>-65</v>
      </c>
      <c r="P621" t="n">
        <v>0.0009727</v>
      </c>
      <c r="Q621" t="n">
        <v>-45</v>
      </c>
      <c r="R621" t="n">
        <v>0.0569</v>
      </c>
      <c r="S621">
        <f>IMAGE("https://mitra.stanford.edu/kundaje/oak/projects/neuro-variants/variant_position/credible/roussos_2024/variant_figures/roussos_2024.adolescence.GLU/rs11214193_count_position.png",4,220,900)</f>
        <v/>
      </c>
      <c r="T621">
        <f>IMAGE("https://mitra.stanford.edu/kundaje/oak/projects/neuro-variants/variant_position/credible/roussos_2024/variant_figures/roussos_2024.adolescence.GLU/rs11214193_profile_position.png",4,220,900)</f>
        <v/>
      </c>
    </row>
    <row r="622">
      <c r="A622" t="inlineStr">
        <is>
          <t>chr11</t>
        </is>
      </c>
      <c r="B622" t="n">
        <v>112477663</v>
      </c>
      <c r="C622" t="inlineStr">
        <is>
          <t>G</t>
        </is>
      </c>
      <c r="D622" t="inlineStr">
        <is>
          <t>A</t>
        </is>
      </c>
      <c r="E622" t="inlineStr">
        <is>
          <t>rs11214222</t>
        </is>
      </c>
      <c r="F622" t="n">
        <v>-0.0617187392</v>
      </c>
      <c r="G622" t="n">
        <v>0.0375771694700777</v>
      </c>
      <c r="H622" t="n">
        <v>0.0166133067761013</v>
      </c>
      <c r="I622" t="n">
        <v>0.1026908703003804</v>
      </c>
      <c r="J622" t="n">
        <v>0.2798379664359046</v>
      </c>
      <c r="K622" t="n">
        <v>0.2947601073990564</v>
      </c>
      <c r="L622" t="b">
        <v>0</v>
      </c>
      <c r="M622" t="b">
        <v>0</v>
      </c>
      <c r="N622" t="inlineStr">
        <is>
          <t>ref</t>
        </is>
      </c>
      <c r="O622" t="n">
        <v>-5</v>
      </c>
      <c r="P622" t="n">
        <v>0.001602</v>
      </c>
      <c r="Q622" t="n">
        <v>25</v>
      </c>
      <c r="R622" t="n">
        <v>0.0002441</v>
      </c>
      <c r="S622">
        <f>IMAGE("https://mitra.stanford.edu/kundaje/oak/projects/neuro-variants/variant_position/credible/roussos_2024/variant_figures/roussos_2024.adolescence.GLU/rs11214222_count_position.png",4,220,900)</f>
        <v/>
      </c>
      <c r="T622">
        <f>IMAGE("https://mitra.stanford.edu/kundaje/oak/projects/neuro-variants/variant_position/credible/roussos_2024/variant_figures/roussos_2024.adolescence.GLU/rs11214222_profile_position.png",4,220,900)</f>
        <v/>
      </c>
    </row>
    <row r="623">
      <c r="A623" t="inlineStr">
        <is>
          <t>chr11</t>
        </is>
      </c>
      <c r="B623" t="n">
        <v>113094734</v>
      </c>
      <c r="C623" t="inlineStr">
        <is>
          <t>A</t>
        </is>
      </c>
      <c r="D623" t="inlineStr">
        <is>
          <t>G</t>
        </is>
      </c>
      <c r="E623" t="inlineStr">
        <is>
          <t>rs12279124</t>
        </is>
      </c>
      <c r="F623" t="n">
        <v>-0.01066603708</v>
      </c>
      <c r="G623" t="n">
        <v>0.5201654973855975</v>
      </c>
      <c r="H623" t="n">
        <v>0.0069186130612683</v>
      </c>
      <c r="I623" t="n">
        <v>0.9217597846838472</v>
      </c>
      <c r="J623" t="n">
        <v>0.1505211793871587</v>
      </c>
      <c r="K623" t="n">
        <v>0.4839130695827603</v>
      </c>
      <c r="L623" t="b">
        <v>0</v>
      </c>
      <c r="M623" t="b">
        <v>0</v>
      </c>
      <c r="N623" t="inlineStr">
        <is>
          <t>ref</t>
        </is>
      </c>
      <c r="O623" t="n">
        <v>45</v>
      </c>
      <c r="P623" t="n">
        <v>0.01167</v>
      </c>
      <c r="Q623" t="n">
        <v>-85</v>
      </c>
      <c r="R623" t="n">
        <v>0.03735</v>
      </c>
      <c r="S623">
        <f>IMAGE("https://mitra.stanford.edu/kundaje/oak/projects/neuro-variants/variant_position/credible/roussos_2024/variant_figures/roussos_2024.adolescence.GLU/rs12279124_count_position.png",4,220,900)</f>
        <v/>
      </c>
      <c r="T623">
        <f>IMAGE("https://mitra.stanford.edu/kundaje/oak/projects/neuro-variants/variant_position/credible/roussos_2024/variant_figures/roussos_2024.adolescence.GLU/rs12279124_profile_position.png",4,220,900)</f>
        <v/>
      </c>
    </row>
    <row r="624">
      <c r="A624" t="inlineStr">
        <is>
          <t>chr11</t>
        </is>
      </c>
      <c r="B624" t="n">
        <v>113099611</v>
      </c>
      <c r="C624" t="inlineStr">
        <is>
          <t>T</t>
        </is>
      </c>
      <c r="D624" t="inlineStr">
        <is>
          <t>C</t>
        </is>
      </c>
      <c r="E624" t="inlineStr">
        <is>
          <t>rs7946458</t>
        </is>
      </c>
      <c r="F624" t="n">
        <v>-0.0017320271</v>
      </c>
      <c r="G624" t="n">
        <v>0.844935344420475</v>
      </c>
      <c r="H624" t="n">
        <v>0.0138729321441859</v>
      </c>
      <c r="I624" t="n">
        <v>0.2103361656855026</v>
      </c>
      <c r="J624" t="n">
        <v>0.1332318837473476</v>
      </c>
      <c r="K624" t="n">
        <v>0.5120126066207912</v>
      </c>
      <c r="L624" t="b">
        <v>0</v>
      </c>
      <c r="M624" t="b">
        <v>0</v>
      </c>
      <c r="N624" t="inlineStr">
        <is>
          <t>ref</t>
        </is>
      </c>
      <c r="O624" t="n">
        <v>-25</v>
      </c>
      <c r="P624" t="n">
        <v>0.001101</v>
      </c>
      <c r="Q624" t="n">
        <v>-80</v>
      </c>
      <c r="R624" t="n">
        <v>0.12463</v>
      </c>
      <c r="S624">
        <f>IMAGE("https://mitra.stanford.edu/kundaje/oak/projects/neuro-variants/variant_position/credible/roussos_2024/variant_figures/roussos_2024.adolescence.GLU/rs7946458_count_position.png",4,220,900)</f>
        <v/>
      </c>
      <c r="T624">
        <f>IMAGE("https://mitra.stanford.edu/kundaje/oak/projects/neuro-variants/variant_position/credible/roussos_2024/variant_figures/roussos_2024.adolescence.GLU/rs7946458_profile_position.png",4,220,900)</f>
        <v/>
      </c>
    </row>
    <row r="625">
      <c r="A625" t="inlineStr">
        <is>
          <t>chr11</t>
        </is>
      </c>
      <c r="B625" t="n">
        <v>113102292</v>
      </c>
      <c r="C625" t="inlineStr">
        <is>
          <t>A</t>
        </is>
      </c>
      <c r="D625" t="inlineStr">
        <is>
          <t>G</t>
        </is>
      </c>
      <c r="E625" t="inlineStr">
        <is>
          <t>rs7118324</t>
        </is>
      </c>
      <c r="F625" t="n">
        <v>0.163965153</v>
      </c>
      <c r="G625" t="n">
        <v>0.0024619034252292</v>
      </c>
      <c r="H625" t="n">
        <v>0.08001109323919681</v>
      </c>
      <c r="I625" t="n">
        <v>0.0005227903208641</v>
      </c>
      <c r="J625" t="n">
        <v>0.0060169606561358</v>
      </c>
      <c r="K625" t="n">
        <v>0.9107209758917566</v>
      </c>
      <c r="L625" t="b">
        <v>1</v>
      </c>
      <c r="M625" t="b">
        <v>1</v>
      </c>
      <c r="N625" t="inlineStr">
        <is>
          <t>alt</t>
        </is>
      </c>
      <c r="O625" t="n">
        <v>-5</v>
      </c>
      <c r="P625" t="n">
        <v>0.0003357</v>
      </c>
      <c r="Q625" t="n">
        <v>85</v>
      </c>
      <c r="R625" t="n">
        <v>0.0636</v>
      </c>
      <c r="S625">
        <f>IMAGE("https://mitra.stanford.edu/kundaje/oak/projects/neuro-variants/variant_position/credible/roussos_2024/variant_figures/roussos_2024.adolescence.GLU/rs7118324_count_position.png",4,220,900)</f>
        <v/>
      </c>
      <c r="T625">
        <f>IMAGE("https://mitra.stanford.edu/kundaje/oak/projects/neuro-variants/variant_position/credible/roussos_2024/variant_figures/roussos_2024.adolescence.GLU/rs7118324_profile_position.png",4,220,900)</f>
        <v/>
      </c>
    </row>
    <row r="626">
      <c r="A626" t="inlineStr">
        <is>
          <t>chr11</t>
        </is>
      </c>
      <c r="B626" t="n">
        <v>113104464</v>
      </c>
      <c r="C626" t="inlineStr">
        <is>
          <t>A</t>
        </is>
      </c>
      <c r="D626" t="inlineStr">
        <is>
          <t>T</t>
        </is>
      </c>
      <c r="E626" t="inlineStr">
        <is>
          <t>rs12286447</t>
        </is>
      </c>
      <c r="F626" t="n">
        <v>0.00850181518</v>
      </c>
      <c r="G626" t="n">
        <v>0.562279955149379</v>
      </c>
      <c r="H626" t="n">
        <v>0.0175578759077278</v>
      </c>
      <c r="I626" t="n">
        <v>0.0920999811986246</v>
      </c>
      <c r="J626" t="n">
        <v>0.197072250680498</v>
      </c>
      <c r="K626" t="n">
        <v>0.41008421368931</v>
      </c>
      <c r="L626" t="b">
        <v>0</v>
      </c>
      <c r="M626" t="b">
        <v>0</v>
      </c>
      <c r="N626" t="inlineStr">
        <is>
          <t>alt</t>
        </is>
      </c>
      <c r="O626" t="n">
        <v>-100</v>
      </c>
      <c r="P626" t="n">
        <v>0.00493</v>
      </c>
      <c r="Q626" t="n">
        <v>100</v>
      </c>
      <c r="R626" t="n">
        <v>0.05994</v>
      </c>
      <c r="S626">
        <f>IMAGE("https://mitra.stanford.edu/kundaje/oak/projects/neuro-variants/variant_position/credible/roussos_2024/variant_figures/roussos_2024.adolescence.GLU/rs12286447_count_position.png",4,220,900)</f>
        <v/>
      </c>
      <c r="T626">
        <f>IMAGE("https://mitra.stanford.edu/kundaje/oak/projects/neuro-variants/variant_position/credible/roussos_2024/variant_figures/roussos_2024.adolescence.GLU/rs12286447_profile_position.png",4,220,900)</f>
        <v/>
      </c>
    </row>
    <row r="627">
      <c r="A627" t="inlineStr">
        <is>
          <t>chr11</t>
        </is>
      </c>
      <c r="B627" t="n">
        <v>113346642</v>
      </c>
      <c r="C627" t="inlineStr">
        <is>
          <t>A</t>
        </is>
      </c>
      <c r="D627" t="inlineStr">
        <is>
          <t>G</t>
        </is>
      </c>
      <c r="E627" t="inlineStr">
        <is>
          <t>rs3781884</t>
        </is>
      </c>
      <c r="F627" t="n">
        <v>-0.23273463</v>
      </c>
      <c r="G627" t="n">
        <v>0.0005891396913776001</v>
      </c>
      <c r="H627" t="n">
        <v>0.0838912353549021</v>
      </c>
      <c r="I627" t="n">
        <v>0.0003614862334748</v>
      </c>
      <c r="J627" t="n">
        <v>0.449798886912289</v>
      </c>
      <c r="K627" t="n">
        <v>0.1236221512428226</v>
      </c>
      <c r="L627" t="b">
        <v>1</v>
      </c>
      <c r="M627" t="b">
        <v>1</v>
      </c>
      <c r="N627" t="inlineStr">
        <is>
          <t>ref</t>
        </is>
      </c>
      <c r="O627" t="n">
        <v>65</v>
      </c>
      <c r="P627" t="n">
        <v>0.001465</v>
      </c>
      <c r="Q627" t="n">
        <v>-80</v>
      </c>
      <c r="R627" t="n">
        <v>0.02368</v>
      </c>
      <c r="S627">
        <f>IMAGE("https://mitra.stanford.edu/kundaje/oak/projects/neuro-variants/variant_position/credible/roussos_2024/variant_figures/roussos_2024.adolescence.GLU/rs3781884_count_position.png",4,220,900)</f>
        <v/>
      </c>
      <c r="T627">
        <f>IMAGE("https://mitra.stanford.edu/kundaje/oak/projects/neuro-variants/variant_position/credible/roussos_2024/variant_figures/roussos_2024.adolescence.GLU/rs3781884_profile_position.png",4,220,900)</f>
        <v/>
      </c>
    </row>
    <row r="628">
      <c r="A628" t="inlineStr">
        <is>
          <t>chr11</t>
        </is>
      </c>
      <c r="B628" t="n">
        <v>113467056</v>
      </c>
      <c r="C628" t="inlineStr">
        <is>
          <t>C</t>
        </is>
      </c>
      <c r="D628" t="inlineStr">
        <is>
          <t>T</t>
        </is>
      </c>
      <c r="E628" t="inlineStr">
        <is>
          <t>rs12421616</t>
        </is>
      </c>
      <c r="F628" t="n">
        <v>-0.0550460648</v>
      </c>
      <c r="G628" t="n">
        <v>0.0549231768539575</v>
      </c>
      <c r="H628" t="n">
        <v>0.0139494291458495</v>
      </c>
      <c r="I628" t="n">
        <v>0.2167387190674273</v>
      </c>
      <c r="J628" t="n">
        <v>0.2080902472655049</v>
      </c>
      <c r="K628" t="n">
        <v>0.3909015650051509</v>
      </c>
      <c r="L628" t="b">
        <v>0</v>
      </c>
      <c r="M628" t="b">
        <v>0</v>
      </c>
      <c r="N628" t="inlineStr">
        <is>
          <t>ref</t>
        </is>
      </c>
      <c r="O628" t="n">
        <v>-100</v>
      </c>
      <c r="P628" t="n">
        <v>0.002388</v>
      </c>
      <c r="Q628" t="n">
        <v>90</v>
      </c>
      <c r="R628" t="n">
        <v>0.01929</v>
      </c>
      <c r="S628">
        <f>IMAGE("https://mitra.stanford.edu/kundaje/oak/projects/neuro-variants/variant_position/credible/roussos_2024/variant_figures/roussos_2024.adolescence.GLU/rs12421616_count_position.png",4,220,900)</f>
        <v/>
      </c>
      <c r="T628">
        <f>IMAGE("https://mitra.stanford.edu/kundaje/oak/projects/neuro-variants/variant_position/credible/roussos_2024/variant_figures/roussos_2024.adolescence.GLU/rs12421616_profile_position.png",4,220,900)</f>
        <v/>
      </c>
    </row>
    <row r="629">
      <c r="A629" t="inlineStr">
        <is>
          <t>chr11</t>
        </is>
      </c>
      <c r="B629" t="n">
        <v>113484722</v>
      </c>
      <c r="C629" t="inlineStr">
        <is>
          <t>T</t>
        </is>
      </c>
      <c r="D629" t="inlineStr">
        <is>
          <t>C</t>
        </is>
      </c>
      <c r="E629" t="inlineStr">
        <is>
          <t>rs7121986</t>
        </is>
      </c>
      <c r="F629" t="n">
        <v>0.0474541956</v>
      </c>
      <c r="G629" t="n">
        <v>0.1122515173769332</v>
      </c>
      <c r="H629" t="n">
        <v>0.0169438943925298</v>
      </c>
      <c r="I629" t="n">
        <v>0.1778993834244096</v>
      </c>
      <c r="J629" t="n">
        <v>0.2961442012988404</v>
      </c>
      <c r="K629" t="n">
        <v>0.2753527969553277</v>
      </c>
      <c r="L629" t="b">
        <v>0</v>
      </c>
      <c r="M629" t="b">
        <v>0</v>
      </c>
      <c r="N629" t="inlineStr">
        <is>
          <t>alt</t>
        </is>
      </c>
      <c r="O629" t="n">
        <v>95</v>
      </c>
      <c r="P629" t="n">
        <v>0.003754</v>
      </c>
      <c r="Q629" t="n">
        <v>-80</v>
      </c>
      <c r="R629" t="n">
        <v>0.04065</v>
      </c>
      <c r="S629">
        <f>IMAGE("https://mitra.stanford.edu/kundaje/oak/projects/neuro-variants/variant_position/credible/roussos_2024/variant_figures/roussos_2024.adolescence.GLU/rs7121986_count_position.png",4,220,900)</f>
        <v/>
      </c>
      <c r="T629">
        <f>IMAGE("https://mitra.stanford.edu/kundaje/oak/projects/neuro-variants/variant_position/credible/roussos_2024/variant_figures/roussos_2024.adolescence.GLU/rs7121986_profile_position.png",4,220,900)</f>
        <v/>
      </c>
    </row>
    <row r="630">
      <c r="A630" t="inlineStr">
        <is>
          <t>chr11</t>
        </is>
      </c>
      <c r="B630" t="n">
        <v>113493925</v>
      </c>
      <c r="C630" t="inlineStr">
        <is>
          <t>G</t>
        </is>
      </c>
      <c r="D630" t="inlineStr">
        <is>
          <t>T</t>
        </is>
      </c>
      <c r="E630" t="inlineStr">
        <is>
          <t>rs4245150</t>
        </is>
      </c>
      <c r="F630" t="n">
        <v>0.00549654882</v>
      </c>
      <c r="G630" t="n">
        <v>0.7005570482699582</v>
      </c>
      <c r="H630" t="n">
        <v>0.0310673189033911</v>
      </c>
      <c r="I630" t="n">
        <v>0.0075007683090174</v>
      </c>
      <c r="J630" t="n">
        <v>0.1440669853040986</v>
      </c>
      <c r="K630" t="n">
        <v>0.4862092786971905</v>
      </c>
      <c r="L630" t="b">
        <v>1</v>
      </c>
      <c r="M630" t="b">
        <v>1</v>
      </c>
      <c r="N630" t="inlineStr">
        <is>
          <t>alt</t>
        </is>
      </c>
      <c r="O630" t="n">
        <v>80</v>
      </c>
      <c r="P630" t="n">
        <v>0.04462</v>
      </c>
      <c r="Q630" t="n">
        <v>-100</v>
      </c>
      <c r="R630" t="n">
        <v>0.1177</v>
      </c>
      <c r="S630">
        <f>IMAGE("https://mitra.stanford.edu/kundaje/oak/projects/neuro-variants/variant_position/credible/roussos_2024/variant_figures/roussos_2024.adolescence.GLU/rs4245150_count_position.png",4,220,900)</f>
        <v/>
      </c>
      <c r="T630">
        <f>IMAGE("https://mitra.stanford.edu/kundaje/oak/projects/neuro-variants/variant_position/credible/roussos_2024/variant_figures/roussos_2024.adolescence.GLU/rs4245150_profile_position.png",4,220,900)</f>
        <v/>
      </c>
    </row>
    <row r="631">
      <c r="A631" t="inlineStr">
        <is>
          <t>chr11</t>
        </is>
      </c>
      <c r="B631" t="n">
        <v>113493969</v>
      </c>
      <c r="C631" t="inlineStr">
        <is>
          <t>T</t>
        </is>
      </c>
      <c r="D631" t="inlineStr">
        <is>
          <t>C</t>
        </is>
      </c>
      <c r="E631" t="inlineStr">
        <is>
          <t>rs17602038</t>
        </is>
      </c>
      <c r="F631" t="n">
        <v>-0.00914330404</v>
      </c>
      <c r="G631" t="n">
        <v>0.5619294256662356</v>
      </c>
      <c r="H631" t="n">
        <v>0.0128180640946748</v>
      </c>
      <c r="I631" t="n">
        <v>0.2627767592124412</v>
      </c>
      <c r="J631" t="n">
        <v>0.1401033071136163</v>
      </c>
      <c r="K631" t="n">
        <v>0.4930318109464462</v>
      </c>
      <c r="L631" t="b">
        <v>0</v>
      </c>
      <c r="M631" t="b">
        <v>0</v>
      </c>
      <c r="N631" t="inlineStr">
        <is>
          <t>ref</t>
        </is>
      </c>
      <c r="O631" t="n">
        <v>70</v>
      </c>
      <c r="P631" t="n">
        <v>0.0532</v>
      </c>
      <c r="Q631" t="n">
        <v>-95</v>
      </c>
      <c r="R631" t="n">
        <v>0.05807</v>
      </c>
      <c r="S631">
        <f>IMAGE("https://mitra.stanford.edu/kundaje/oak/projects/neuro-variants/variant_position/credible/roussos_2024/variant_figures/roussos_2024.adolescence.GLU/rs17602038_count_position.png",4,220,900)</f>
        <v/>
      </c>
      <c r="T631">
        <f>IMAGE("https://mitra.stanford.edu/kundaje/oak/projects/neuro-variants/variant_position/credible/roussos_2024/variant_figures/roussos_2024.adolescence.GLU/rs17602038_profile_position.png",4,220,900)</f>
        <v/>
      </c>
    </row>
    <row r="632">
      <c r="A632" t="inlineStr">
        <is>
          <t>chr11</t>
        </is>
      </c>
      <c r="B632" t="n">
        <v>113530172</v>
      </c>
      <c r="C632" t="inlineStr">
        <is>
          <t>G</t>
        </is>
      </c>
      <c r="D632" t="inlineStr">
        <is>
          <t>A</t>
        </is>
      </c>
      <c r="E632" t="inlineStr">
        <is>
          <t>rs2514222</t>
        </is>
      </c>
      <c r="F632" t="n">
        <v>0.0204790748</v>
      </c>
      <c r="G632" t="n">
        <v>0.2668565687926553</v>
      </c>
      <c r="H632" t="n">
        <v>0.0081389194576714</v>
      </c>
      <c r="I632" t="n">
        <v>0.7639427575914728</v>
      </c>
      <c r="J632" t="n">
        <v>0.1774853362482228</v>
      </c>
      <c r="K632" t="n">
        <v>0.4376558946597321</v>
      </c>
      <c r="L632" t="b">
        <v>0</v>
      </c>
      <c r="M632" t="b">
        <v>0</v>
      </c>
      <c r="N632" t="inlineStr">
        <is>
          <t>alt</t>
        </is>
      </c>
      <c r="O632" t="n">
        <v>-90</v>
      </c>
      <c r="P632" t="n">
        <v>0.005913</v>
      </c>
      <c r="Q632" t="n">
        <v>85</v>
      </c>
      <c r="R632" t="n">
        <v>0.01675</v>
      </c>
      <c r="S632">
        <f>IMAGE("https://mitra.stanford.edu/kundaje/oak/projects/neuro-variants/variant_position/credible/roussos_2024/variant_figures/roussos_2024.adolescence.GLU/rs2514222_count_position.png",4,220,900)</f>
        <v/>
      </c>
      <c r="T632">
        <f>IMAGE("https://mitra.stanford.edu/kundaje/oak/projects/neuro-variants/variant_position/credible/roussos_2024/variant_figures/roussos_2024.adolescence.GLU/rs2514222_profile_position.png",4,220,900)</f>
        <v/>
      </c>
    </row>
    <row r="633">
      <c r="A633" t="inlineStr">
        <is>
          <t>chr11</t>
        </is>
      </c>
      <c r="B633" t="n">
        <v>113569572</v>
      </c>
      <c r="C633" t="inlineStr">
        <is>
          <t>G</t>
        </is>
      </c>
      <c r="D633" t="inlineStr">
        <is>
          <t>A</t>
        </is>
      </c>
      <c r="E633" t="inlineStr">
        <is>
          <t>rs115990434</t>
        </is>
      </c>
      <c r="F633" t="n">
        <v>-0.0263481276</v>
      </c>
      <c r="G633" t="n">
        <v>0.2142284986359075</v>
      </c>
      <c r="H633" t="n">
        <v>0.0139387682153285</v>
      </c>
      <c r="I633" t="n">
        <v>0.2156496468910015</v>
      </c>
      <c r="J633" t="n">
        <v>0.2024547942073714</v>
      </c>
      <c r="K633" t="n">
        <v>0.3999330960180826</v>
      </c>
      <c r="L633" t="b">
        <v>0</v>
      </c>
      <c r="M633" t="b">
        <v>0</v>
      </c>
      <c r="N633" t="inlineStr">
        <is>
          <t>ref</t>
        </is>
      </c>
      <c r="O633" t="n">
        <v>-95</v>
      </c>
      <c r="P633" t="n">
        <v>0.00954</v>
      </c>
      <c r="Q633" t="n">
        <v>75</v>
      </c>
      <c r="R633" t="n">
        <v>0.02863</v>
      </c>
      <c r="S633">
        <f>IMAGE("https://mitra.stanford.edu/kundaje/oak/projects/neuro-variants/variant_position/credible/roussos_2024/variant_figures/roussos_2024.adolescence.GLU/rs115990434_count_position.png",4,220,900)</f>
        <v/>
      </c>
      <c r="T633">
        <f>IMAGE("https://mitra.stanford.edu/kundaje/oak/projects/neuro-variants/variant_position/credible/roussos_2024/variant_figures/roussos_2024.adolescence.GLU/rs115990434_profile_position.png",4,220,900)</f>
        <v/>
      </c>
    </row>
    <row r="634">
      <c r="A634" t="inlineStr">
        <is>
          <t>chr11</t>
        </is>
      </c>
      <c r="B634" t="n">
        <v>113580177</v>
      </c>
      <c r="C634" t="inlineStr">
        <is>
          <t>A</t>
        </is>
      </c>
      <c r="D634" t="inlineStr">
        <is>
          <t>G</t>
        </is>
      </c>
      <c r="E634" t="inlineStr">
        <is>
          <t>rs59472562</t>
        </is>
      </c>
      <c r="F634" t="n">
        <v>0.08563673499999989</v>
      </c>
      <c r="G634" t="n">
        <v>0.0135879413924979</v>
      </c>
      <c r="H634" t="n">
        <v>0.0158672010578045</v>
      </c>
      <c r="I634" t="n">
        <v>0.1538374166477735</v>
      </c>
      <c r="J634" t="n">
        <v>0.3305327532131655</v>
      </c>
      <c r="K634" t="n">
        <v>0.2375441226977333</v>
      </c>
      <c r="L634" t="b">
        <v>1</v>
      </c>
      <c r="M634" t="b">
        <v>0</v>
      </c>
      <c r="N634" t="inlineStr">
        <is>
          <t>alt</t>
        </is>
      </c>
      <c r="O634" t="n">
        <v>-100</v>
      </c>
      <c r="P634" t="n">
        <v>0.00827</v>
      </c>
      <c r="Q634" t="n">
        <v>100</v>
      </c>
      <c r="R634" t="n">
        <v>0.1028</v>
      </c>
      <c r="S634">
        <f>IMAGE("https://mitra.stanford.edu/kundaje/oak/projects/neuro-variants/variant_position/credible/roussos_2024/variant_figures/roussos_2024.adolescence.GLU/rs59472562_count_position.png",4,220,900)</f>
        <v/>
      </c>
      <c r="T634">
        <f>IMAGE("https://mitra.stanford.edu/kundaje/oak/projects/neuro-variants/variant_position/credible/roussos_2024/variant_figures/roussos_2024.adolescence.GLU/rs59472562_profile_position.png",4,220,900)</f>
        <v/>
      </c>
    </row>
    <row r="635">
      <c r="A635" t="inlineStr">
        <is>
          <t>chr11</t>
        </is>
      </c>
      <c r="B635" t="n">
        <v>113590958</v>
      </c>
      <c r="C635" t="inlineStr">
        <is>
          <t>C</t>
        </is>
      </c>
      <c r="D635" t="inlineStr">
        <is>
          <t>A</t>
        </is>
      </c>
      <c r="E635" t="inlineStr">
        <is>
          <t>rs11607834</t>
        </is>
      </c>
      <c r="F635" t="n">
        <v>0.0025362511</v>
      </c>
      <c r="G635" t="n">
        <v>0.408823301971217</v>
      </c>
      <c r="H635" t="n">
        <v>0.0155302576745219</v>
      </c>
      <c r="I635" t="n">
        <v>0.1503994148848611</v>
      </c>
      <c r="J635" t="n">
        <v>0.2724864436204642</v>
      </c>
      <c r="K635" t="n">
        <v>0.3053015471986577</v>
      </c>
      <c r="L635" t="b">
        <v>0</v>
      </c>
      <c r="M635" t="b">
        <v>0</v>
      </c>
      <c r="N635" t="inlineStr">
        <is>
          <t>alt</t>
        </is>
      </c>
      <c r="O635" t="n">
        <v>-100</v>
      </c>
      <c r="P635" t="n">
        <v>0.006912</v>
      </c>
      <c r="Q635" t="n">
        <v>85</v>
      </c>
      <c r="R635" t="n">
        <v>0.0465</v>
      </c>
      <c r="S635">
        <f>IMAGE("https://mitra.stanford.edu/kundaje/oak/projects/neuro-variants/variant_position/credible/roussos_2024/variant_figures/roussos_2024.adolescence.GLU/rs11607834_count_position.png",4,220,900)</f>
        <v/>
      </c>
      <c r="T635">
        <f>IMAGE("https://mitra.stanford.edu/kundaje/oak/projects/neuro-variants/variant_position/credible/roussos_2024/variant_figures/roussos_2024.adolescence.GLU/rs11607834_profile_position.png",4,220,900)</f>
        <v/>
      </c>
    </row>
    <row r="636">
      <c r="A636" t="inlineStr">
        <is>
          <t>chr11</t>
        </is>
      </c>
      <c r="B636" t="n">
        <v>113590995</v>
      </c>
      <c r="C636" t="inlineStr">
        <is>
          <t>C</t>
        </is>
      </c>
      <c r="D636" t="inlineStr">
        <is>
          <t>G</t>
        </is>
      </c>
      <c r="E636" t="inlineStr">
        <is>
          <t>rs11607852</t>
        </is>
      </c>
      <c r="F636" t="n">
        <v>0.0542659794</v>
      </c>
      <c r="G636" t="n">
        <v>0.055508673110529</v>
      </c>
      <c r="H636" t="n">
        <v>0.0209043599907598</v>
      </c>
      <c r="I636" t="n">
        <v>0.0639594382827494</v>
      </c>
      <c r="J636" t="n">
        <v>0.2923934243521872</v>
      </c>
      <c r="K636" t="n">
        <v>0.2804954935253761</v>
      </c>
      <c r="L636" t="b">
        <v>0</v>
      </c>
      <c r="M636" t="b">
        <v>0</v>
      </c>
      <c r="N636" t="inlineStr">
        <is>
          <t>alt</t>
        </is>
      </c>
      <c r="O636" t="n">
        <v>-70</v>
      </c>
      <c r="P636" t="n">
        <v>0.003323</v>
      </c>
      <c r="Q636" t="n">
        <v>100</v>
      </c>
      <c r="R636" t="n">
        <v>0.10486</v>
      </c>
      <c r="S636">
        <f>IMAGE("https://mitra.stanford.edu/kundaje/oak/projects/neuro-variants/variant_position/credible/roussos_2024/variant_figures/roussos_2024.adolescence.GLU/rs11607852_count_position.png",4,220,900)</f>
        <v/>
      </c>
      <c r="T636">
        <f>IMAGE("https://mitra.stanford.edu/kundaje/oak/projects/neuro-variants/variant_position/credible/roussos_2024/variant_figures/roussos_2024.adolescence.GLU/rs11607852_profile_position.png",4,220,900)</f>
        <v/>
      </c>
    </row>
    <row r="637">
      <c r="A637" t="inlineStr">
        <is>
          <t>chr11</t>
        </is>
      </c>
      <c r="B637" t="n">
        <v>113633414</v>
      </c>
      <c r="C637" t="inlineStr">
        <is>
          <t>T</t>
        </is>
      </c>
      <c r="D637" t="inlineStr">
        <is>
          <t>C</t>
        </is>
      </c>
      <c r="E637" t="inlineStr">
        <is>
          <t>rs11605737</t>
        </is>
      </c>
      <c r="F637" t="n">
        <v>0.00811518418</v>
      </c>
      <c r="G637" t="n">
        <v>0.5618230052972008</v>
      </c>
      <c r="H637" t="n">
        <v>0.0125019674357721</v>
      </c>
      <c r="I637" t="n">
        <v>0.2950542027422251</v>
      </c>
      <c r="J637" t="n">
        <v>0.1575754977816832</v>
      </c>
      <c r="K637" t="n">
        <v>0.4681638968165711</v>
      </c>
      <c r="L637" t="b">
        <v>0</v>
      </c>
      <c r="M637" t="b">
        <v>0</v>
      </c>
      <c r="N637" t="inlineStr">
        <is>
          <t>alt</t>
        </is>
      </c>
      <c r="O637" t="n">
        <v>-95</v>
      </c>
      <c r="P637" t="n">
        <v>0.0005063999999999999</v>
      </c>
      <c r="Q637" t="n">
        <v>75</v>
      </c>
      <c r="R637" t="n">
        <v>0.0752</v>
      </c>
      <c r="S637">
        <f>IMAGE("https://mitra.stanford.edu/kundaje/oak/projects/neuro-variants/variant_position/credible/roussos_2024/variant_figures/roussos_2024.adolescence.GLU/rs11605737_count_position.png",4,220,900)</f>
        <v/>
      </c>
      <c r="T637">
        <f>IMAGE("https://mitra.stanford.edu/kundaje/oak/projects/neuro-variants/variant_position/credible/roussos_2024/variant_figures/roussos_2024.adolescence.GLU/rs11605737_profile_position.png",4,220,900)</f>
        <v/>
      </c>
    </row>
    <row r="638">
      <c r="A638" t="inlineStr">
        <is>
          <t>chr11</t>
        </is>
      </c>
      <c r="B638" t="n">
        <v>113633965</v>
      </c>
      <c r="C638" t="inlineStr">
        <is>
          <t>T</t>
        </is>
      </c>
      <c r="D638" t="inlineStr">
        <is>
          <t>A</t>
        </is>
      </c>
      <c r="E638" t="inlineStr">
        <is>
          <t>rs11606258</t>
        </is>
      </c>
      <c r="F638" t="n">
        <v>0.002702804382</v>
      </c>
      <c r="G638" t="n">
        <v>0.7489025165561178</v>
      </c>
      <c r="H638" t="n">
        <v>0.013299344399042</v>
      </c>
      <c r="I638" t="n">
        <v>0.2433721356852008</v>
      </c>
      <c r="J638" t="n">
        <v>0.146078830614913</v>
      </c>
      <c r="K638" t="n">
        <v>0.4847583338850781</v>
      </c>
      <c r="L638" t="b">
        <v>0</v>
      </c>
      <c r="M638" t="b">
        <v>0</v>
      </c>
      <c r="N638" t="inlineStr">
        <is>
          <t>alt</t>
        </is>
      </c>
      <c r="O638" t="n">
        <v>-100</v>
      </c>
      <c r="P638" t="n">
        <v>0.006332</v>
      </c>
      <c r="Q638" t="n">
        <v>50</v>
      </c>
      <c r="R638" t="n">
        <v>0.02078</v>
      </c>
      <c r="S638">
        <f>IMAGE("https://mitra.stanford.edu/kundaje/oak/projects/neuro-variants/variant_position/credible/roussos_2024/variant_figures/roussos_2024.adolescence.GLU/rs11606258_count_position.png",4,220,900)</f>
        <v/>
      </c>
      <c r="T638">
        <f>IMAGE("https://mitra.stanford.edu/kundaje/oak/projects/neuro-variants/variant_position/credible/roussos_2024/variant_figures/roussos_2024.adolescence.GLU/rs11606258_profile_position.png",4,220,900)</f>
        <v/>
      </c>
    </row>
    <row r="639">
      <c r="A639" t="inlineStr">
        <is>
          <t>chr11</t>
        </is>
      </c>
      <c r="B639" t="n">
        <v>113648213</v>
      </c>
      <c r="C639" t="inlineStr">
        <is>
          <t>A</t>
        </is>
      </c>
      <c r="D639" t="inlineStr">
        <is>
          <t>G</t>
        </is>
      </c>
      <c r="E639" t="inlineStr">
        <is>
          <t>rs17532254</t>
        </is>
      </c>
      <c r="F639" t="n">
        <v>-0.0053116401</v>
      </c>
      <c r="G639" t="n">
        <v>0.7401383186098576</v>
      </c>
      <c r="H639" t="n">
        <v>0.0262282304047731</v>
      </c>
      <c r="I639" t="n">
        <v>0.0157167322126124</v>
      </c>
      <c r="J639" t="n">
        <v>0.332183095069693</v>
      </c>
      <c r="K639" t="n">
        <v>0.2346752994883853</v>
      </c>
      <c r="L639" t="b">
        <v>1</v>
      </c>
      <c r="M639" t="b">
        <v>0</v>
      </c>
      <c r="N639" t="inlineStr">
        <is>
          <t>ref</t>
        </is>
      </c>
      <c r="O639" t="n">
        <v>-45</v>
      </c>
      <c r="P639" t="n">
        <v>0.01852</v>
      </c>
      <c r="Q639" t="n">
        <v>-30</v>
      </c>
      <c r="R639" t="n">
        <v>0.0547</v>
      </c>
      <c r="S639">
        <f>IMAGE("https://mitra.stanford.edu/kundaje/oak/projects/neuro-variants/variant_position/credible/roussos_2024/variant_figures/roussos_2024.adolescence.GLU/rs17532254_count_position.png",4,220,900)</f>
        <v/>
      </c>
      <c r="T639">
        <f>IMAGE("https://mitra.stanford.edu/kundaje/oak/projects/neuro-variants/variant_position/credible/roussos_2024/variant_figures/roussos_2024.adolescence.GLU/rs17532254_profile_position.png",4,220,900)</f>
        <v/>
      </c>
    </row>
    <row r="640">
      <c r="A640" t="inlineStr">
        <is>
          <t>chr11</t>
        </is>
      </c>
      <c r="B640" t="n">
        <v>113649400</v>
      </c>
      <c r="C640" t="inlineStr">
        <is>
          <t>A</t>
        </is>
      </c>
      <c r="D640" t="inlineStr">
        <is>
          <t>G</t>
        </is>
      </c>
      <c r="E640" t="inlineStr">
        <is>
          <t>rs11602504</t>
        </is>
      </c>
      <c r="F640" t="n">
        <v>0.0487124762</v>
      </c>
      <c r="G640" t="n">
        <v>0.066410618311787</v>
      </c>
      <c r="H640" t="n">
        <v>0.0201843274442743</v>
      </c>
      <c r="I640" t="n">
        <v>0.0590712733464147</v>
      </c>
      <c r="J640" t="n">
        <v>0.5887962506519209</v>
      </c>
      <c r="K640" t="n">
        <v>0.042127838065702</v>
      </c>
      <c r="L640" t="b">
        <v>0</v>
      </c>
      <c r="M640" t="b">
        <v>0</v>
      </c>
      <c r="N640" t="inlineStr">
        <is>
          <t>alt</t>
        </is>
      </c>
      <c r="O640" t="n">
        <v>100</v>
      </c>
      <c r="P640" t="n">
        <v>0.00627</v>
      </c>
      <c r="Q640" t="n">
        <v>5</v>
      </c>
      <c r="R640" t="n">
        <v>0.01624</v>
      </c>
      <c r="S640">
        <f>IMAGE("https://mitra.stanford.edu/kundaje/oak/projects/neuro-variants/variant_position/credible/roussos_2024/variant_figures/roussos_2024.adolescence.GLU/rs11602504_count_position.png",4,220,900)</f>
        <v/>
      </c>
      <c r="T640">
        <f>IMAGE("https://mitra.stanford.edu/kundaje/oak/projects/neuro-variants/variant_position/credible/roussos_2024/variant_figures/roussos_2024.adolescence.GLU/rs11602504_profile_position.png",4,220,900)</f>
        <v/>
      </c>
    </row>
    <row r="641">
      <c r="A641" t="inlineStr">
        <is>
          <t>chr11</t>
        </is>
      </c>
      <c r="B641" t="n">
        <v>113650237</v>
      </c>
      <c r="C641" t="inlineStr">
        <is>
          <t>C</t>
        </is>
      </c>
      <c r="D641" t="inlineStr">
        <is>
          <t>T</t>
        </is>
      </c>
      <c r="E641" t="inlineStr">
        <is>
          <t>rs61904990</t>
        </is>
      </c>
      <c r="F641" t="n">
        <v>0.0049315336</v>
      </c>
      <c r="G641" t="n">
        <v>0.3867281379053015</v>
      </c>
      <c r="H641" t="n">
        <v>0.0100581887440656</v>
      </c>
      <c r="I641" t="n">
        <v>0.5169917682078395</v>
      </c>
      <c r="J641" t="n">
        <v>0.3253631109301212</v>
      </c>
      <c r="K641" t="n">
        <v>0.243346939044842</v>
      </c>
      <c r="L641" t="b">
        <v>0</v>
      </c>
      <c r="M641" t="b">
        <v>0</v>
      </c>
      <c r="N641" t="inlineStr">
        <is>
          <t>alt</t>
        </is>
      </c>
      <c r="O641" t="n">
        <v>65</v>
      </c>
      <c r="P641" t="n">
        <v>0.00692</v>
      </c>
      <c r="Q641" t="n">
        <v>-100</v>
      </c>
      <c r="R641" t="n">
        <v>0.06238</v>
      </c>
      <c r="S641">
        <f>IMAGE("https://mitra.stanford.edu/kundaje/oak/projects/neuro-variants/variant_position/credible/roussos_2024/variant_figures/roussos_2024.adolescence.GLU/rs61904990_count_position.png",4,220,900)</f>
        <v/>
      </c>
      <c r="T641">
        <f>IMAGE("https://mitra.stanford.edu/kundaje/oak/projects/neuro-variants/variant_position/credible/roussos_2024/variant_figures/roussos_2024.adolescence.GLU/rs61904990_profile_position.png",4,220,900)</f>
        <v/>
      </c>
    </row>
    <row r="642">
      <c r="A642" t="inlineStr">
        <is>
          <t>chr11</t>
        </is>
      </c>
      <c r="B642" t="n">
        <v>113651868</v>
      </c>
      <c r="C642" t="inlineStr">
        <is>
          <t>T</t>
        </is>
      </c>
      <c r="D642" t="inlineStr">
        <is>
          <t>C</t>
        </is>
      </c>
      <c r="E642" t="inlineStr">
        <is>
          <t>rs17610915</t>
        </is>
      </c>
      <c r="F642" t="n">
        <v>0.0441704462</v>
      </c>
      <c r="G642" t="n">
        <v>0.0883424302316745</v>
      </c>
      <c r="H642" t="n">
        <v>0.0099248315869549</v>
      </c>
      <c r="I642" t="n">
        <v>0.549730336513317</v>
      </c>
      <c r="J642" t="n">
        <v>0.2310149959634495</v>
      </c>
      <c r="K642" t="n">
        <v>0.360165231974912</v>
      </c>
      <c r="L642" t="b">
        <v>0</v>
      </c>
      <c r="M642" t="b">
        <v>0</v>
      </c>
      <c r="N642" t="inlineStr">
        <is>
          <t>alt</t>
        </is>
      </c>
      <c r="O642" t="n">
        <v>25</v>
      </c>
      <c r="P642" t="n">
        <v>0.001898</v>
      </c>
      <c r="Q642" t="n">
        <v>-90</v>
      </c>
      <c r="R642" t="n">
        <v>0.0726</v>
      </c>
      <c r="S642">
        <f>IMAGE("https://mitra.stanford.edu/kundaje/oak/projects/neuro-variants/variant_position/credible/roussos_2024/variant_figures/roussos_2024.adolescence.GLU/rs17610915_count_position.png",4,220,900)</f>
        <v/>
      </c>
      <c r="T642">
        <f>IMAGE("https://mitra.stanford.edu/kundaje/oak/projects/neuro-variants/variant_position/credible/roussos_2024/variant_figures/roussos_2024.adolescence.GLU/rs17610915_profile_position.png",4,220,900)</f>
        <v/>
      </c>
    </row>
    <row r="643">
      <c r="A643" t="inlineStr">
        <is>
          <t>chr11</t>
        </is>
      </c>
      <c r="B643" t="n">
        <v>113652332</v>
      </c>
      <c r="C643" t="inlineStr">
        <is>
          <t>T</t>
        </is>
      </c>
      <c r="D643" t="inlineStr">
        <is>
          <t>G</t>
        </is>
      </c>
      <c r="E643" t="inlineStr">
        <is>
          <t>rs61904994</t>
        </is>
      </c>
      <c r="F643" t="n">
        <v>0.026879373</v>
      </c>
      <c r="G643" t="n">
        <v>0.1974512109460981</v>
      </c>
      <c r="H643" t="n">
        <v>0.0136901091488722</v>
      </c>
      <c r="I643" t="n">
        <v>0.2413760828204989</v>
      </c>
      <c r="J643" t="n">
        <v>0.2304834572875809</v>
      </c>
      <c r="K643" t="n">
        <v>0.3587126378317114</v>
      </c>
      <c r="L643" t="b">
        <v>0</v>
      </c>
      <c r="M643" t="b">
        <v>0</v>
      </c>
      <c r="N643" t="inlineStr">
        <is>
          <t>alt</t>
        </is>
      </c>
      <c r="O643" t="n">
        <v>35</v>
      </c>
      <c r="P643" t="n">
        <v>0.001514</v>
      </c>
      <c r="Q643" t="n">
        <v>55</v>
      </c>
      <c r="R643" t="n">
        <v>0.073</v>
      </c>
      <c r="S643">
        <f>IMAGE("https://mitra.stanford.edu/kundaje/oak/projects/neuro-variants/variant_position/credible/roussos_2024/variant_figures/roussos_2024.adolescence.GLU/rs61904994_count_position.png",4,220,900)</f>
        <v/>
      </c>
      <c r="T643">
        <f>IMAGE("https://mitra.stanford.edu/kundaje/oak/projects/neuro-variants/variant_position/credible/roussos_2024/variant_figures/roussos_2024.adolescence.GLU/rs61904994_profile_position.png",4,220,900)</f>
        <v/>
      </c>
    </row>
    <row r="644">
      <c r="A644" t="inlineStr">
        <is>
          <t>chr11</t>
        </is>
      </c>
      <c r="B644" t="n">
        <v>113653484</v>
      </c>
      <c r="C644" t="inlineStr">
        <is>
          <t>C</t>
        </is>
      </c>
      <c r="D644" t="inlineStr">
        <is>
          <t>T</t>
        </is>
      </c>
      <c r="E644" t="inlineStr">
        <is>
          <t>rs11600745</t>
        </is>
      </c>
      <c r="F644" t="n">
        <v>-0.00108406024</v>
      </c>
      <c r="G644" t="n">
        <v>0.6977335264020708</v>
      </c>
      <c r="H644" t="n">
        <v>0.0070933526020545</v>
      </c>
      <c r="I644" t="n">
        <v>0.896775514341125</v>
      </c>
      <c r="J644" t="n">
        <v>0.1170742510948696</v>
      </c>
      <c r="K644" t="n">
        <v>0.5407974814482384</v>
      </c>
      <c r="L644" t="b">
        <v>0</v>
      </c>
      <c r="M644" t="b">
        <v>0</v>
      </c>
      <c r="N644" t="inlineStr">
        <is>
          <t>ref</t>
        </is>
      </c>
      <c r="O644" t="n">
        <v>100</v>
      </c>
      <c r="P644" t="n">
        <v>0.00618</v>
      </c>
      <c r="Q644" t="n">
        <v>-90</v>
      </c>
      <c r="R644" t="n">
        <v>0.03</v>
      </c>
      <c r="S644">
        <f>IMAGE("https://mitra.stanford.edu/kundaje/oak/projects/neuro-variants/variant_position/credible/roussos_2024/variant_figures/roussos_2024.adolescence.GLU/rs11600745_count_position.png",4,220,900)</f>
        <v/>
      </c>
      <c r="T644">
        <f>IMAGE("https://mitra.stanford.edu/kundaje/oak/projects/neuro-variants/variant_position/credible/roussos_2024/variant_figures/roussos_2024.adolescence.GLU/rs11600745_profile_position.png",4,220,900)</f>
        <v/>
      </c>
    </row>
    <row r="645">
      <c r="A645" t="inlineStr">
        <is>
          <t>chr11</t>
        </is>
      </c>
      <c r="B645" t="n">
        <v>113654447</v>
      </c>
      <c r="C645" t="inlineStr">
        <is>
          <t>C</t>
        </is>
      </c>
      <c r="D645" t="inlineStr">
        <is>
          <t>T</t>
        </is>
      </c>
      <c r="E645" t="inlineStr">
        <is>
          <t>rs73004093</t>
        </is>
      </c>
      <c r="F645" t="n">
        <v>-0.052160805</v>
      </c>
      <c r="G645" t="n">
        <v>0.0593681284297532</v>
      </c>
      <c r="H645" t="n">
        <v>0.0107919615479284</v>
      </c>
      <c r="I645" t="n">
        <v>0.4416644886867751</v>
      </c>
      <c r="J645" t="n">
        <v>0.1253473933886305</v>
      </c>
      <c r="K645" t="n">
        <v>0.5243994376753782</v>
      </c>
      <c r="L645" t="b">
        <v>0</v>
      </c>
      <c r="M645" t="b">
        <v>0</v>
      </c>
      <c r="N645" t="inlineStr">
        <is>
          <t>ref</t>
        </is>
      </c>
      <c r="O645" t="n">
        <v>70</v>
      </c>
      <c r="P645" t="n">
        <v>0.005745</v>
      </c>
      <c r="Q645" t="n">
        <v>5</v>
      </c>
      <c r="R645" t="n">
        <v>0.00787</v>
      </c>
      <c r="S645">
        <f>IMAGE("https://mitra.stanford.edu/kundaje/oak/projects/neuro-variants/variant_position/credible/roussos_2024/variant_figures/roussos_2024.adolescence.GLU/rs73004093_count_position.png",4,220,900)</f>
        <v/>
      </c>
      <c r="T645">
        <f>IMAGE("https://mitra.stanford.edu/kundaje/oak/projects/neuro-variants/variant_position/credible/roussos_2024/variant_figures/roussos_2024.adolescence.GLU/rs73004093_profile_position.png",4,220,900)</f>
        <v/>
      </c>
    </row>
    <row r="646">
      <c r="A646" t="inlineStr">
        <is>
          <t>chr11</t>
        </is>
      </c>
      <c r="B646" t="n">
        <v>113655426</v>
      </c>
      <c r="C646" t="inlineStr">
        <is>
          <t>C</t>
        </is>
      </c>
      <c r="D646" t="inlineStr">
        <is>
          <t>T</t>
        </is>
      </c>
      <c r="E646" t="inlineStr">
        <is>
          <t>rs11601890</t>
        </is>
      </c>
      <c r="F646" t="n">
        <v>0.04184061426</v>
      </c>
      <c r="G646" t="n">
        <v>0.0989091195910807</v>
      </c>
      <c r="H646" t="n">
        <v>0.0154494243520598</v>
      </c>
      <c r="I646" t="n">
        <v>0.1694486655767899</v>
      </c>
      <c r="J646" t="n">
        <v>0.07506983589457809</v>
      </c>
      <c r="K646" t="n">
        <v>0.627888339123714</v>
      </c>
      <c r="L646" t="b">
        <v>0</v>
      </c>
      <c r="M646" t="b">
        <v>0</v>
      </c>
      <c r="N646" t="inlineStr">
        <is>
          <t>alt</t>
        </is>
      </c>
      <c r="O646" t="n">
        <v>90</v>
      </c>
      <c r="P646" t="n">
        <v>0.002396</v>
      </c>
      <c r="Q646" t="n">
        <v>-45</v>
      </c>
      <c r="R646" t="n">
        <v>0.03915</v>
      </c>
      <c r="S646">
        <f>IMAGE("https://mitra.stanford.edu/kundaje/oak/projects/neuro-variants/variant_position/credible/roussos_2024/variant_figures/roussos_2024.adolescence.GLU/rs11601890_count_position.png",4,220,900)</f>
        <v/>
      </c>
      <c r="T646">
        <f>IMAGE("https://mitra.stanford.edu/kundaje/oak/projects/neuro-variants/variant_position/credible/roussos_2024/variant_figures/roussos_2024.adolescence.GLU/rs11601890_profile_position.png",4,220,900)</f>
        <v/>
      </c>
    </row>
    <row r="647">
      <c r="A647" t="inlineStr">
        <is>
          <t>chr11</t>
        </is>
      </c>
      <c r="B647" t="n">
        <v>113656345</v>
      </c>
      <c r="C647" t="inlineStr">
        <is>
          <t>T</t>
        </is>
      </c>
      <c r="D647" t="inlineStr">
        <is>
          <t>A</t>
        </is>
      </c>
      <c r="E647" t="inlineStr">
        <is>
          <t>rs11601548</t>
        </is>
      </c>
      <c r="F647" t="n">
        <v>0.0135857096599999</v>
      </c>
      <c r="G647" t="n">
        <v>0.4089047196554541</v>
      </c>
      <c r="H647" t="n">
        <v>0.008990752026324199</v>
      </c>
      <c r="I647" t="n">
        <v>0.6581420970319272</v>
      </c>
      <c r="J647" t="n">
        <v>0.4092404855291452</v>
      </c>
      <c r="K647" t="n">
        <v>0.1594565928896495</v>
      </c>
      <c r="L647" t="b">
        <v>0</v>
      </c>
      <c r="M647" t="b">
        <v>0</v>
      </c>
      <c r="N647" t="inlineStr">
        <is>
          <t>alt</t>
        </is>
      </c>
      <c r="O647" t="n">
        <v>10</v>
      </c>
      <c r="P647" t="n">
        <v>0.0007973</v>
      </c>
      <c r="Q647" t="n">
        <v>40</v>
      </c>
      <c r="R647" t="n">
        <v>0.06805</v>
      </c>
      <c r="S647">
        <f>IMAGE("https://mitra.stanford.edu/kundaje/oak/projects/neuro-variants/variant_position/credible/roussos_2024/variant_figures/roussos_2024.adolescence.GLU/rs11601548_count_position.png",4,220,900)</f>
        <v/>
      </c>
      <c r="T647">
        <f>IMAGE("https://mitra.stanford.edu/kundaje/oak/projects/neuro-variants/variant_position/credible/roussos_2024/variant_figures/roussos_2024.adolescence.GLU/rs11601548_profile_position.png",4,220,900)</f>
        <v/>
      </c>
    </row>
    <row r="648">
      <c r="A648" t="inlineStr">
        <is>
          <t>chr11</t>
        </is>
      </c>
      <c r="B648" t="n">
        <v>113656479</v>
      </c>
      <c r="C648" t="inlineStr">
        <is>
          <t>G</t>
        </is>
      </c>
      <c r="D648" t="inlineStr">
        <is>
          <t>A</t>
        </is>
      </c>
      <c r="E648" t="inlineStr">
        <is>
          <t>rs11607747</t>
        </is>
      </c>
      <c r="F648" t="n">
        <v>-0.099632768</v>
      </c>
      <c r="G648" t="n">
        <v>0.0079284067130701</v>
      </c>
      <c r="H648" t="n">
        <v>0.0178150110622411</v>
      </c>
      <c r="I648" t="n">
        <v>0.095609656996286</v>
      </c>
      <c r="J648" t="n">
        <v>0.4856877496052753</v>
      </c>
      <c r="K648" t="n">
        <v>0.0985719631405873</v>
      </c>
      <c r="L648" t="b">
        <v>1</v>
      </c>
      <c r="M648" t="b">
        <v>1</v>
      </c>
      <c r="N648" t="inlineStr">
        <is>
          <t>ref</t>
        </is>
      </c>
      <c r="O648" t="n">
        <v>90</v>
      </c>
      <c r="P648" t="n">
        <v>0.007996</v>
      </c>
      <c r="Q648" t="n">
        <v>85</v>
      </c>
      <c r="R648" t="n">
        <v>0.1575</v>
      </c>
      <c r="S648">
        <f>IMAGE("https://mitra.stanford.edu/kundaje/oak/projects/neuro-variants/variant_position/credible/roussos_2024/variant_figures/roussos_2024.adolescence.GLU/rs11607747_count_position.png",4,220,900)</f>
        <v/>
      </c>
      <c r="T648">
        <f>IMAGE("https://mitra.stanford.edu/kundaje/oak/projects/neuro-variants/variant_position/credible/roussos_2024/variant_figures/roussos_2024.adolescence.GLU/rs11607747_profile_position.png",4,220,900)</f>
        <v/>
      </c>
    </row>
    <row r="649">
      <c r="A649" t="inlineStr">
        <is>
          <t>chr11</t>
        </is>
      </c>
      <c r="B649" t="n">
        <v>113663015</v>
      </c>
      <c r="C649" t="inlineStr">
        <is>
          <t>G</t>
        </is>
      </c>
      <c r="D649" t="inlineStr">
        <is>
          <t>A</t>
        </is>
      </c>
      <c r="E649" t="inlineStr">
        <is>
          <t>rs11603480</t>
        </is>
      </c>
      <c r="F649" t="n">
        <v>0.0103730154</v>
      </c>
      <c r="G649" t="n">
        <v>0.389737074266023</v>
      </c>
      <c r="H649" t="n">
        <v>0.0148625380667692</v>
      </c>
      <c r="I649" t="n">
        <v>0.1597699104299213</v>
      </c>
      <c r="J649" t="n">
        <v>0.07409677718956061</v>
      </c>
      <c r="K649" t="n">
        <v>0.6399536799934763</v>
      </c>
      <c r="L649" t="b">
        <v>0</v>
      </c>
      <c r="M649" t="b">
        <v>0</v>
      </c>
      <c r="N649" t="inlineStr">
        <is>
          <t>alt</t>
        </is>
      </c>
      <c r="O649" t="n">
        <v>40</v>
      </c>
      <c r="P649" t="n">
        <v>0.00264</v>
      </c>
      <c r="Q649" t="n">
        <v>100</v>
      </c>
      <c r="R649" t="n">
        <v>0.0853</v>
      </c>
      <c r="S649">
        <f>IMAGE("https://mitra.stanford.edu/kundaje/oak/projects/neuro-variants/variant_position/credible/roussos_2024/variant_figures/roussos_2024.adolescence.GLU/rs11603480_count_position.png",4,220,900)</f>
        <v/>
      </c>
      <c r="T649">
        <f>IMAGE("https://mitra.stanford.edu/kundaje/oak/projects/neuro-variants/variant_position/credible/roussos_2024/variant_figures/roussos_2024.adolescence.GLU/rs11603480_profile_position.png",4,220,900)</f>
        <v/>
      </c>
    </row>
    <row r="650">
      <c r="A650" t="inlineStr">
        <is>
          <t>chr11</t>
        </is>
      </c>
      <c r="B650" t="n">
        <v>123401386</v>
      </c>
      <c r="C650" t="inlineStr">
        <is>
          <t>T</t>
        </is>
      </c>
      <c r="D650" t="inlineStr">
        <is>
          <t>C</t>
        </is>
      </c>
      <c r="E650" t="inlineStr">
        <is>
          <t>rs6590000</t>
        </is>
      </c>
      <c r="F650" t="n">
        <v>0.0160472412</v>
      </c>
      <c r="G650" t="n">
        <v>0.3821790340242125</v>
      </c>
      <c r="H650" t="n">
        <v>0.007701072206826</v>
      </c>
      <c r="I650" t="n">
        <v>0.8150620087861287</v>
      </c>
      <c r="J650" t="n">
        <v>0.2823184802566245</v>
      </c>
      <c r="K650" t="n">
        <v>0.2938129515029888</v>
      </c>
      <c r="L650" t="b">
        <v>0</v>
      </c>
      <c r="M650" t="b">
        <v>0</v>
      </c>
      <c r="N650" t="inlineStr">
        <is>
          <t>alt</t>
        </is>
      </c>
      <c r="O650" t="n">
        <v>95</v>
      </c>
      <c r="P650" t="n">
        <v>0.009979999999999999</v>
      </c>
      <c r="Q650" t="n">
        <v>-75</v>
      </c>
      <c r="R650" t="n">
        <v>0.04755</v>
      </c>
      <c r="S650">
        <f>IMAGE("https://mitra.stanford.edu/kundaje/oak/projects/neuro-variants/variant_position/credible/roussos_2024/variant_figures/roussos_2024.adolescence.GLU/rs6590000_count_position.png",4,220,900)</f>
        <v/>
      </c>
      <c r="T650">
        <f>IMAGE("https://mitra.stanford.edu/kundaje/oak/projects/neuro-variants/variant_position/credible/roussos_2024/variant_figures/roussos_2024.adolescence.GLU/rs6590000_profile_position.png",4,220,900)</f>
        <v/>
      </c>
    </row>
    <row r="651">
      <c r="A651" t="inlineStr">
        <is>
          <t>chr11</t>
        </is>
      </c>
      <c r="B651" t="n">
        <v>123504651</v>
      </c>
      <c r="C651" t="inlineStr">
        <is>
          <t>T</t>
        </is>
      </c>
      <c r="D651" t="inlineStr">
        <is>
          <t>C</t>
        </is>
      </c>
      <c r="E651" t="inlineStr">
        <is>
          <t>rs11219174</t>
        </is>
      </c>
      <c r="F651" t="n">
        <v>-0.0399076482</v>
      </c>
      <c r="G651" t="n">
        <v>0.1207063463918559</v>
      </c>
      <c r="H651" t="n">
        <v>0.0157636833996204</v>
      </c>
      <c r="I651" t="n">
        <v>0.1560355588357755</v>
      </c>
      <c r="J651" t="n">
        <v>0.2630030506319166</v>
      </c>
      <c r="K651" t="n">
        <v>0.314342582413944</v>
      </c>
      <c r="L651" t="b">
        <v>0</v>
      </c>
      <c r="M651" t="b">
        <v>0</v>
      </c>
      <c r="N651" t="inlineStr">
        <is>
          <t>ref</t>
        </is>
      </c>
      <c r="O651" t="n">
        <v>-60</v>
      </c>
      <c r="P651" t="n">
        <v>0.004547</v>
      </c>
      <c r="Q651" t="n">
        <v>-65</v>
      </c>
      <c r="R651" t="n">
        <v>0.06809999999999999</v>
      </c>
      <c r="S651">
        <f>IMAGE("https://mitra.stanford.edu/kundaje/oak/projects/neuro-variants/variant_position/credible/roussos_2024/variant_figures/roussos_2024.adolescence.GLU/rs11219174_count_position.png",4,220,900)</f>
        <v/>
      </c>
      <c r="T651">
        <f>IMAGE("https://mitra.stanford.edu/kundaje/oak/projects/neuro-variants/variant_position/credible/roussos_2024/variant_figures/roussos_2024.adolescence.GLU/rs11219174_profile_position.png",4,220,900)</f>
        <v/>
      </c>
    </row>
    <row r="652">
      <c r="A652" t="inlineStr">
        <is>
          <t>chr11</t>
        </is>
      </c>
      <c r="B652" t="n">
        <v>123528661</v>
      </c>
      <c r="C652" t="inlineStr">
        <is>
          <t>G</t>
        </is>
      </c>
      <c r="D652" t="inlineStr">
        <is>
          <t>A</t>
        </is>
      </c>
      <c r="E652" t="inlineStr">
        <is>
          <t>rs11601260</t>
        </is>
      </c>
      <c r="F652" t="n">
        <v>-0.0854213556</v>
      </c>
      <c r="G652" t="n">
        <v>0.0145559087939589</v>
      </c>
      <c r="H652" t="n">
        <v>0.013219520373576</v>
      </c>
      <c r="I652" t="n">
        <v>0.260088229256224</v>
      </c>
      <c r="J652" t="n">
        <v>0.1389430667781183</v>
      </c>
      <c r="K652" t="n">
        <v>0.4991854670757238</v>
      </c>
      <c r="L652" t="b">
        <v>1</v>
      </c>
      <c r="M652" t="b">
        <v>0</v>
      </c>
      <c r="N652" t="inlineStr">
        <is>
          <t>ref</t>
        </is>
      </c>
      <c r="O652" t="n">
        <v>95</v>
      </c>
      <c r="P652" t="n">
        <v>0.005478</v>
      </c>
      <c r="Q652" t="n">
        <v>-100</v>
      </c>
      <c r="R652" t="n">
        <v>0.0699</v>
      </c>
      <c r="S652">
        <f>IMAGE("https://mitra.stanford.edu/kundaje/oak/projects/neuro-variants/variant_position/credible/roussos_2024/variant_figures/roussos_2024.adolescence.GLU/rs11601260_count_position.png",4,220,900)</f>
        <v/>
      </c>
      <c r="T652">
        <f>IMAGE("https://mitra.stanford.edu/kundaje/oak/projects/neuro-variants/variant_position/credible/roussos_2024/variant_figures/roussos_2024.adolescence.GLU/rs11601260_profile_position.png",4,220,900)</f>
        <v/>
      </c>
    </row>
    <row r="653">
      <c r="A653" t="inlineStr">
        <is>
          <t>chr11</t>
        </is>
      </c>
      <c r="B653" t="n">
        <v>123533712</v>
      </c>
      <c r="C653" t="inlineStr">
        <is>
          <t>C</t>
        </is>
      </c>
      <c r="D653" t="inlineStr">
        <is>
          <t>T</t>
        </is>
      </c>
      <c r="E653" t="inlineStr">
        <is>
          <t>rs111454416</t>
        </is>
      </c>
      <c r="F653" t="n">
        <v>0.0373671527</v>
      </c>
      <c r="G653" t="n">
        <v>0.130188703984779</v>
      </c>
      <c r="H653" t="n">
        <v>0.0155304170727512</v>
      </c>
      <c r="I653" t="n">
        <v>0.1914219705631541</v>
      </c>
      <c r="J653" t="n">
        <v>0.0123925670317422</v>
      </c>
      <c r="K653" t="n">
        <v>0.865232169911167</v>
      </c>
      <c r="L653" t="b">
        <v>0</v>
      </c>
      <c r="M653" t="b">
        <v>0</v>
      </c>
      <c r="N653" t="inlineStr">
        <is>
          <t>alt</t>
        </is>
      </c>
      <c r="O653" t="n">
        <v>100</v>
      </c>
      <c r="P653" t="n">
        <v>0.001488</v>
      </c>
      <c r="Q653" t="n">
        <v>85</v>
      </c>
      <c r="R653" t="n">
        <v>0.06085</v>
      </c>
      <c r="S653">
        <f>IMAGE("https://mitra.stanford.edu/kundaje/oak/projects/neuro-variants/variant_position/credible/roussos_2024/variant_figures/roussos_2024.adolescence.GLU/rs111454416_count_position.png",4,220,900)</f>
        <v/>
      </c>
      <c r="T653">
        <f>IMAGE("https://mitra.stanford.edu/kundaje/oak/projects/neuro-variants/variant_position/credible/roussos_2024/variant_figures/roussos_2024.adolescence.GLU/rs111454416_profile_position.png",4,220,900)</f>
        <v/>
      </c>
    </row>
    <row r="654">
      <c r="A654" t="inlineStr">
        <is>
          <t>chr11</t>
        </is>
      </c>
      <c r="B654" t="n">
        <v>124565509</v>
      </c>
      <c r="C654" t="inlineStr">
        <is>
          <t>G</t>
        </is>
      </c>
      <c r="D654" t="inlineStr">
        <is>
          <t>A</t>
        </is>
      </c>
      <c r="E654" t="inlineStr">
        <is>
          <t>rs2212756</t>
        </is>
      </c>
      <c r="F654" t="n">
        <v>0.00549580836</v>
      </c>
      <c r="G654" t="n">
        <v>0.6549098227978414</v>
      </c>
      <c r="H654" t="n">
        <v>0.0256962370874351</v>
      </c>
      <c r="I654" t="n">
        <v>0.0214851648313252</v>
      </c>
      <c r="J654" t="n">
        <v>0.0711290195826277</v>
      </c>
      <c r="K654" t="n">
        <v>0.6435350956228992</v>
      </c>
      <c r="L654" t="b">
        <v>0</v>
      </c>
      <c r="M654" t="b">
        <v>0</v>
      </c>
      <c r="N654" t="inlineStr">
        <is>
          <t>alt</t>
        </is>
      </c>
      <c r="O654" t="n">
        <v>20</v>
      </c>
      <c r="P654" t="n">
        <v>0.0008802</v>
      </c>
      <c r="Q654" t="n">
        <v>70</v>
      </c>
      <c r="R654" t="n">
        <v>0.0499</v>
      </c>
      <c r="S654">
        <f>IMAGE("https://mitra.stanford.edu/kundaje/oak/projects/neuro-variants/variant_position/credible/roussos_2024/variant_figures/roussos_2024.adolescence.GLU/rs2212756_count_position.png",4,220,900)</f>
        <v/>
      </c>
      <c r="T654">
        <f>IMAGE("https://mitra.stanford.edu/kundaje/oak/projects/neuro-variants/variant_position/credible/roussos_2024/variant_figures/roussos_2024.adolescence.GLU/rs2212756_profile_position.png",4,220,900)</f>
        <v/>
      </c>
    </row>
    <row r="655">
      <c r="A655" t="inlineStr">
        <is>
          <t>chr11</t>
        </is>
      </c>
      <c r="B655" t="n">
        <v>124569987</v>
      </c>
      <c r="C655" t="inlineStr">
        <is>
          <t>G</t>
        </is>
      </c>
      <c r="D655" t="inlineStr">
        <is>
          <t>A</t>
        </is>
      </c>
      <c r="E655" t="inlineStr">
        <is>
          <t>rs1942660</t>
        </is>
      </c>
      <c r="F655" t="n">
        <v>-0.0887430442</v>
      </c>
      <c r="G655" t="n">
        <v>0.0148321638004043</v>
      </c>
      <c r="H655" t="n">
        <v>0.019179956199608</v>
      </c>
      <c r="I655" t="n">
        <v>0.075830644649232</v>
      </c>
      <c r="J655" t="n">
        <v>0.2497531631552249</v>
      </c>
      <c r="K655" t="n">
        <v>0.3339923434268129</v>
      </c>
      <c r="L655" t="b">
        <v>1</v>
      </c>
      <c r="M655" t="b">
        <v>0</v>
      </c>
      <c r="N655" t="inlineStr">
        <is>
          <t>ref</t>
        </is>
      </c>
      <c r="O655" t="n">
        <v>-65</v>
      </c>
      <c r="P655" t="n">
        <v>0.002472</v>
      </c>
      <c r="Q655" t="n">
        <v>75</v>
      </c>
      <c r="R655" t="n">
        <v>0.05444</v>
      </c>
      <c r="S655">
        <f>IMAGE("https://mitra.stanford.edu/kundaje/oak/projects/neuro-variants/variant_position/credible/roussos_2024/variant_figures/roussos_2024.adolescence.GLU/rs1942660_count_position.png",4,220,900)</f>
        <v/>
      </c>
      <c r="T655">
        <f>IMAGE("https://mitra.stanford.edu/kundaje/oak/projects/neuro-variants/variant_position/credible/roussos_2024/variant_figures/roussos_2024.adolescence.GLU/rs1942660_profile_position.png",4,220,900)</f>
        <v/>
      </c>
    </row>
    <row r="656">
      <c r="A656" t="inlineStr">
        <is>
          <t>chr11</t>
        </is>
      </c>
      <c r="B656" t="n">
        <v>124770773</v>
      </c>
      <c r="C656" t="inlineStr">
        <is>
          <t>T</t>
        </is>
      </c>
      <c r="D656" t="inlineStr">
        <is>
          <t>C</t>
        </is>
      </c>
      <c r="E656" t="inlineStr">
        <is>
          <t>rs6590093</t>
        </is>
      </c>
      <c r="F656" t="n">
        <v>0.0028897750199999</v>
      </c>
      <c r="G656" t="n">
        <v>0.7276121372816052</v>
      </c>
      <c r="H656" t="n">
        <v>0.0258747108750017</v>
      </c>
      <c r="I656" t="n">
        <v>0.0172232469178007</v>
      </c>
      <c r="J656" t="n">
        <v>0.1181859099384872</v>
      </c>
      <c r="K656" t="n">
        <v>0.5327751890317914</v>
      </c>
      <c r="L656" t="b">
        <v>1</v>
      </c>
      <c r="M656" t="b">
        <v>0</v>
      </c>
      <c r="N656" t="inlineStr">
        <is>
          <t>alt</t>
        </is>
      </c>
      <c r="O656" t="n">
        <v>-85</v>
      </c>
      <c r="P656" t="n">
        <v>0.007202</v>
      </c>
      <c r="Q656" t="n">
        <v>-95</v>
      </c>
      <c r="R656" t="n">
        <v>0.1443</v>
      </c>
      <c r="S656">
        <f>IMAGE("https://mitra.stanford.edu/kundaje/oak/projects/neuro-variants/variant_position/credible/roussos_2024/variant_figures/roussos_2024.adolescence.GLU/rs6590093_count_position.png",4,220,900)</f>
        <v/>
      </c>
      <c r="T656">
        <f>IMAGE("https://mitra.stanford.edu/kundaje/oak/projects/neuro-variants/variant_position/credible/roussos_2024/variant_figures/roussos_2024.adolescence.GLU/rs6590093_profile_position.png",4,220,900)</f>
        <v/>
      </c>
    </row>
    <row r="657">
      <c r="A657" t="inlineStr">
        <is>
          <t>chr11</t>
        </is>
      </c>
      <c r="B657" t="n">
        <v>124782170</v>
      </c>
      <c r="C657" t="inlineStr">
        <is>
          <t>A</t>
        </is>
      </c>
      <c r="D657" t="inlineStr">
        <is>
          <t>G</t>
        </is>
      </c>
      <c r="E657" t="inlineStr">
        <is>
          <t>rs11601322</t>
        </is>
      </c>
      <c r="F657" t="n">
        <v>0.0780966602</v>
      </c>
      <c r="G657" t="n">
        <v>0.0145862555504598</v>
      </c>
      <c r="H657" t="n">
        <v>0.011870808790007</v>
      </c>
      <c r="I657" t="n">
        <v>0.3287647792840809</v>
      </c>
      <c r="J657" t="n">
        <v>0.0396810767944788</v>
      </c>
      <c r="K657" t="n">
        <v>0.7457962869414936</v>
      </c>
      <c r="L657" t="b">
        <v>1</v>
      </c>
      <c r="M657" t="b">
        <v>0</v>
      </c>
      <c r="N657" t="inlineStr">
        <is>
          <t>alt</t>
        </is>
      </c>
      <c r="O657" t="n">
        <v>85</v>
      </c>
      <c r="P657" t="n">
        <v>0.000702</v>
      </c>
      <c r="Q657" t="n">
        <v>70</v>
      </c>
      <c r="R657" t="n">
        <v>0.0329</v>
      </c>
      <c r="S657">
        <f>IMAGE("https://mitra.stanford.edu/kundaje/oak/projects/neuro-variants/variant_position/credible/roussos_2024/variant_figures/roussos_2024.adolescence.GLU/rs11601322_count_position.png",4,220,900)</f>
        <v/>
      </c>
      <c r="T657">
        <f>IMAGE("https://mitra.stanford.edu/kundaje/oak/projects/neuro-variants/variant_position/credible/roussos_2024/variant_figures/roussos_2024.adolescence.GLU/rs11601322_profile_position.png",4,220,900)</f>
        <v/>
      </c>
    </row>
    <row r="658">
      <c r="A658" t="inlineStr">
        <is>
          <t>chr11</t>
        </is>
      </c>
      <c r="B658" t="n">
        <v>126836666</v>
      </c>
      <c r="C658" t="inlineStr">
        <is>
          <t>T</t>
        </is>
      </c>
      <c r="D658" t="inlineStr">
        <is>
          <t>G</t>
        </is>
      </c>
      <c r="E658" t="inlineStr">
        <is>
          <t>rs7938753</t>
        </is>
      </c>
      <c r="F658" t="n">
        <v>-0.009401938820000001</v>
      </c>
      <c r="G658" t="n">
        <v>0.5490647511811262</v>
      </c>
      <c r="H658" t="n">
        <v>0.0358796077457365</v>
      </c>
      <c r="I658" t="n">
        <v>0.0040535110717893</v>
      </c>
      <c r="J658" t="n">
        <v>0.07581284694686739</v>
      </c>
      <c r="K658" t="n">
        <v>0.6346318791972543</v>
      </c>
      <c r="L658" t="b">
        <v>1</v>
      </c>
      <c r="M658" t="b">
        <v>1</v>
      </c>
      <c r="N658" t="inlineStr">
        <is>
          <t>ref</t>
        </is>
      </c>
      <c r="O658" t="n">
        <v>-100</v>
      </c>
      <c r="P658" t="n">
        <v>0.00145</v>
      </c>
      <c r="Q658" t="n">
        <v>80</v>
      </c>
      <c r="R658" t="n">
        <v>0.08119999999999999</v>
      </c>
      <c r="S658">
        <f>IMAGE("https://mitra.stanford.edu/kundaje/oak/projects/neuro-variants/variant_position/credible/roussos_2024/variant_figures/roussos_2024.adolescence.GLU/rs7938753_count_position.png",4,220,900)</f>
        <v/>
      </c>
      <c r="T658">
        <f>IMAGE("https://mitra.stanford.edu/kundaje/oak/projects/neuro-variants/variant_position/credible/roussos_2024/variant_figures/roussos_2024.adolescence.GLU/rs7938753_profile_position.png",4,220,900)</f>
        <v/>
      </c>
    </row>
    <row r="659">
      <c r="A659" t="inlineStr">
        <is>
          <t>chr11</t>
        </is>
      </c>
      <c r="B659" t="n">
        <v>130848319</v>
      </c>
      <c r="C659" t="inlineStr">
        <is>
          <t>T</t>
        </is>
      </c>
      <c r="D659" t="inlineStr">
        <is>
          <t>G</t>
        </is>
      </c>
      <c r="E659" t="inlineStr">
        <is>
          <t>rs35274053</t>
        </is>
      </c>
      <c r="F659" t="n">
        <v>-0.0045021122</v>
      </c>
      <c r="G659" t="n">
        <v>0.5934018997754984</v>
      </c>
      <c r="H659" t="n">
        <v>0.0295264664332219</v>
      </c>
      <c r="I659" t="n">
        <v>0.0098851099749075</v>
      </c>
      <c r="J659" t="n">
        <v>0.2339013081281122</v>
      </c>
      <c r="K659" t="n">
        <v>0.3503267378946045</v>
      </c>
      <c r="L659" t="b">
        <v>1</v>
      </c>
      <c r="M659" t="b">
        <v>1</v>
      </c>
      <c r="N659" t="inlineStr">
        <is>
          <t>ref</t>
        </is>
      </c>
      <c r="O659" t="n">
        <v>-100</v>
      </c>
      <c r="P659" t="n">
        <v>0.01898</v>
      </c>
      <c r="Q659" t="n">
        <v>5</v>
      </c>
      <c r="R659" t="n">
        <v>0.004456</v>
      </c>
      <c r="S659">
        <f>IMAGE("https://mitra.stanford.edu/kundaje/oak/projects/neuro-variants/variant_position/credible/roussos_2024/variant_figures/roussos_2024.adolescence.GLU/rs35274053_count_position.png",4,220,900)</f>
        <v/>
      </c>
      <c r="T659">
        <f>IMAGE("https://mitra.stanford.edu/kundaje/oak/projects/neuro-variants/variant_position/credible/roussos_2024/variant_figures/roussos_2024.adolescence.GLU/rs35274053_profile_position.png",4,220,900)</f>
        <v/>
      </c>
    </row>
    <row r="660">
      <c r="A660" t="inlineStr">
        <is>
          <t>chr11</t>
        </is>
      </c>
      <c r="B660" t="n">
        <v>130875082</v>
      </c>
      <c r="C660" t="inlineStr">
        <is>
          <t>G</t>
        </is>
      </c>
      <c r="D660" t="inlineStr">
        <is>
          <t>A</t>
        </is>
      </c>
      <c r="E660" t="inlineStr">
        <is>
          <t>rs10791102</t>
        </is>
      </c>
      <c r="F660" t="n">
        <v>-0.008208995032</v>
      </c>
      <c r="G660" t="n">
        <v>0.6183609466550986</v>
      </c>
      <c r="H660" t="n">
        <v>0.0092411053115531</v>
      </c>
      <c r="I660" t="n">
        <v>0.6244654358032699</v>
      </c>
      <c r="J660" t="n">
        <v>0.2126626229719012</v>
      </c>
      <c r="K660" t="n">
        <v>0.3833253778158118</v>
      </c>
      <c r="L660" t="b">
        <v>0</v>
      </c>
      <c r="M660" t="b">
        <v>0</v>
      </c>
      <c r="N660" t="inlineStr">
        <is>
          <t>ref</t>
        </is>
      </c>
      <c r="O660" t="n">
        <v>0</v>
      </c>
      <c r="P660" t="n">
        <v>0</v>
      </c>
      <c r="Q660" t="n">
        <v>100</v>
      </c>
      <c r="R660" t="n">
        <v>0.05988</v>
      </c>
      <c r="S660">
        <f>IMAGE("https://mitra.stanford.edu/kundaje/oak/projects/neuro-variants/variant_position/credible/roussos_2024/variant_figures/roussos_2024.adolescence.GLU/rs10791102_count_position.png",4,220,900)</f>
        <v/>
      </c>
      <c r="T660">
        <f>IMAGE("https://mitra.stanford.edu/kundaje/oak/projects/neuro-variants/variant_position/credible/roussos_2024/variant_figures/roussos_2024.adolescence.GLU/rs10791102_profile_position.png",4,220,900)</f>
        <v/>
      </c>
    </row>
    <row r="661">
      <c r="A661" t="inlineStr">
        <is>
          <t>chr11</t>
        </is>
      </c>
      <c r="B661" t="n">
        <v>130926783</v>
      </c>
      <c r="C661" t="inlineStr">
        <is>
          <t>C</t>
        </is>
      </c>
      <c r="D661" t="inlineStr">
        <is>
          <t>T</t>
        </is>
      </c>
      <c r="E661" t="inlineStr">
        <is>
          <t>rs10894286</t>
        </is>
      </c>
      <c r="F661" t="n">
        <v>-0.0276429336</v>
      </c>
      <c r="G661" t="n">
        <v>0.2034607983500913</v>
      </c>
      <c r="H661" t="n">
        <v>0.0094396556034737</v>
      </c>
      <c r="I661" t="n">
        <v>0.5915343051913449</v>
      </c>
      <c r="J661" t="n">
        <v>0.316542712419001</v>
      </c>
      <c r="K661" t="n">
        <v>0.2494000868941266</v>
      </c>
      <c r="L661" t="b">
        <v>0</v>
      </c>
      <c r="M661" t="b">
        <v>0</v>
      </c>
      <c r="N661" t="inlineStr">
        <is>
          <t>ref</t>
        </is>
      </c>
      <c r="O661" t="n">
        <v>55</v>
      </c>
      <c r="P661" t="n">
        <v>0.01135</v>
      </c>
      <c r="Q661" t="n">
        <v>-70</v>
      </c>
      <c r="R661" t="n">
        <v>0.09796000000000001</v>
      </c>
      <c r="S661">
        <f>IMAGE("https://mitra.stanford.edu/kundaje/oak/projects/neuro-variants/variant_position/credible/roussos_2024/variant_figures/roussos_2024.adolescence.GLU/rs10894286_count_position.png",4,220,900)</f>
        <v/>
      </c>
      <c r="T661">
        <f>IMAGE("https://mitra.stanford.edu/kundaje/oak/projects/neuro-variants/variant_position/credible/roussos_2024/variant_figures/roussos_2024.adolescence.GLU/rs10894286_profile_position.png",4,220,900)</f>
        <v/>
      </c>
    </row>
    <row r="662">
      <c r="A662" t="inlineStr">
        <is>
          <t>chr11</t>
        </is>
      </c>
      <c r="B662" t="n">
        <v>130944198</v>
      </c>
      <c r="C662" t="inlineStr">
        <is>
          <t>A</t>
        </is>
      </c>
      <c r="D662" t="inlineStr">
        <is>
          <t>G</t>
        </is>
      </c>
      <c r="E662" t="inlineStr">
        <is>
          <t>rs11222406</t>
        </is>
      </c>
      <c r="F662" t="n">
        <v>-0.02032300454</v>
      </c>
      <c r="G662" t="n">
        <v>0.3046431209249111</v>
      </c>
      <c r="H662" t="n">
        <v>0.0152298130408201</v>
      </c>
      <c r="I662" t="n">
        <v>0.1578804930776884</v>
      </c>
      <c r="J662" t="n">
        <v>0.1554964957026812</v>
      </c>
      <c r="K662" t="n">
        <v>0.4665268242180723</v>
      </c>
      <c r="L662" t="b">
        <v>0</v>
      </c>
      <c r="M662" t="b">
        <v>0</v>
      </c>
      <c r="N662" t="inlineStr">
        <is>
          <t>ref</t>
        </is>
      </c>
      <c r="O662" t="n">
        <v>-100</v>
      </c>
      <c r="P662" t="n">
        <v>0.01358</v>
      </c>
      <c r="Q662" t="n">
        <v>-90</v>
      </c>
      <c r="R662" t="n">
        <v>0.04437</v>
      </c>
      <c r="S662">
        <f>IMAGE("https://mitra.stanford.edu/kundaje/oak/projects/neuro-variants/variant_position/credible/roussos_2024/variant_figures/roussos_2024.adolescence.GLU/rs11222406_count_position.png",4,220,900)</f>
        <v/>
      </c>
      <c r="T662">
        <f>IMAGE("https://mitra.stanford.edu/kundaje/oak/projects/neuro-variants/variant_position/credible/roussos_2024/variant_figures/roussos_2024.adolescence.GLU/rs11222406_profile_position.png",4,220,900)</f>
        <v/>
      </c>
    </row>
    <row r="663">
      <c r="A663" t="inlineStr">
        <is>
          <t>chr11</t>
        </is>
      </c>
      <c r="B663" t="n">
        <v>131006455</v>
      </c>
      <c r="C663" t="inlineStr">
        <is>
          <t>G</t>
        </is>
      </c>
      <c r="D663" t="inlineStr">
        <is>
          <t>A</t>
        </is>
      </c>
      <c r="E663" t="inlineStr">
        <is>
          <t>rs10894307</t>
        </is>
      </c>
      <c r="F663" t="n">
        <v>0.0002335774799999</v>
      </c>
      <c r="G663" t="n">
        <v>0.7190739063992017</v>
      </c>
      <c r="H663" t="n">
        <v>0.0279720411273031</v>
      </c>
      <c r="I663" t="n">
        <v>0.0124051744920914</v>
      </c>
      <c r="J663" t="n">
        <v>0.0238020732866093</v>
      </c>
      <c r="K663" t="n">
        <v>0.8010523027905532</v>
      </c>
      <c r="L663" t="b">
        <v>1</v>
      </c>
      <c r="M663" t="b">
        <v>0</v>
      </c>
      <c r="N663" t="inlineStr">
        <is>
          <t>alt</t>
        </is>
      </c>
      <c r="O663" t="n">
        <v>10</v>
      </c>
      <c r="P663" t="n">
        <v>0.002533</v>
      </c>
      <c r="Q663" t="n">
        <v>-40</v>
      </c>
      <c r="R663" t="n">
        <v>0.03009</v>
      </c>
      <c r="S663">
        <f>IMAGE("https://mitra.stanford.edu/kundaje/oak/projects/neuro-variants/variant_position/credible/roussos_2024/variant_figures/roussos_2024.adolescence.GLU/rs10894307_count_position.png",4,220,900)</f>
        <v/>
      </c>
      <c r="T663">
        <f>IMAGE("https://mitra.stanford.edu/kundaje/oak/projects/neuro-variants/variant_position/credible/roussos_2024/variant_figures/roussos_2024.adolescence.GLU/rs10894307_profile_position.png",4,220,900)</f>
        <v/>
      </c>
    </row>
    <row r="664">
      <c r="A664" t="inlineStr">
        <is>
          <t>chr11</t>
        </is>
      </c>
      <c r="B664" t="n">
        <v>131022000</v>
      </c>
      <c r="C664" t="inlineStr">
        <is>
          <t>G</t>
        </is>
      </c>
      <c r="D664" t="inlineStr">
        <is>
          <t>A</t>
        </is>
      </c>
      <c r="E664" t="inlineStr">
        <is>
          <t>rs10894308</t>
        </is>
      </c>
      <c r="F664" t="n">
        <v>-0.0214778438</v>
      </c>
      <c r="G664" t="n">
        <v>0.2843572302012758</v>
      </c>
      <c r="H664" t="n">
        <v>0.017212079247921</v>
      </c>
      <c r="I664" t="n">
        <v>0.09825343963017889</v>
      </c>
      <c r="J664" t="n">
        <v>0.0007873059419450001</v>
      </c>
      <c r="K664" t="n">
        <v>0.9754993216567392</v>
      </c>
      <c r="L664" t="b">
        <v>0</v>
      </c>
      <c r="M664" t="b">
        <v>0</v>
      </c>
      <c r="N664" t="inlineStr">
        <is>
          <t>ref</t>
        </is>
      </c>
      <c r="O664" t="n">
        <v>70</v>
      </c>
      <c r="P664" t="n">
        <v>0.004723</v>
      </c>
      <c r="Q664" t="n">
        <v>-100</v>
      </c>
      <c r="R664" t="n">
        <v>0.07654</v>
      </c>
      <c r="S664">
        <f>IMAGE("https://mitra.stanford.edu/kundaje/oak/projects/neuro-variants/variant_position/credible/roussos_2024/variant_figures/roussos_2024.adolescence.GLU/rs10894308_count_position.png",4,220,900)</f>
        <v/>
      </c>
      <c r="T664">
        <f>IMAGE("https://mitra.stanford.edu/kundaje/oak/projects/neuro-variants/variant_position/credible/roussos_2024/variant_figures/roussos_2024.adolescence.GLU/rs10894308_profile_position.png",4,220,900)</f>
        <v/>
      </c>
    </row>
    <row r="665">
      <c r="A665" t="inlineStr">
        <is>
          <t>chr11</t>
        </is>
      </c>
      <c r="B665" t="n">
        <v>131287818</v>
      </c>
      <c r="C665" t="inlineStr">
        <is>
          <t>G</t>
        </is>
      </c>
      <c r="D665" t="inlineStr">
        <is>
          <t>A</t>
        </is>
      </c>
      <c r="E665" t="inlineStr">
        <is>
          <t>rs74349870</t>
        </is>
      </c>
      <c r="F665" t="n">
        <v>-0.0754927442</v>
      </c>
      <c r="G665" t="n">
        <v>0.0226215549748972</v>
      </c>
      <c r="H665" t="n">
        <v>0.0221259729516075</v>
      </c>
      <c r="I665" t="n">
        <v>0.041104505580241</v>
      </c>
      <c r="J665" t="n">
        <v>0.0308135256588864</v>
      </c>
      <c r="K665" t="n">
        <v>0.7679764150750287</v>
      </c>
      <c r="L665" t="b">
        <v>0</v>
      </c>
      <c r="M665" t="b">
        <v>0</v>
      </c>
      <c r="N665" t="inlineStr">
        <is>
          <t>ref</t>
        </is>
      </c>
      <c r="O665" t="n">
        <v>-90</v>
      </c>
      <c r="P665" t="n">
        <v>0.002172</v>
      </c>
      <c r="Q665" t="n">
        <v>45</v>
      </c>
      <c r="R665" t="n">
        <v>0.052</v>
      </c>
      <c r="S665">
        <f>IMAGE("https://mitra.stanford.edu/kundaje/oak/projects/neuro-variants/variant_position/credible/roussos_2024/variant_figures/roussos_2024.adolescence.GLU/rs74349870_count_position.png",4,220,900)</f>
        <v/>
      </c>
      <c r="T665">
        <f>IMAGE("https://mitra.stanford.edu/kundaje/oak/projects/neuro-variants/variant_position/credible/roussos_2024/variant_figures/roussos_2024.adolescence.GLU/rs74349870_profile_position.png",4,220,900)</f>
        <v/>
      </c>
    </row>
    <row r="666">
      <c r="A666" t="inlineStr">
        <is>
          <t>chr11</t>
        </is>
      </c>
      <c r="B666" t="n">
        <v>131509057</v>
      </c>
      <c r="C666" t="inlineStr">
        <is>
          <t>A</t>
        </is>
      </c>
      <c r="D666" t="inlineStr">
        <is>
          <t>T</t>
        </is>
      </c>
      <c r="E666" t="inlineStr">
        <is>
          <t>rs540409</t>
        </is>
      </c>
      <c r="F666" t="n">
        <v>-0.00534067618</v>
      </c>
      <c r="G666" t="n">
        <v>0.6961222268064277</v>
      </c>
      <c r="H666" t="n">
        <v>0.0264310068938792</v>
      </c>
      <c r="I666" t="n">
        <v>0.018248167198074</v>
      </c>
      <c r="J666" t="n">
        <v>0.08357874131070001</v>
      </c>
      <c r="K666" t="n">
        <v>0.6152482792289743</v>
      </c>
      <c r="L666" t="b">
        <v>1</v>
      </c>
      <c r="M666" t="b">
        <v>0</v>
      </c>
      <c r="N666" t="inlineStr">
        <is>
          <t>ref</t>
        </is>
      </c>
      <c r="O666" t="n">
        <v>100</v>
      </c>
      <c r="P666" t="n">
        <v>0.004913</v>
      </c>
      <c r="Q666" t="n">
        <v>-100</v>
      </c>
      <c r="R666" t="n">
        <v>0.08939999999999999</v>
      </c>
      <c r="S666">
        <f>IMAGE("https://mitra.stanford.edu/kundaje/oak/projects/neuro-variants/variant_position/credible/roussos_2024/variant_figures/roussos_2024.adolescence.GLU/rs540409_count_position.png",4,220,900)</f>
        <v/>
      </c>
      <c r="T666">
        <f>IMAGE("https://mitra.stanford.edu/kundaje/oak/projects/neuro-variants/variant_position/credible/roussos_2024/variant_figures/roussos_2024.adolescence.GLU/rs540409_profile_position.png",4,220,900)</f>
        <v/>
      </c>
    </row>
    <row r="667">
      <c r="A667" t="inlineStr">
        <is>
          <t>chr11</t>
        </is>
      </c>
      <c r="B667" t="n">
        <v>131511160</v>
      </c>
      <c r="C667" t="inlineStr">
        <is>
          <t>C</t>
        </is>
      </c>
      <c r="D667" t="inlineStr">
        <is>
          <t>T</t>
        </is>
      </c>
      <c r="E667" t="inlineStr">
        <is>
          <t>rs407056</t>
        </is>
      </c>
      <c r="F667" t="n">
        <v>-0.0196852377999999</v>
      </c>
      <c r="G667" t="n">
        <v>0.3127968026353594</v>
      </c>
      <c r="H667" t="n">
        <v>0.0074448748395754</v>
      </c>
      <c r="I667" t="n">
        <v>0.8618997785267507</v>
      </c>
      <c r="J667" t="n">
        <v>0.4222760428945995</v>
      </c>
      <c r="K667" t="n">
        <v>0.1458732324112665</v>
      </c>
      <c r="L667" t="b">
        <v>0</v>
      </c>
      <c r="M667" t="b">
        <v>0</v>
      </c>
      <c r="N667" t="inlineStr">
        <is>
          <t>ref</t>
        </is>
      </c>
      <c r="O667" t="n">
        <v>-45</v>
      </c>
      <c r="P667" t="n">
        <v>0.002785</v>
      </c>
      <c r="Q667" t="n">
        <v>-45</v>
      </c>
      <c r="R667" t="n">
        <v>0.03345</v>
      </c>
      <c r="S667">
        <f>IMAGE("https://mitra.stanford.edu/kundaje/oak/projects/neuro-variants/variant_position/credible/roussos_2024/variant_figures/roussos_2024.adolescence.GLU/rs407056_count_position.png",4,220,900)</f>
        <v/>
      </c>
      <c r="T667">
        <f>IMAGE("https://mitra.stanford.edu/kundaje/oak/projects/neuro-variants/variant_position/credible/roussos_2024/variant_figures/roussos_2024.adolescence.GLU/rs407056_profile_position.png",4,220,900)</f>
        <v/>
      </c>
    </row>
    <row r="668">
      <c r="A668" t="inlineStr">
        <is>
          <t>chr11</t>
        </is>
      </c>
      <c r="B668" t="n">
        <v>131511952</v>
      </c>
      <c r="C668" t="inlineStr">
        <is>
          <t>T</t>
        </is>
      </c>
      <c r="D668" t="inlineStr">
        <is>
          <t>C</t>
        </is>
      </c>
      <c r="E668" t="inlineStr">
        <is>
          <t>rs408376</t>
        </is>
      </c>
      <c r="F668" t="n">
        <v>0.0589793122</v>
      </c>
      <c r="G668" t="n">
        <v>0.042620004913321</v>
      </c>
      <c r="H668" t="n">
        <v>0.0144333427148328</v>
      </c>
      <c r="I668" t="n">
        <v>0.2051482312096053</v>
      </c>
      <c r="J668" t="n">
        <v>0.5763693908023805</v>
      </c>
      <c r="K668" t="n">
        <v>0.0476034826470248</v>
      </c>
      <c r="L668" t="b">
        <v>0</v>
      </c>
      <c r="M668" t="b">
        <v>0</v>
      </c>
      <c r="N668" t="inlineStr">
        <is>
          <t>alt</t>
        </is>
      </c>
      <c r="O668" t="n">
        <v>-50</v>
      </c>
      <c r="P668" t="n">
        <v>0.00928</v>
      </c>
      <c r="Q668" t="n">
        <v>-50</v>
      </c>
      <c r="R668" t="n">
        <v>0.05078</v>
      </c>
      <c r="S668">
        <f>IMAGE("https://mitra.stanford.edu/kundaje/oak/projects/neuro-variants/variant_position/credible/roussos_2024/variant_figures/roussos_2024.adolescence.GLU/rs408376_count_position.png",4,220,900)</f>
        <v/>
      </c>
      <c r="T668">
        <f>IMAGE("https://mitra.stanford.edu/kundaje/oak/projects/neuro-variants/variant_position/credible/roussos_2024/variant_figures/roussos_2024.adolescence.GLU/rs408376_profile_position.png",4,220,900)</f>
        <v/>
      </c>
    </row>
    <row r="669">
      <c r="A669" t="inlineStr">
        <is>
          <t>chr11</t>
        </is>
      </c>
      <c r="B669" t="n">
        <v>131521018</v>
      </c>
      <c r="C669" t="inlineStr">
        <is>
          <t>A</t>
        </is>
      </c>
      <c r="D669" t="inlineStr">
        <is>
          <t>G</t>
        </is>
      </c>
      <c r="E669" t="inlineStr">
        <is>
          <t>rs12279734</t>
        </is>
      </c>
      <c r="F669" t="n">
        <v>-0.0046515996</v>
      </c>
      <c r="G669" t="n">
        <v>0.7578462203396311</v>
      </c>
      <c r="H669" t="n">
        <v>0.0078106211224902</v>
      </c>
      <c r="I669" t="n">
        <v>0.789094937329741</v>
      </c>
      <c r="J669" t="n">
        <v>0.1511856027319944</v>
      </c>
      <c r="K669" t="n">
        <v>0.4740723905391176</v>
      </c>
      <c r="L669" t="b">
        <v>0</v>
      </c>
      <c r="M669" t="b">
        <v>0</v>
      </c>
      <c r="N669" t="inlineStr">
        <is>
          <t>ref</t>
        </is>
      </c>
      <c r="O669" t="n">
        <v>-90</v>
      </c>
      <c r="P669" t="n">
        <v>0.010376</v>
      </c>
      <c r="Q669" t="n">
        <v>-45</v>
      </c>
      <c r="R669" t="n">
        <v>0.0219</v>
      </c>
      <c r="S669">
        <f>IMAGE("https://mitra.stanford.edu/kundaje/oak/projects/neuro-variants/variant_position/credible/roussos_2024/variant_figures/roussos_2024.adolescence.GLU/rs12279734_count_position.png",4,220,900)</f>
        <v/>
      </c>
      <c r="T669">
        <f>IMAGE("https://mitra.stanford.edu/kundaje/oak/projects/neuro-variants/variant_position/credible/roussos_2024/variant_figures/roussos_2024.adolescence.GLU/rs12279734_profile_position.png",4,220,900)</f>
        <v/>
      </c>
    </row>
    <row r="670">
      <c r="A670" t="inlineStr">
        <is>
          <t>chr11</t>
        </is>
      </c>
      <c r="B670" t="n">
        <v>131525093</v>
      </c>
      <c r="C670" t="inlineStr">
        <is>
          <t>T</t>
        </is>
      </c>
      <c r="D670" t="inlineStr">
        <is>
          <t>G</t>
        </is>
      </c>
      <c r="E670" t="inlineStr">
        <is>
          <t>rs401560</t>
        </is>
      </c>
      <c r="F670" t="n">
        <v>0.0630177084</v>
      </c>
      <c r="G670" t="n">
        <v>0.0431287904351779</v>
      </c>
      <c r="H670" t="n">
        <v>0.0210006035121317</v>
      </c>
      <c r="I670" t="n">
        <v>0.0500821698892387</v>
      </c>
      <c r="J670" t="n">
        <v>0.4268598495402619</v>
      </c>
      <c r="K670" t="n">
        <v>0.1437600046315321</v>
      </c>
      <c r="L670" t="b">
        <v>0</v>
      </c>
      <c r="M670" t="b">
        <v>0</v>
      </c>
      <c r="N670" t="inlineStr">
        <is>
          <t>alt</t>
        </is>
      </c>
      <c r="O670" t="n">
        <v>-55</v>
      </c>
      <c r="P670" t="n">
        <v>0.002705</v>
      </c>
      <c r="Q670" t="n">
        <v>100</v>
      </c>
      <c r="R670" t="n">
        <v>0.1669</v>
      </c>
      <c r="S670">
        <f>IMAGE("https://mitra.stanford.edu/kundaje/oak/projects/neuro-variants/variant_position/credible/roussos_2024/variant_figures/roussos_2024.adolescence.GLU/rs401560_count_position.png",4,220,900)</f>
        <v/>
      </c>
      <c r="T670">
        <f>IMAGE("https://mitra.stanford.edu/kundaje/oak/projects/neuro-variants/variant_position/credible/roussos_2024/variant_figures/roussos_2024.adolescence.GLU/rs401560_profile_position.png",4,220,900)</f>
        <v/>
      </c>
    </row>
    <row r="671">
      <c r="A671" t="inlineStr">
        <is>
          <t>chr11</t>
        </is>
      </c>
      <c r="B671" t="n">
        <v>131525401</v>
      </c>
      <c r="C671" t="inlineStr">
        <is>
          <t>C</t>
        </is>
      </c>
      <c r="D671" t="inlineStr">
        <is>
          <t>T</t>
        </is>
      </c>
      <c r="E671" t="inlineStr">
        <is>
          <t>rs390812</t>
        </is>
      </c>
      <c r="F671" t="n">
        <v>-0.0674401892</v>
      </c>
      <c r="G671" t="n">
        <v>0.0292117176824652</v>
      </c>
      <c r="H671" t="n">
        <v>0.0196496169360052</v>
      </c>
      <c r="I671" t="n">
        <v>0.0632973997775635</v>
      </c>
      <c r="J671" t="n">
        <v>0.4133813432782505</v>
      </c>
      <c r="K671" t="n">
        <v>0.154623939024883</v>
      </c>
      <c r="L671" t="b">
        <v>0</v>
      </c>
      <c r="M671" t="b">
        <v>0</v>
      </c>
      <c r="N671" t="inlineStr">
        <is>
          <t>ref</t>
        </is>
      </c>
      <c r="O671" t="n">
        <v>95</v>
      </c>
      <c r="P671" t="n">
        <v>0.04303</v>
      </c>
      <c r="Q671" t="n">
        <v>35</v>
      </c>
      <c r="R671" t="n">
        <v>0.03162</v>
      </c>
      <c r="S671">
        <f>IMAGE("https://mitra.stanford.edu/kundaje/oak/projects/neuro-variants/variant_position/credible/roussos_2024/variant_figures/roussos_2024.adolescence.GLU/rs390812_count_position.png",4,220,900)</f>
        <v/>
      </c>
      <c r="T671">
        <f>IMAGE("https://mitra.stanford.edu/kundaje/oak/projects/neuro-variants/variant_position/credible/roussos_2024/variant_figures/roussos_2024.adolescence.GLU/rs390812_profile_position.png",4,220,900)</f>
        <v/>
      </c>
    </row>
    <row r="672">
      <c r="A672" t="inlineStr">
        <is>
          <t>chr11</t>
        </is>
      </c>
      <c r="B672" t="n">
        <v>131525893</v>
      </c>
      <c r="C672" t="inlineStr">
        <is>
          <t>G</t>
        </is>
      </c>
      <c r="D672" t="inlineStr">
        <is>
          <t>A</t>
        </is>
      </c>
      <c r="E672" t="inlineStr">
        <is>
          <t>rs378523</t>
        </is>
      </c>
      <c r="F672" t="n">
        <v>0.00908339612</v>
      </c>
      <c r="G672" t="n">
        <v>0.5272252439656764</v>
      </c>
      <c r="H672" t="n">
        <v>0.0244907435913472</v>
      </c>
      <c r="I672" t="n">
        <v>0.0222273792518111</v>
      </c>
      <c r="J672" t="n">
        <v>0.3083181516171206</v>
      </c>
      <c r="K672" t="n">
        <v>0.2597533939382596</v>
      </c>
      <c r="L672" t="b">
        <v>0</v>
      </c>
      <c r="M672" t="b">
        <v>0</v>
      </c>
      <c r="N672" t="inlineStr">
        <is>
          <t>alt</t>
        </is>
      </c>
      <c r="O672" t="n">
        <v>90</v>
      </c>
      <c r="P672" t="n">
        <v>0.006237</v>
      </c>
      <c r="Q672" t="n">
        <v>75</v>
      </c>
      <c r="R672" t="n">
        <v>0.04196</v>
      </c>
      <c r="S672">
        <f>IMAGE("https://mitra.stanford.edu/kundaje/oak/projects/neuro-variants/variant_position/credible/roussos_2024/variant_figures/roussos_2024.adolescence.GLU/rs378523_count_position.png",4,220,900)</f>
        <v/>
      </c>
      <c r="T672">
        <f>IMAGE("https://mitra.stanford.edu/kundaje/oak/projects/neuro-variants/variant_position/credible/roussos_2024/variant_figures/roussos_2024.adolescence.GLU/rs378523_profile_position.png",4,220,900)</f>
        <v/>
      </c>
    </row>
    <row r="673">
      <c r="A673" t="inlineStr">
        <is>
          <t>chr11</t>
        </is>
      </c>
      <c r="B673" t="n">
        <v>131525976</v>
      </c>
      <c r="C673" t="inlineStr">
        <is>
          <t>C</t>
        </is>
      </c>
      <c r="D673" t="inlineStr">
        <is>
          <t>G</t>
        </is>
      </c>
      <c r="E673" t="inlineStr">
        <is>
          <t>rs451456</t>
        </is>
      </c>
      <c r="F673" t="n">
        <v>0.0424013204</v>
      </c>
      <c r="G673" t="n">
        <v>0.09035663410977419</v>
      </c>
      <c r="H673" t="n">
        <v>0.0217932325857461</v>
      </c>
      <c r="I673" t="n">
        <v>0.0451936378570336</v>
      </c>
      <c r="J673" t="n">
        <v>0.2913903594315965</v>
      </c>
      <c r="K673" t="n">
        <v>0.2794386484772219</v>
      </c>
      <c r="L673" t="b">
        <v>0</v>
      </c>
      <c r="M673" t="b">
        <v>0</v>
      </c>
      <c r="N673" t="inlineStr">
        <is>
          <t>alt</t>
        </is>
      </c>
      <c r="O673" t="n">
        <v>-50</v>
      </c>
      <c r="P673" t="n">
        <v>0.00402</v>
      </c>
      <c r="Q673" t="n">
        <v>-10</v>
      </c>
      <c r="R673" t="n">
        <v>0.012024</v>
      </c>
      <c r="S673">
        <f>IMAGE("https://mitra.stanford.edu/kundaje/oak/projects/neuro-variants/variant_position/credible/roussos_2024/variant_figures/roussos_2024.adolescence.GLU/rs451456_count_position.png",4,220,900)</f>
        <v/>
      </c>
      <c r="T673">
        <f>IMAGE("https://mitra.stanford.edu/kundaje/oak/projects/neuro-variants/variant_position/credible/roussos_2024/variant_figures/roussos_2024.adolescence.GLU/rs451456_profile_position.png",4,220,900)</f>
        <v/>
      </c>
    </row>
    <row r="674">
      <c r="A674" t="inlineStr">
        <is>
          <t>chr11</t>
        </is>
      </c>
      <c r="B674" t="n">
        <v>131526164</v>
      </c>
      <c r="C674" t="inlineStr">
        <is>
          <t>T</t>
        </is>
      </c>
      <c r="D674" t="inlineStr">
        <is>
          <t>A</t>
        </is>
      </c>
      <c r="E674" t="inlineStr">
        <is>
          <t>rs405479</t>
        </is>
      </c>
      <c r="F674" t="n">
        <v>0.00978515106</v>
      </c>
      <c r="G674" t="n">
        <v>0.5131124133671825</v>
      </c>
      <c r="H674" t="n">
        <v>0.008278039805717299</v>
      </c>
      <c r="I674" t="n">
        <v>0.7439351205334026</v>
      </c>
      <c r="J674" t="n">
        <v>0.2204928163691049</v>
      </c>
      <c r="K674" t="n">
        <v>0.3735087529759385</v>
      </c>
      <c r="L674" t="b">
        <v>0</v>
      </c>
      <c r="M674" t="b">
        <v>0</v>
      </c>
      <c r="N674" t="inlineStr">
        <is>
          <t>alt</t>
        </is>
      </c>
      <c r="O674" t="n">
        <v>75</v>
      </c>
      <c r="P674" t="n">
        <v>0.001617</v>
      </c>
      <c r="Q674" t="n">
        <v>35</v>
      </c>
      <c r="R674" t="n">
        <v>0.0562</v>
      </c>
      <c r="S674">
        <f>IMAGE("https://mitra.stanford.edu/kundaje/oak/projects/neuro-variants/variant_position/credible/roussos_2024/variant_figures/roussos_2024.adolescence.GLU/rs405479_count_position.png",4,220,900)</f>
        <v/>
      </c>
      <c r="T674">
        <f>IMAGE("https://mitra.stanford.edu/kundaje/oak/projects/neuro-variants/variant_position/credible/roussos_2024/variant_figures/roussos_2024.adolescence.GLU/rs405479_profile_position.png",4,220,900)</f>
        <v/>
      </c>
    </row>
    <row r="675">
      <c r="A675" t="inlineStr">
        <is>
          <t>chr11</t>
        </is>
      </c>
      <c r="B675" t="n">
        <v>131526874</v>
      </c>
      <c r="C675" t="inlineStr">
        <is>
          <t>T</t>
        </is>
      </c>
      <c r="D675" t="inlineStr">
        <is>
          <t>A</t>
        </is>
      </c>
      <c r="E675" t="inlineStr">
        <is>
          <t>rs426913</t>
        </is>
      </c>
      <c r="F675" t="n">
        <v>0.01023383546</v>
      </c>
      <c r="G675" t="n">
        <v>0.4852662735392818</v>
      </c>
      <c r="H675" t="n">
        <v>0.02239762788556</v>
      </c>
      <c r="I675" t="n">
        <v>0.0352939661269659</v>
      </c>
      <c r="J675" t="n">
        <v>0.2109408377449614</v>
      </c>
      <c r="K675" t="n">
        <v>0.3883718109209801</v>
      </c>
      <c r="L675" t="b">
        <v>0</v>
      </c>
      <c r="M675" t="b">
        <v>0</v>
      </c>
      <c r="N675" t="inlineStr">
        <is>
          <t>alt</t>
        </is>
      </c>
      <c r="O675" t="n">
        <v>50</v>
      </c>
      <c r="P675" t="n">
        <v>0.001785</v>
      </c>
      <c r="Q675" t="n">
        <v>55</v>
      </c>
      <c r="R675" t="n">
        <v>0.1049</v>
      </c>
      <c r="S675">
        <f>IMAGE("https://mitra.stanford.edu/kundaje/oak/projects/neuro-variants/variant_position/credible/roussos_2024/variant_figures/roussos_2024.adolescence.GLU/rs426913_count_position.png",4,220,900)</f>
        <v/>
      </c>
      <c r="T675">
        <f>IMAGE("https://mitra.stanford.edu/kundaje/oak/projects/neuro-variants/variant_position/credible/roussos_2024/variant_figures/roussos_2024.adolescence.GLU/rs426913_profile_position.png",4,220,900)</f>
        <v/>
      </c>
    </row>
    <row r="676">
      <c r="A676" t="inlineStr">
        <is>
          <t>chr11</t>
        </is>
      </c>
      <c r="B676" t="n">
        <v>132507166</v>
      </c>
      <c r="C676" t="inlineStr">
        <is>
          <t>C</t>
        </is>
      </c>
      <c r="D676" t="inlineStr">
        <is>
          <t>T</t>
        </is>
      </c>
      <c r="E676" t="inlineStr">
        <is>
          <t>rs7119976</t>
        </is>
      </c>
      <c r="F676" t="n">
        <v>-0.001620079492</v>
      </c>
      <c r="G676" t="n">
        <v>0.845467699628111</v>
      </c>
      <c r="H676" t="n">
        <v>0.0211965852382545</v>
      </c>
      <c r="I676" t="n">
        <v>0.0447867785391319</v>
      </c>
      <c r="J676" t="n">
        <v>0.0167120332068784</v>
      </c>
      <c r="K676" t="n">
        <v>0.8360891533091198</v>
      </c>
      <c r="L676" t="b">
        <v>0</v>
      </c>
      <c r="M676" t="b">
        <v>0</v>
      </c>
      <c r="N676" t="inlineStr">
        <is>
          <t>ref</t>
        </is>
      </c>
      <c r="O676" t="n">
        <v>-100</v>
      </c>
      <c r="P676" t="n">
        <v>0.02559</v>
      </c>
      <c r="Q676" t="n">
        <v>55</v>
      </c>
      <c r="R676" t="n">
        <v>0.07439999999999999</v>
      </c>
      <c r="S676">
        <f>IMAGE("https://mitra.stanford.edu/kundaje/oak/projects/neuro-variants/variant_position/credible/roussos_2024/variant_figures/roussos_2024.adolescence.GLU/rs7119976_count_position.png",4,220,900)</f>
        <v/>
      </c>
      <c r="T676">
        <f>IMAGE("https://mitra.stanford.edu/kundaje/oak/projects/neuro-variants/variant_position/credible/roussos_2024/variant_figures/roussos_2024.adolescence.GLU/rs7119976_profile_position.png",4,220,900)</f>
        <v/>
      </c>
    </row>
    <row r="677">
      <c r="A677" t="inlineStr">
        <is>
          <t>chr11</t>
        </is>
      </c>
      <c r="B677" t="n">
        <v>132511185</v>
      </c>
      <c r="C677" t="inlineStr">
        <is>
          <t>A</t>
        </is>
      </c>
      <c r="D677" t="inlineStr">
        <is>
          <t>G</t>
        </is>
      </c>
      <c r="E677" t="inlineStr">
        <is>
          <t>rs7106636</t>
        </is>
      </c>
      <c r="F677" t="n">
        <v>-0.002142044194</v>
      </c>
      <c r="G677" t="n">
        <v>0.803230635046136</v>
      </c>
      <c r="H677" t="n">
        <v>0.0174184177603162</v>
      </c>
      <c r="I677" t="n">
        <v>0.0976198828028982</v>
      </c>
      <c r="J677" t="n">
        <v>0.0018403812218244</v>
      </c>
      <c r="K677" t="n">
        <v>0.9562313832753389</v>
      </c>
      <c r="L677" t="b">
        <v>0</v>
      </c>
      <c r="M677" t="b">
        <v>0</v>
      </c>
      <c r="N677" t="inlineStr">
        <is>
          <t>ref</t>
        </is>
      </c>
      <c r="O677" t="n">
        <v>-55</v>
      </c>
      <c r="P677" t="n">
        <v>0.001851</v>
      </c>
      <c r="Q677" t="n">
        <v>5</v>
      </c>
      <c r="R677" t="n">
        <v>0.00621</v>
      </c>
      <c r="S677">
        <f>IMAGE("https://mitra.stanford.edu/kundaje/oak/projects/neuro-variants/variant_position/credible/roussos_2024/variant_figures/roussos_2024.adolescence.GLU/rs7106636_count_position.png",4,220,900)</f>
        <v/>
      </c>
      <c r="T677">
        <f>IMAGE("https://mitra.stanford.edu/kundaje/oak/projects/neuro-variants/variant_position/credible/roussos_2024/variant_figures/roussos_2024.adolescence.GLU/rs7106636_profile_position.png",4,220,900)</f>
        <v/>
      </c>
    </row>
    <row r="678">
      <c r="A678" t="inlineStr">
        <is>
          <t>chr11</t>
        </is>
      </c>
      <c r="B678" t="n">
        <v>132511627</v>
      </c>
      <c r="C678" t="inlineStr">
        <is>
          <t>G</t>
        </is>
      </c>
      <c r="D678" t="inlineStr">
        <is>
          <t>A</t>
        </is>
      </c>
      <c r="E678" t="inlineStr">
        <is>
          <t>rs2155540</t>
        </is>
      </c>
      <c r="F678" t="n">
        <v>0.002034241634</v>
      </c>
      <c r="G678" t="n">
        <v>0.8654229266553545</v>
      </c>
      <c r="H678" t="n">
        <v>0.0300287329016415</v>
      </c>
      <c r="I678" t="n">
        <v>0.009934314491094999</v>
      </c>
      <c r="J678" t="n">
        <v>0.0028148687942501</v>
      </c>
      <c r="K678" t="n">
        <v>0.9427806302082884</v>
      </c>
      <c r="L678" t="b">
        <v>0</v>
      </c>
      <c r="M678" t="b">
        <v>0</v>
      </c>
      <c r="N678" t="inlineStr">
        <is>
          <t>alt</t>
        </is>
      </c>
      <c r="O678" t="n">
        <v>-30</v>
      </c>
      <c r="P678" t="n">
        <v>0.004433</v>
      </c>
      <c r="Q678" t="n">
        <v>85</v>
      </c>
      <c r="R678" t="n">
        <v>0.01193</v>
      </c>
      <c r="S678">
        <f>IMAGE("https://mitra.stanford.edu/kundaje/oak/projects/neuro-variants/variant_position/credible/roussos_2024/variant_figures/roussos_2024.adolescence.GLU/rs2155540_count_position.png",4,220,900)</f>
        <v/>
      </c>
      <c r="T678">
        <f>IMAGE("https://mitra.stanford.edu/kundaje/oak/projects/neuro-variants/variant_position/credible/roussos_2024/variant_figures/roussos_2024.adolescence.GLU/rs2155540_profile_position.png",4,220,900)</f>
        <v/>
      </c>
    </row>
    <row r="679">
      <c r="A679" t="inlineStr">
        <is>
          <t>chr11</t>
        </is>
      </c>
      <c r="B679" t="n">
        <v>132513517</v>
      </c>
      <c r="C679" t="inlineStr">
        <is>
          <t>T</t>
        </is>
      </c>
      <c r="D679" t="inlineStr">
        <is>
          <t>C</t>
        </is>
      </c>
      <c r="E679" t="inlineStr">
        <is>
          <t>rs4937706</t>
        </is>
      </c>
      <c r="F679" t="n">
        <v>-0.0077655315599999</v>
      </c>
      <c r="G679" t="n">
        <v>0.6143960582196074</v>
      </c>
      <c r="H679" t="n">
        <v>0.0184076555328489</v>
      </c>
      <c r="I679" t="n">
        <v>0.0753573698997079</v>
      </c>
      <c r="J679" t="n">
        <v>0.0678226203999399</v>
      </c>
      <c r="K679" t="n">
        <v>0.6533084123328174</v>
      </c>
      <c r="L679" t="b">
        <v>0</v>
      </c>
      <c r="M679" t="b">
        <v>0</v>
      </c>
      <c r="N679" t="inlineStr">
        <is>
          <t>ref</t>
        </is>
      </c>
      <c r="O679" t="n">
        <v>15</v>
      </c>
      <c r="P679" t="n">
        <v>0.004776</v>
      </c>
      <c r="Q679" t="n">
        <v>60</v>
      </c>
      <c r="R679" t="n">
        <v>0.02606</v>
      </c>
      <c r="S679">
        <f>IMAGE("https://mitra.stanford.edu/kundaje/oak/projects/neuro-variants/variant_position/credible/roussos_2024/variant_figures/roussos_2024.adolescence.GLU/rs4937706_count_position.png",4,220,900)</f>
        <v/>
      </c>
      <c r="T679">
        <f>IMAGE("https://mitra.stanford.edu/kundaje/oak/projects/neuro-variants/variant_position/credible/roussos_2024/variant_figures/roussos_2024.adolescence.GLU/rs4937706_profile_position.png",4,220,900)</f>
        <v/>
      </c>
    </row>
    <row r="680">
      <c r="A680" t="inlineStr">
        <is>
          <t>chr11</t>
        </is>
      </c>
      <c r="B680" t="n">
        <v>132514734</v>
      </c>
      <c r="C680" t="inlineStr">
        <is>
          <t>T</t>
        </is>
      </c>
      <c r="D680" t="inlineStr">
        <is>
          <t>G</t>
        </is>
      </c>
      <c r="E680" t="inlineStr">
        <is>
          <t>rs4310627</t>
        </is>
      </c>
      <c r="F680" t="n">
        <v>0.0593879261999999</v>
      </c>
      <c r="G680" t="n">
        <v>0.0577104184439259</v>
      </c>
      <c r="H680" t="n">
        <v>0.019545753087277</v>
      </c>
      <c r="I680" t="n">
        <v>0.07904641173607491</v>
      </c>
      <c r="J680" t="n">
        <v>0.239503897235856</v>
      </c>
      <c r="K680" t="n">
        <v>0.3433541808724937</v>
      </c>
      <c r="L680" t="b">
        <v>0</v>
      </c>
      <c r="M680" t="b">
        <v>0</v>
      </c>
      <c r="N680" t="inlineStr">
        <is>
          <t>alt</t>
        </is>
      </c>
      <c r="O680" t="n">
        <v>35</v>
      </c>
      <c r="P680" t="n">
        <v>0.003204</v>
      </c>
      <c r="Q680" t="n">
        <v>-60</v>
      </c>
      <c r="R680" t="n">
        <v>0.09265</v>
      </c>
      <c r="S680">
        <f>IMAGE("https://mitra.stanford.edu/kundaje/oak/projects/neuro-variants/variant_position/credible/roussos_2024/variant_figures/roussos_2024.adolescence.GLU/rs4310627_count_position.png",4,220,900)</f>
        <v/>
      </c>
      <c r="T680">
        <f>IMAGE("https://mitra.stanford.edu/kundaje/oak/projects/neuro-variants/variant_position/credible/roussos_2024/variant_figures/roussos_2024.adolescence.GLU/rs4310627_profile_position.png",4,220,900)</f>
        <v/>
      </c>
    </row>
    <row r="681">
      <c r="A681" t="inlineStr">
        <is>
          <t>chr11</t>
        </is>
      </c>
      <c r="B681" t="n">
        <v>132515145</v>
      </c>
      <c r="C681" t="inlineStr">
        <is>
          <t>C</t>
        </is>
      </c>
      <c r="D681" t="inlineStr">
        <is>
          <t>T</t>
        </is>
      </c>
      <c r="E681" t="inlineStr">
        <is>
          <t>rs1939971</t>
        </is>
      </c>
      <c r="F681" t="n">
        <v>0.0053236201</v>
      </c>
      <c r="G681" t="n">
        <v>0.6324160081549658</v>
      </c>
      <c r="H681" t="n">
        <v>0.0248587027538105</v>
      </c>
      <c r="I681" t="n">
        <v>0.0213395430065442</v>
      </c>
      <c r="J681" t="n">
        <v>0.1814304391623979</v>
      </c>
      <c r="K681" t="n">
        <v>0.4297377249287284</v>
      </c>
      <c r="L681" t="b">
        <v>0</v>
      </c>
      <c r="M681" t="b">
        <v>0</v>
      </c>
      <c r="N681" t="inlineStr">
        <is>
          <t>alt</t>
        </is>
      </c>
      <c r="O681" t="n">
        <v>65</v>
      </c>
      <c r="P681" t="n">
        <v>0.002235</v>
      </c>
      <c r="Q681" t="n">
        <v>-65</v>
      </c>
      <c r="R681" t="n">
        <v>0.02432</v>
      </c>
      <c r="S681">
        <f>IMAGE("https://mitra.stanford.edu/kundaje/oak/projects/neuro-variants/variant_position/credible/roussos_2024/variant_figures/roussos_2024.adolescence.GLU/rs1939971_count_position.png",4,220,900)</f>
        <v/>
      </c>
      <c r="T681">
        <f>IMAGE("https://mitra.stanford.edu/kundaje/oak/projects/neuro-variants/variant_position/credible/roussos_2024/variant_figures/roussos_2024.adolescence.GLU/rs1939971_profile_position.png",4,220,900)</f>
        <v/>
      </c>
    </row>
    <row r="682">
      <c r="A682" t="inlineStr">
        <is>
          <t>chr11</t>
        </is>
      </c>
      <c r="B682" t="n">
        <v>132515155</v>
      </c>
      <c r="C682" t="inlineStr">
        <is>
          <t>T</t>
        </is>
      </c>
      <c r="D682" t="inlineStr">
        <is>
          <t>C</t>
        </is>
      </c>
      <c r="E682" t="inlineStr">
        <is>
          <t>rs1939970</t>
        </is>
      </c>
      <c r="F682" t="n">
        <v>-0.008192961028</v>
      </c>
      <c r="G682" t="n">
        <v>0.6010481166705682</v>
      </c>
      <c r="H682" t="n">
        <v>0.0231101924729998</v>
      </c>
      <c r="I682" t="n">
        <v>0.029233602918504</v>
      </c>
      <c r="J682" t="n">
        <v>0.1765051332061641</v>
      </c>
      <c r="K682" t="n">
        <v>0.4375960031360917</v>
      </c>
      <c r="L682" t="b">
        <v>0</v>
      </c>
      <c r="M682" t="b">
        <v>0</v>
      </c>
      <c r="N682" t="inlineStr">
        <is>
          <t>ref</t>
        </is>
      </c>
      <c r="O682" t="n">
        <v>100</v>
      </c>
      <c r="P682" t="n">
        <v>0.003937</v>
      </c>
      <c r="Q682" t="n">
        <v>-60</v>
      </c>
      <c r="R682" t="n">
        <v>0.01688</v>
      </c>
      <c r="S682">
        <f>IMAGE("https://mitra.stanford.edu/kundaje/oak/projects/neuro-variants/variant_position/credible/roussos_2024/variant_figures/roussos_2024.adolescence.GLU/rs1939970_count_position.png",4,220,900)</f>
        <v/>
      </c>
      <c r="T682">
        <f>IMAGE("https://mitra.stanford.edu/kundaje/oak/projects/neuro-variants/variant_position/credible/roussos_2024/variant_figures/roussos_2024.adolescence.GLU/rs1939970_profile_position.png",4,220,900)</f>
        <v/>
      </c>
    </row>
    <row r="683">
      <c r="A683" t="inlineStr">
        <is>
          <t>chr11</t>
        </is>
      </c>
      <c r="B683" t="n">
        <v>132520056</v>
      </c>
      <c r="C683" t="inlineStr">
        <is>
          <t>G</t>
        </is>
      </c>
      <c r="D683" t="inlineStr">
        <is>
          <t>A</t>
        </is>
      </c>
      <c r="E683" t="inlineStr">
        <is>
          <t>rs644487</t>
        </is>
      </c>
      <c r="F683" t="n">
        <v>-0.0284351992</v>
      </c>
      <c r="G683" t="n">
        <v>0.1952403396927423</v>
      </c>
      <c r="H683" t="n">
        <v>0.0138324766611347</v>
      </c>
      <c r="I683" t="n">
        <v>0.2138106271700469</v>
      </c>
      <c r="J683" t="n">
        <v>0.1543948389309213</v>
      </c>
      <c r="K683" t="n">
        <v>0.4657934427838414</v>
      </c>
      <c r="L683" t="b">
        <v>0</v>
      </c>
      <c r="M683" t="b">
        <v>0</v>
      </c>
      <c r="N683" t="inlineStr">
        <is>
          <t>ref</t>
        </is>
      </c>
      <c r="O683" t="n">
        <v>-35</v>
      </c>
      <c r="P683" t="n">
        <v>0.001045</v>
      </c>
      <c r="Q683" t="n">
        <v>-95</v>
      </c>
      <c r="R683" t="n">
        <v>0.04962</v>
      </c>
      <c r="S683">
        <f>IMAGE("https://mitra.stanford.edu/kundaje/oak/projects/neuro-variants/variant_position/credible/roussos_2024/variant_figures/roussos_2024.adolescence.GLU/rs644487_count_position.png",4,220,900)</f>
        <v/>
      </c>
      <c r="T683">
        <f>IMAGE("https://mitra.stanford.edu/kundaje/oak/projects/neuro-variants/variant_position/credible/roussos_2024/variant_figures/roussos_2024.adolescence.GLU/rs644487_profile_position.png",4,220,900)</f>
        <v/>
      </c>
    </row>
    <row r="684">
      <c r="A684" t="inlineStr">
        <is>
          <t>chr11</t>
        </is>
      </c>
      <c r="B684" t="n">
        <v>132520069</v>
      </c>
      <c r="C684" t="inlineStr">
        <is>
          <t>C</t>
        </is>
      </c>
      <c r="D684" t="inlineStr">
        <is>
          <t>G</t>
        </is>
      </c>
      <c r="E684" t="inlineStr">
        <is>
          <t>rs644475</t>
        </is>
      </c>
      <c r="F684" t="n">
        <v>0.00723283488</v>
      </c>
      <c r="G684" t="n">
        <v>0.6114054049044052</v>
      </c>
      <c r="H684" t="n">
        <v>0.011341622655623</v>
      </c>
      <c r="I684" t="n">
        <v>0.3975961368219759</v>
      </c>
      <c r="J684" t="n">
        <v>0.152968829257489</v>
      </c>
      <c r="K684" t="n">
        <v>0.4677146580278335</v>
      </c>
      <c r="L684" t="b">
        <v>0</v>
      </c>
      <c r="M684" t="b">
        <v>0</v>
      </c>
      <c r="N684" t="inlineStr">
        <is>
          <t>alt</t>
        </is>
      </c>
      <c r="O684" t="n">
        <v>-50</v>
      </c>
      <c r="P684" t="n">
        <v>0.004654</v>
      </c>
      <c r="Q684" t="n">
        <v>-100</v>
      </c>
      <c r="R684" t="n">
        <v>0.02478</v>
      </c>
      <c r="S684">
        <f>IMAGE("https://mitra.stanford.edu/kundaje/oak/projects/neuro-variants/variant_position/credible/roussos_2024/variant_figures/roussos_2024.adolescence.GLU/rs644475_count_position.png",4,220,900)</f>
        <v/>
      </c>
      <c r="T684">
        <f>IMAGE("https://mitra.stanford.edu/kundaje/oak/projects/neuro-variants/variant_position/credible/roussos_2024/variant_figures/roussos_2024.adolescence.GLU/rs644475_profile_position.png",4,220,900)</f>
        <v/>
      </c>
    </row>
    <row r="685">
      <c r="A685" t="inlineStr">
        <is>
          <t>chr11</t>
        </is>
      </c>
      <c r="B685" t="n">
        <v>132520341</v>
      </c>
      <c r="C685" t="inlineStr">
        <is>
          <t>T</t>
        </is>
      </c>
      <c r="D685" t="inlineStr">
        <is>
          <t>C</t>
        </is>
      </c>
      <c r="E685" t="inlineStr">
        <is>
          <t>rs654125</t>
        </is>
      </c>
      <c r="F685" t="n">
        <v>0.06790378900000001</v>
      </c>
      <c r="G685" t="n">
        <v>0.0442643969643176</v>
      </c>
      <c r="H685" t="n">
        <v>0.0220616956483368</v>
      </c>
      <c r="I685" t="n">
        <v>0.053284422208477</v>
      </c>
      <c r="J685" t="n">
        <v>0.1016396253509655</v>
      </c>
      <c r="K685" t="n">
        <v>0.5591399155012622</v>
      </c>
      <c r="L685" t="b">
        <v>0</v>
      </c>
      <c r="M685" t="b">
        <v>0</v>
      </c>
      <c r="N685" t="inlineStr">
        <is>
          <t>alt</t>
        </is>
      </c>
      <c r="O685" t="n">
        <v>100</v>
      </c>
      <c r="P685" t="n">
        <v>0.01765</v>
      </c>
      <c r="Q685" t="n">
        <v>25</v>
      </c>
      <c r="R685" t="n">
        <v>0.02588</v>
      </c>
      <c r="S685">
        <f>IMAGE("https://mitra.stanford.edu/kundaje/oak/projects/neuro-variants/variant_position/credible/roussos_2024/variant_figures/roussos_2024.adolescence.GLU/rs654125_count_position.png",4,220,900)</f>
        <v/>
      </c>
      <c r="T685">
        <f>IMAGE("https://mitra.stanford.edu/kundaje/oak/projects/neuro-variants/variant_position/credible/roussos_2024/variant_figures/roussos_2024.adolescence.GLU/rs654125_profile_position.png",4,220,900)</f>
        <v/>
      </c>
    </row>
    <row r="686">
      <c r="A686" t="inlineStr">
        <is>
          <t>chr11</t>
        </is>
      </c>
      <c r="B686" t="n">
        <v>132520659</v>
      </c>
      <c r="C686" t="inlineStr">
        <is>
          <t>T</t>
        </is>
      </c>
      <c r="D686" t="inlineStr">
        <is>
          <t>C</t>
        </is>
      </c>
      <c r="E686" t="inlineStr">
        <is>
          <t>rs10894572</t>
        </is>
      </c>
      <c r="F686" t="n">
        <v>0.07980345699999999</v>
      </c>
      <c r="G686" t="n">
        <v>0.0136238114212383</v>
      </c>
      <c r="H686" t="n">
        <v>0.0145082996172391</v>
      </c>
      <c r="I686" t="n">
        <v>0.1743591930701431</v>
      </c>
      <c r="J686" t="n">
        <v>0.0561201963263818</v>
      </c>
      <c r="K686" t="n">
        <v>0.6825544708497503</v>
      </c>
      <c r="L686" t="b">
        <v>1</v>
      </c>
      <c r="M686" t="b">
        <v>0</v>
      </c>
      <c r="N686" t="inlineStr">
        <is>
          <t>alt</t>
        </is>
      </c>
      <c r="O686" t="n">
        <v>-100</v>
      </c>
      <c r="P686" t="n">
        <v>0.02153</v>
      </c>
      <c r="Q686" t="n">
        <v>-85</v>
      </c>
      <c r="R686" t="n">
        <v>0.05762</v>
      </c>
      <c r="S686">
        <f>IMAGE("https://mitra.stanford.edu/kundaje/oak/projects/neuro-variants/variant_position/credible/roussos_2024/variant_figures/roussos_2024.adolescence.GLU/rs10894572_count_position.png",4,220,900)</f>
        <v/>
      </c>
      <c r="T686">
        <f>IMAGE("https://mitra.stanford.edu/kundaje/oak/projects/neuro-variants/variant_position/credible/roussos_2024/variant_figures/roussos_2024.adolescence.GLU/rs10894572_profile_position.png",4,220,900)</f>
        <v/>
      </c>
    </row>
    <row r="687">
      <c r="A687" t="inlineStr">
        <is>
          <t>chr11</t>
        </is>
      </c>
      <c r="B687" t="n">
        <v>132521327</v>
      </c>
      <c r="C687" t="inlineStr">
        <is>
          <t>T</t>
        </is>
      </c>
      <c r="D687" t="inlineStr">
        <is>
          <t>G</t>
        </is>
      </c>
      <c r="E687" t="inlineStr">
        <is>
          <t>rs639254</t>
        </is>
      </c>
      <c r="F687" t="n">
        <v>-0.0243756742</v>
      </c>
      <c r="G687" t="n">
        <v>0.2389586872053494</v>
      </c>
      <c r="H687" t="n">
        <v>0.0221675275476278</v>
      </c>
      <c r="I687" t="n">
        <v>0.0386806981733956</v>
      </c>
      <c r="J687" t="n">
        <v>0.0310878682012702</v>
      </c>
      <c r="K687" t="n">
        <v>0.7654270058368055</v>
      </c>
      <c r="L687" t="b">
        <v>0</v>
      </c>
      <c r="M687" t="b">
        <v>0</v>
      </c>
      <c r="N687" t="inlineStr">
        <is>
          <t>ref</t>
        </is>
      </c>
      <c r="O687" t="n">
        <v>10</v>
      </c>
      <c r="P687" t="n">
        <v>0.001209</v>
      </c>
      <c r="Q687" t="n">
        <v>100</v>
      </c>
      <c r="R687" t="n">
        <v>0.07275</v>
      </c>
      <c r="S687">
        <f>IMAGE("https://mitra.stanford.edu/kundaje/oak/projects/neuro-variants/variant_position/credible/roussos_2024/variant_figures/roussos_2024.adolescence.GLU/rs639254_count_position.png",4,220,900)</f>
        <v/>
      </c>
      <c r="T687">
        <f>IMAGE("https://mitra.stanford.edu/kundaje/oak/projects/neuro-variants/variant_position/credible/roussos_2024/variant_figures/roussos_2024.adolescence.GLU/rs639254_profile_position.png",4,220,900)</f>
        <v/>
      </c>
    </row>
    <row r="688">
      <c r="A688" t="inlineStr">
        <is>
          <t>chr11</t>
        </is>
      </c>
      <c r="B688" t="n">
        <v>132521983</v>
      </c>
      <c r="C688" t="inlineStr">
        <is>
          <t>T</t>
        </is>
      </c>
      <c r="D688" t="inlineStr">
        <is>
          <t>A</t>
        </is>
      </c>
      <c r="E688" t="inlineStr">
        <is>
          <t>rs2508976</t>
        </is>
      </c>
      <c r="F688" t="n">
        <v>-0.00094397212</v>
      </c>
      <c r="G688" t="n">
        <v>0.7174965488204342</v>
      </c>
      <c r="H688" t="n">
        <v>0.0078242774854815</v>
      </c>
      <c r="I688" t="n">
        <v>0.7949254527011631</v>
      </c>
      <c r="J688" t="n">
        <v>0.0157318301648198</v>
      </c>
      <c r="K688" t="n">
        <v>0.8387903762659776</v>
      </c>
      <c r="L688" t="b">
        <v>0</v>
      </c>
      <c r="M688" t="b">
        <v>0</v>
      </c>
      <c r="N688" t="inlineStr">
        <is>
          <t>ref</t>
        </is>
      </c>
      <c r="O688" t="n">
        <v>-100</v>
      </c>
      <c r="P688" t="n">
        <v>0.11755</v>
      </c>
      <c r="Q688" t="n">
        <v>10</v>
      </c>
      <c r="R688" t="n">
        <v>0.008059999999999999</v>
      </c>
      <c r="S688">
        <f>IMAGE("https://mitra.stanford.edu/kundaje/oak/projects/neuro-variants/variant_position/credible/roussos_2024/variant_figures/roussos_2024.adolescence.GLU/rs2508976_count_position.png",4,220,900)</f>
        <v/>
      </c>
      <c r="T688">
        <f>IMAGE("https://mitra.stanford.edu/kundaje/oak/projects/neuro-variants/variant_position/credible/roussos_2024/variant_figures/roussos_2024.adolescence.GLU/rs2508976_profile_position.png",4,220,900)</f>
        <v/>
      </c>
    </row>
    <row r="689">
      <c r="A689" t="inlineStr">
        <is>
          <t>chr11</t>
        </is>
      </c>
      <c r="B689" t="n">
        <v>132524230</v>
      </c>
      <c r="C689" t="inlineStr">
        <is>
          <t>T</t>
        </is>
      </c>
      <c r="D689" t="inlineStr">
        <is>
          <t>C</t>
        </is>
      </c>
      <c r="E689" t="inlineStr">
        <is>
          <t>rs2509229</t>
        </is>
      </c>
      <c r="F689" t="n">
        <v>-0.0254215724</v>
      </c>
      <c r="G689" t="n">
        <v>0.2233140899937477</v>
      </c>
      <c r="H689" t="n">
        <v>0.0203310469971691</v>
      </c>
      <c r="I689" t="n">
        <v>0.0545265147173626</v>
      </c>
      <c r="J689" t="n">
        <v>0.2163290967414678</v>
      </c>
      <c r="K689" t="n">
        <v>0.3817399705694962</v>
      </c>
      <c r="L689" t="b">
        <v>0</v>
      </c>
      <c r="M689" t="b">
        <v>0</v>
      </c>
      <c r="N689" t="inlineStr">
        <is>
          <t>ref</t>
        </is>
      </c>
      <c r="O689" t="n">
        <v>90</v>
      </c>
      <c r="P689" t="n">
        <v>0.001493</v>
      </c>
      <c r="Q689" t="n">
        <v>-90</v>
      </c>
      <c r="R689" t="n">
        <v>0.03552</v>
      </c>
      <c r="S689">
        <f>IMAGE("https://mitra.stanford.edu/kundaje/oak/projects/neuro-variants/variant_position/credible/roussos_2024/variant_figures/roussos_2024.adolescence.GLU/rs2509229_count_position.png",4,220,900)</f>
        <v/>
      </c>
      <c r="T689">
        <f>IMAGE("https://mitra.stanford.edu/kundaje/oak/projects/neuro-variants/variant_position/credible/roussos_2024/variant_figures/roussos_2024.adolescence.GLU/rs2509229_profile_position.png",4,220,900)</f>
        <v/>
      </c>
    </row>
    <row r="690">
      <c r="A690" t="inlineStr">
        <is>
          <t>chr11</t>
        </is>
      </c>
      <c r="B690" t="n">
        <v>132527297</v>
      </c>
      <c r="C690" t="inlineStr">
        <is>
          <t>C</t>
        </is>
      </c>
      <c r="D690" t="inlineStr">
        <is>
          <t>A</t>
        </is>
      </c>
      <c r="E690" t="inlineStr">
        <is>
          <t>rs2509228</t>
        </is>
      </c>
      <c r="F690" t="n">
        <v>-0.00055990953</v>
      </c>
      <c r="G690" t="n">
        <v>0.7994383110996071</v>
      </c>
      <c r="H690" t="n">
        <v>0.0221412704896226</v>
      </c>
      <c r="I690" t="n">
        <v>0.0364476884613394</v>
      </c>
      <c r="J690" t="n">
        <v>0.0715776839488179</v>
      </c>
      <c r="K690" t="n">
        <v>0.6365389923323213</v>
      </c>
      <c r="L690" t="b">
        <v>0</v>
      </c>
      <c r="M690" t="b">
        <v>0</v>
      </c>
      <c r="N690" t="inlineStr">
        <is>
          <t>ref</t>
        </is>
      </c>
      <c r="O690" t="n">
        <v>65</v>
      </c>
      <c r="P690" t="n">
        <v>0.01584</v>
      </c>
      <c r="Q690" t="n">
        <v>15</v>
      </c>
      <c r="R690" t="n">
        <v>0.05072</v>
      </c>
      <c r="S690">
        <f>IMAGE("https://mitra.stanford.edu/kundaje/oak/projects/neuro-variants/variant_position/credible/roussos_2024/variant_figures/roussos_2024.adolescence.GLU/rs2509228_count_position.png",4,220,900)</f>
        <v/>
      </c>
      <c r="T690">
        <f>IMAGE("https://mitra.stanford.edu/kundaje/oak/projects/neuro-variants/variant_position/credible/roussos_2024/variant_figures/roussos_2024.adolescence.GLU/rs2509228_profile_position.png",4,220,900)</f>
        <v/>
      </c>
    </row>
    <row r="691">
      <c r="A691" t="inlineStr">
        <is>
          <t>chr11</t>
        </is>
      </c>
      <c r="B691" t="n">
        <v>132528266</v>
      </c>
      <c r="C691" t="inlineStr">
        <is>
          <t>C</t>
        </is>
      </c>
      <c r="D691" t="inlineStr">
        <is>
          <t>G</t>
        </is>
      </c>
      <c r="E691" t="inlineStr">
        <is>
          <t>rs2512706</t>
        </is>
      </c>
      <c r="F691" t="n">
        <v>0.0183427338599999</v>
      </c>
      <c r="G691" t="n">
        <v>0.3146775828202205</v>
      </c>
      <c r="H691" t="n">
        <v>0.013750017532777</v>
      </c>
      <c r="I691" t="n">
        <v>0.2615950412013559</v>
      </c>
      <c r="J691" t="n">
        <v>0.0371605546863278</v>
      </c>
      <c r="K691" t="n">
        <v>0.7442008656918652</v>
      </c>
      <c r="L691" t="b">
        <v>0</v>
      </c>
      <c r="M691" t="b">
        <v>0</v>
      </c>
      <c r="N691" t="inlineStr">
        <is>
          <t>alt</t>
        </is>
      </c>
      <c r="O691" t="n">
        <v>-45</v>
      </c>
      <c r="P691" t="n">
        <v>0.00447</v>
      </c>
      <c r="Q691" t="n">
        <v>15</v>
      </c>
      <c r="R691" t="n">
        <v>0.01959</v>
      </c>
      <c r="S691">
        <f>IMAGE("https://mitra.stanford.edu/kundaje/oak/projects/neuro-variants/variant_position/credible/roussos_2024/variant_figures/roussos_2024.adolescence.GLU/rs2512706_count_position.png",4,220,900)</f>
        <v/>
      </c>
      <c r="T691">
        <f>IMAGE("https://mitra.stanford.edu/kundaje/oak/projects/neuro-variants/variant_position/credible/roussos_2024/variant_figures/roussos_2024.adolescence.GLU/rs2512706_profile_position.png",4,220,900)</f>
        <v/>
      </c>
    </row>
    <row r="692">
      <c r="A692" t="inlineStr">
        <is>
          <t>chr11</t>
        </is>
      </c>
      <c r="B692" t="n">
        <v>132537875</v>
      </c>
      <c r="C692" t="inlineStr">
        <is>
          <t>C</t>
        </is>
      </c>
      <c r="D692" t="inlineStr">
        <is>
          <t>T</t>
        </is>
      </c>
      <c r="E692" t="inlineStr">
        <is>
          <t>rs55945016</t>
        </is>
      </c>
      <c r="F692" t="n">
        <v>-0.0269232644</v>
      </c>
      <c r="G692" t="n">
        <v>0.2239784531549576</v>
      </c>
      <c r="H692" t="n">
        <v>0.0155094324407805</v>
      </c>
      <c r="I692" t="n">
        <v>0.1680519442432582</v>
      </c>
      <c r="J692" t="n">
        <v>0.0071386215716112</v>
      </c>
      <c r="K692" t="n">
        <v>0.9090761378470592</v>
      </c>
      <c r="L692" t="b">
        <v>0</v>
      </c>
      <c r="M692" t="b">
        <v>0</v>
      </c>
      <c r="N692" t="inlineStr">
        <is>
          <t>ref</t>
        </is>
      </c>
      <c r="O692" t="n">
        <v>-5</v>
      </c>
      <c r="P692" t="n">
        <v>0.001743</v>
      </c>
      <c r="Q692" t="n">
        <v>100</v>
      </c>
      <c r="R692" t="n">
        <v>0.008</v>
      </c>
      <c r="S692">
        <f>IMAGE("https://mitra.stanford.edu/kundaje/oak/projects/neuro-variants/variant_position/credible/roussos_2024/variant_figures/roussos_2024.adolescence.GLU/rs55945016_count_position.png",4,220,900)</f>
        <v/>
      </c>
      <c r="T692">
        <f>IMAGE("https://mitra.stanford.edu/kundaje/oak/projects/neuro-variants/variant_position/credible/roussos_2024/variant_figures/roussos_2024.adolescence.GLU/rs55945016_profile_position.png",4,220,900)</f>
        <v/>
      </c>
    </row>
    <row r="693">
      <c r="A693" t="inlineStr">
        <is>
          <t>chr11</t>
        </is>
      </c>
      <c r="B693" t="n">
        <v>132542227</v>
      </c>
      <c r="C693" t="inlineStr">
        <is>
          <t>A</t>
        </is>
      </c>
      <c r="D693" t="inlineStr">
        <is>
          <t>G</t>
        </is>
      </c>
      <c r="E693" t="inlineStr">
        <is>
          <t>rs73035374</t>
        </is>
      </c>
      <c r="F693" t="n">
        <v>0.0048164442599999</v>
      </c>
      <c r="G693" t="n">
        <v>0.590556945213638</v>
      </c>
      <c r="H693" t="n">
        <v>0.009882794355098701</v>
      </c>
      <c r="I693" t="n">
        <v>0.5473801489444223</v>
      </c>
      <c r="J693" t="n">
        <v>0.2153460359645926</v>
      </c>
      <c r="K693" t="n">
        <v>0.3824832529120412</v>
      </c>
      <c r="L693" t="b">
        <v>0</v>
      </c>
      <c r="M693" t="b">
        <v>0</v>
      </c>
      <c r="N693" t="inlineStr">
        <is>
          <t>alt</t>
        </is>
      </c>
      <c r="O693" t="n">
        <v>50</v>
      </c>
      <c r="P693" t="n">
        <v>0.001549</v>
      </c>
      <c r="Q693" t="n">
        <v>-10</v>
      </c>
      <c r="R693" t="n">
        <v>0.01892</v>
      </c>
      <c r="S693">
        <f>IMAGE("https://mitra.stanford.edu/kundaje/oak/projects/neuro-variants/variant_position/credible/roussos_2024/variant_figures/roussos_2024.adolescence.GLU/rs73035374_count_position.png",4,220,900)</f>
        <v/>
      </c>
      <c r="T693">
        <f>IMAGE("https://mitra.stanford.edu/kundaje/oak/projects/neuro-variants/variant_position/credible/roussos_2024/variant_figures/roussos_2024.adolescence.GLU/rs73035374_profile_position.png",4,220,900)</f>
        <v/>
      </c>
    </row>
    <row r="694">
      <c r="A694" t="inlineStr">
        <is>
          <t>chr11</t>
        </is>
      </c>
      <c r="B694" t="n">
        <v>132659602</v>
      </c>
      <c r="C694" t="inlineStr">
        <is>
          <t>C</t>
        </is>
      </c>
      <c r="D694" t="inlineStr">
        <is>
          <t>T</t>
        </is>
      </c>
      <c r="E694" t="inlineStr">
        <is>
          <t>rs6590647</t>
        </is>
      </c>
      <c r="F694" t="n">
        <v>0.00251296262</v>
      </c>
      <c r="G694" t="n">
        <v>0.6989481887259179</v>
      </c>
      <c r="H694" t="n">
        <v>0.0189634288520802</v>
      </c>
      <c r="I694" t="n">
        <v>0.0706221473489354</v>
      </c>
      <c r="J694" t="n">
        <v>0.050316136914075</v>
      </c>
      <c r="K694" t="n">
        <v>0.695816141028225</v>
      </c>
      <c r="L694" t="b">
        <v>0</v>
      </c>
      <c r="M694" t="b">
        <v>0</v>
      </c>
      <c r="N694" t="inlineStr">
        <is>
          <t>alt</t>
        </is>
      </c>
      <c r="O694" t="n">
        <v>-5</v>
      </c>
      <c r="P694" t="n">
        <v>0.0004578</v>
      </c>
      <c r="Q694" t="n">
        <v>-85</v>
      </c>
      <c r="R694" t="n">
        <v>0.026</v>
      </c>
      <c r="S694">
        <f>IMAGE("https://mitra.stanford.edu/kundaje/oak/projects/neuro-variants/variant_position/credible/roussos_2024/variant_figures/roussos_2024.adolescence.GLU/rs6590647_count_position.png",4,220,900)</f>
        <v/>
      </c>
      <c r="T694">
        <f>IMAGE("https://mitra.stanford.edu/kundaje/oak/projects/neuro-variants/variant_position/credible/roussos_2024/variant_figures/roussos_2024.adolescence.GLU/rs6590647_profile_position.png",4,220,900)</f>
        <v/>
      </c>
    </row>
    <row r="695">
      <c r="A695" t="inlineStr">
        <is>
          <t>chr11</t>
        </is>
      </c>
      <c r="B695" t="n">
        <v>132692230</v>
      </c>
      <c r="C695" t="inlineStr">
        <is>
          <t>A</t>
        </is>
      </c>
      <c r="D695" t="inlineStr">
        <is>
          <t>C</t>
        </is>
      </c>
      <c r="E695" t="inlineStr">
        <is>
          <t>rs3862599</t>
        </is>
      </c>
      <c r="F695" t="n">
        <v>0.06280197279999999</v>
      </c>
      <c r="G695" t="n">
        <v>0.0302634947319886</v>
      </c>
      <c r="H695" t="n">
        <v>0.0171488955873431</v>
      </c>
      <c r="I695" t="n">
        <v>0.098562562534087</v>
      </c>
      <c r="J695" t="n">
        <v>0.2923305541862243</v>
      </c>
      <c r="K695" t="n">
        <v>0.2796936295697383</v>
      </c>
      <c r="L695" t="b">
        <v>0</v>
      </c>
      <c r="M695" t="b">
        <v>0</v>
      </c>
      <c r="N695" t="inlineStr">
        <is>
          <t>alt</t>
        </is>
      </c>
      <c r="O695" t="n">
        <v>95</v>
      </c>
      <c r="P695" t="n">
        <v>0.00592</v>
      </c>
      <c r="Q695" t="n">
        <v>-100</v>
      </c>
      <c r="R695" t="n">
        <v>0.03894</v>
      </c>
      <c r="S695">
        <f>IMAGE("https://mitra.stanford.edu/kundaje/oak/projects/neuro-variants/variant_position/credible/roussos_2024/variant_figures/roussos_2024.adolescence.GLU/rs3862599_count_position.png",4,220,900)</f>
        <v/>
      </c>
      <c r="T695">
        <f>IMAGE("https://mitra.stanford.edu/kundaje/oak/projects/neuro-variants/variant_position/credible/roussos_2024/variant_figures/roussos_2024.adolescence.GLU/rs3862599_profile_position.png",4,220,900)</f>
        <v/>
      </c>
    </row>
    <row r="696">
      <c r="A696" t="inlineStr">
        <is>
          <t>chr11</t>
        </is>
      </c>
      <c r="B696" t="n">
        <v>132692599</v>
      </c>
      <c r="C696" t="inlineStr">
        <is>
          <t>G</t>
        </is>
      </c>
      <c r="D696" t="inlineStr">
        <is>
          <t>A</t>
        </is>
      </c>
      <c r="E696" t="inlineStr">
        <is>
          <t>rs3018396</t>
        </is>
      </c>
      <c r="F696" t="n">
        <v>-0.00854474932</v>
      </c>
      <c r="G696" t="n">
        <v>0.5948018483322007</v>
      </c>
      <c r="H696" t="n">
        <v>0.0187638106001299</v>
      </c>
      <c r="I696" t="n">
        <v>0.0730260876890155</v>
      </c>
      <c r="J696" t="n">
        <v>0.2040722721135091</v>
      </c>
      <c r="K696" t="n">
        <v>0.393846658417296</v>
      </c>
      <c r="L696" t="b">
        <v>0</v>
      </c>
      <c r="M696" t="b">
        <v>0</v>
      </c>
      <c r="N696" t="inlineStr">
        <is>
          <t>ref</t>
        </is>
      </c>
      <c r="O696" t="n">
        <v>-100</v>
      </c>
      <c r="P696" t="n">
        <v>0.005768</v>
      </c>
      <c r="Q696" t="n">
        <v>-80</v>
      </c>
      <c r="R696" t="n">
        <v>0.03516</v>
      </c>
      <c r="S696">
        <f>IMAGE("https://mitra.stanford.edu/kundaje/oak/projects/neuro-variants/variant_position/credible/roussos_2024/variant_figures/roussos_2024.adolescence.GLU/rs3018396_count_position.png",4,220,900)</f>
        <v/>
      </c>
      <c r="T696">
        <f>IMAGE("https://mitra.stanford.edu/kundaje/oak/projects/neuro-variants/variant_position/credible/roussos_2024/variant_figures/roussos_2024.adolescence.GLU/rs3018396_profile_position.png",4,220,900)</f>
        <v/>
      </c>
    </row>
    <row r="697">
      <c r="A697" t="inlineStr">
        <is>
          <t>chr11</t>
        </is>
      </c>
      <c r="B697" t="n">
        <v>132698231</v>
      </c>
      <c r="C697" t="inlineStr">
        <is>
          <t>C</t>
        </is>
      </c>
      <c r="D697" t="inlineStr">
        <is>
          <t>T</t>
        </is>
      </c>
      <c r="E697" t="inlineStr">
        <is>
          <t>rs1940148</t>
        </is>
      </c>
      <c r="F697" t="n">
        <v>0.01760508246</v>
      </c>
      <c r="G697" t="n">
        <v>0.3141021345984432</v>
      </c>
      <c r="H697" t="n">
        <v>0.0099158898138862</v>
      </c>
      <c r="I697" t="n">
        <v>0.5547100437680205</v>
      </c>
      <c r="J697" t="n">
        <v>0.009953490365861401</v>
      </c>
      <c r="K697" t="n">
        <v>0.877289615541159</v>
      </c>
      <c r="L697" t="b">
        <v>0</v>
      </c>
      <c r="M697" t="b">
        <v>0</v>
      </c>
      <c r="N697" t="inlineStr">
        <is>
          <t>alt</t>
        </is>
      </c>
      <c r="O697" t="n">
        <v>-100</v>
      </c>
      <c r="P697" t="n">
        <v>0.01909</v>
      </c>
      <c r="Q697" t="n">
        <v>-20</v>
      </c>
      <c r="R697" t="n">
        <v>0.02032</v>
      </c>
      <c r="S697">
        <f>IMAGE("https://mitra.stanford.edu/kundaje/oak/projects/neuro-variants/variant_position/credible/roussos_2024/variant_figures/roussos_2024.adolescence.GLU/rs1940148_count_position.png",4,220,900)</f>
        <v/>
      </c>
      <c r="T697">
        <f>IMAGE("https://mitra.stanford.edu/kundaje/oak/projects/neuro-variants/variant_position/credible/roussos_2024/variant_figures/roussos_2024.adolescence.GLU/rs1940148_profile_position.png",4,220,900)</f>
        <v/>
      </c>
    </row>
    <row r="698">
      <c r="A698" t="inlineStr">
        <is>
          <t>chr11</t>
        </is>
      </c>
      <c r="B698" t="n">
        <v>132702875</v>
      </c>
      <c r="C698" t="inlineStr">
        <is>
          <t>A</t>
        </is>
      </c>
      <c r="D698" t="inlineStr">
        <is>
          <t>G</t>
        </is>
      </c>
      <c r="E698" t="inlineStr">
        <is>
          <t>rs1939515</t>
        </is>
      </c>
      <c r="F698" t="n">
        <v>0.06834524</v>
      </c>
      <c r="G698" t="n">
        <v>0.0232906853830361</v>
      </c>
      <c r="H698" t="n">
        <v>0.0125687236772316</v>
      </c>
      <c r="I698" t="n">
        <v>0.2840899053906545</v>
      </c>
      <c r="J698" t="n">
        <v>0.0546770402440505</v>
      </c>
      <c r="K698" t="n">
        <v>0.6843403937064468</v>
      </c>
      <c r="L698" t="b">
        <v>0</v>
      </c>
      <c r="M698" t="b">
        <v>0</v>
      </c>
      <c r="N698" t="inlineStr">
        <is>
          <t>alt</t>
        </is>
      </c>
      <c r="O698" t="n">
        <v>65</v>
      </c>
      <c r="P698" t="n">
        <v>0.01358</v>
      </c>
      <c r="Q698" t="n">
        <v>-100</v>
      </c>
      <c r="R698" t="n">
        <v>0.0682</v>
      </c>
      <c r="S698">
        <f>IMAGE("https://mitra.stanford.edu/kundaje/oak/projects/neuro-variants/variant_position/credible/roussos_2024/variant_figures/roussos_2024.adolescence.GLU/rs1939515_count_position.png",4,220,900)</f>
        <v/>
      </c>
      <c r="T698">
        <f>IMAGE("https://mitra.stanford.edu/kundaje/oak/projects/neuro-variants/variant_position/credible/roussos_2024/variant_figures/roussos_2024.adolescence.GLU/rs1939515_profile_position.png",4,220,900)</f>
        <v/>
      </c>
    </row>
    <row r="699">
      <c r="A699" t="inlineStr">
        <is>
          <t>chr11</t>
        </is>
      </c>
      <c r="B699" t="n">
        <v>133863969</v>
      </c>
      <c r="C699" t="inlineStr">
        <is>
          <t>T</t>
        </is>
      </c>
      <c r="D699" t="inlineStr">
        <is>
          <t>C</t>
        </is>
      </c>
      <c r="E699" t="inlineStr">
        <is>
          <t>rs7946883</t>
        </is>
      </c>
      <c r="F699" t="n">
        <v>0.0223688001999999</v>
      </c>
      <c r="G699" t="n">
        <v>0.246010842771835</v>
      </c>
      <c r="H699" t="n">
        <v>0.0170299040216353</v>
      </c>
      <c r="I699" t="n">
        <v>0.0983040067011938</v>
      </c>
      <c r="J699" t="n">
        <v>0.3768423459145108</v>
      </c>
      <c r="K699" t="n">
        <v>0.1882445281275172</v>
      </c>
      <c r="L699" t="b">
        <v>0</v>
      </c>
      <c r="M699" t="b">
        <v>0</v>
      </c>
      <c r="N699" t="inlineStr">
        <is>
          <t>alt</t>
        </is>
      </c>
      <c r="O699" t="n">
        <v>-85</v>
      </c>
      <c r="P699" t="n">
        <v>0.01311</v>
      </c>
      <c r="Q699" t="n">
        <v>100</v>
      </c>
      <c r="R699" t="n">
        <v>0.04852</v>
      </c>
      <c r="S699">
        <f>IMAGE("https://mitra.stanford.edu/kundaje/oak/projects/neuro-variants/variant_position/credible/roussos_2024/variant_figures/roussos_2024.adolescence.GLU/rs7946883_count_position.png",4,220,900)</f>
        <v/>
      </c>
      <c r="T699">
        <f>IMAGE("https://mitra.stanford.edu/kundaje/oak/projects/neuro-variants/variant_position/credible/roussos_2024/variant_figures/roussos_2024.adolescence.GLU/rs7946883_profile_position.png",4,220,900)</f>
        <v/>
      </c>
    </row>
    <row r="700">
      <c r="A700" t="inlineStr">
        <is>
          <t>chr11</t>
        </is>
      </c>
      <c r="B700" t="n">
        <v>133951249</v>
      </c>
      <c r="C700" t="inlineStr">
        <is>
          <t>G</t>
        </is>
      </c>
      <c r="D700" t="inlineStr">
        <is>
          <t>A</t>
        </is>
      </c>
      <c r="E700" t="inlineStr">
        <is>
          <t>rs118031494</t>
        </is>
      </c>
      <c r="F700" t="n">
        <v>0.0021208435199999</v>
      </c>
      <c r="G700" t="n">
        <v>0.7651827987210101</v>
      </c>
      <c r="H700" t="n">
        <v>0.0096191094313234</v>
      </c>
      <c r="I700" t="n">
        <v>0.5882692568224431</v>
      </c>
      <c r="J700" t="n">
        <v>0.6760000285773482</v>
      </c>
      <c r="K700" t="n">
        <v>0.0185376169949192</v>
      </c>
      <c r="L700" t="b">
        <v>0</v>
      </c>
      <c r="M700" t="b">
        <v>0</v>
      </c>
      <c r="N700" t="inlineStr">
        <is>
          <t>alt</t>
        </is>
      </c>
      <c r="O700" t="n">
        <v>-100</v>
      </c>
      <c r="P700" t="n">
        <v>0.002468</v>
      </c>
      <c r="Q700" t="n">
        <v>-85</v>
      </c>
      <c r="R700" t="n">
        <v>0.04327</v>
      </c>
      <c r="S700">
        <f>IMAGE("https://mitra.stanford.edu/kundaje/oak/projects/neuro-variants/variant_position/credible/roussos_2024/variant_figures/roussos_2024.adolescence.GLU/rs118031494_count_position.png",4,220,900)</f>
        <v/>
      </c>
      <c r="T700">
        <f>IMAGE("https://mitra.stanford.edu/kundaje/oak/projects/neuro-variants/variant_position/credible/roussos_2024/variant_figures/roussos_2024.adolescence.GLU/rs118031494_profile_position.png",4,220,900)</f>
        <v/>
      </c>
    </row>
    <row r="701">
      <c r="A701" t="inlineStr">
        <is>
          <t>chr11</t>
        </is>
      </c>
      <c r="B701" t="n">
        <v>133952238</v>
      </c>
      <c r="C701" t="inlineStr">
        <is>
          <t>G</t>
        </is>
      </c>
      <c r="D701" t="inlineStr">
        <is>
          <t>A</t>
        </is>
      </c>
      <c r="E701" t="inlineStr">
        <is>
          <t>rs73034295</t>
        </is>
      </c>
      <c r="F701" t="n">
        <v>-0.0969029292</v>
      </c>
      <c r="G701" t="n">
        <v>0.008483904949952501</v>
      </c>
      <c r="H701" t="n">
        <v>0.016653668840811</v>
      </c>
      <c r="I701" t="n">
        <v>0.1191226420760909</v>
      </c>
      <c r="J701" t="n">
        <v>0.5479549335219438</v>
      </c>
      <c r="K701" t="n">
        <v>0.0611632370334836</v>
      </c>
      <c r="L701" t="b">
        <v>1</v>
      </c>
      <c r="M701" t="b">
        <v>1</v>
      </c>
      <c r="N701" t="inlineStr">
        <is>
          <t>ref</t>
        </is>
      </c>
      <c r="O701" t="n">
        <v>25</v>
      </c>
      <c r="P701" t="n">
        <v>0.0009859999999999999</v>
      </c>
      <c r="Q701" t="n">
        <v>-75</v>
      </c>
      <c r="R701" t="n">
        <v>0.0837</v>
      </c>
      <c r="S701">
        <f>IMAGE("https://mitra.stanford.edu/kundaje/oak/projects/neuro-variants/variant_position/credible/roussos_2024/variant_figures/roussos_2024.adolescence.GLU/rs73034295_count_position.png",4,220,900)</f>
        <v/>
      </c>
      <c r="T701">
        <f>IMAGE("https://mitra.stanford.edu/kundaje/oak/projects/neuro-variants/variant_position/credible/roussos_2024/variant_figures/roussos_2024.adolescence.GLU/rs73034295_profile_position.png",4,220,900)</f>
        <v/>
      </c>
    </row>
    <row r="702">
      <c r="A702" t="inlineStr">
        <is>
          <t>chr11</t>
        </is>
      </c>
      <c r="B702" t="n">
        <v>133970261</v>
      </c>
      <c r="C702" t="inlineStr">
        <is>
          <t>C</t>
        </is>
      </c>
      <c r="D702" t="inlineStr">
        <is>
          <t>T</t>
        </is>
      </c>
      <c r="E702" t="inlineStr">
        <is>
          <t>rs73036081</t>
        </is>
      </c>
      <c r="F702" t="n">
        <v>0.00740148306</v>
      </c>
      <c r="G702" t="n">
        <v>0.6088621988760294</v>
      </c>
      <c r="H702" t="n">
        <v>0.0122598903253164</v>
      </c>
      <c r="I702" t="n">
        <v>0.3151523733332164</v>
      </c>
      <c r="J702" t="n">
        <v>0.4087632438147902</v>
      </c>
      <c r="K702" t="n">
        <v>0.1591540962889399</v>
      </c>
      <c r="L702" t="b">
        <v>0</v>
      </c>
      <c r="M702" t="b">
        <v>0</v>
      </c>
      <c r="N702" t="inlineStr">
        <is>
          <t>alt</t>
        </is>
      </c>
      <c r="O702" t="n">
        <v>-50</v>
      </c>
      <c r="P702" t="n">
        <v>0.001686</v>
      </c>
      <c r="Q702" t="n">
        <v>-60</v>
      </c>
      <c r="R702" t="n">
        <v>0.0484</v>
      </c>
      <c r="S702">
        <f>IMAGE("https://mitra.stanford.edu/kundaje/oak/projects/neuro-variants/variant_position/credible/roussos_2024/variant_figures/roussos_2024.adolescence.GLU/rs73036081_count_position.png",4,220,900)</f>
        <v/>
      </c>
      <c r="T702">
        <f>IMAGE("https://mitra.stanford.edu/kundaje/oak/projects/neuro-variants/variant_position/credible/roussos_2024/variant_figures/roussos_2024.adolescence.GLU/rs73036081_profile_position.png",4,220,900)</f>
        <v/>
      </c>
    </row>
    <row r="703">
      <c r="A703" t="inlineStr">
        <is>
          <t>chr11</t>
        </is>
      </c>
      <c r="B703" t="n">
        <v>133972812</v>
      </c>
      <c r="C703" t="inlineStr">
        <is>
          <t>G</t>
        </is>
      </c>
      <c r="D703" t="inlineStr">
        <is>
          <t>A</t>
        </is>
      </c>
      <c r="E703" t="inlineStr">
        <is>
          <t>rs11223655</t>
        </is>
      </c>
      <c r="F703" t="n">
        <v>-0.0406717032</v>
      </c>
      <c r="G703" t="n">
        <v>0.1079854717911281</v>
      </c>
      <c r="H703" t="n">
        <v>0.0124361657171592</v>
      </c>
      <c r="I703" t="n">
        <v>0.3034612377860809</v>
      </c>
      <c r="J703" t="n">
        <v>0.5347179058519265</v>
      </c>
      <c r="K703" t="n">
        <v>0.0682643491018783</v>
      </c>
      <c r="L703" t="b">
        <v>0</v>
      </c>
      <c r="M703" t="b">
        <v>0</v>
      </c>
      <c r="N703" t="inlineStr">
        <is>
          <t>ref</t>
        </is>
      </c>
      <c r="O703" t="n">
        <v>50</v>
      </c>
      <c r="P703" t="n">
        <v>0.006077</v>
      </c>
      <c r="Q703" t="n">
        <v>-10</v>
      </c>
      <c r="R703" t="n">
        <v>0.006958</v>
      </c>
      <c r="S703">
        <f>IMAGE("https://mitra.stanford.edu/kundaje/oak/projects/neuro-variants/variant_position/credible/roussos_2024/variant_figures/roussos_2024.adolescence.GLU/rs11223655_count_position.png",4,220,900)</f>
        <v/>
      </c>
      <c r="T703">
        <f>IMAGE("https://mitra.stanford.edu/kundaje/oak/projects/neuro-variants/variant_position/credible/roussos_2024/variant_figures/roussos_2024.adolescence.GLU/rs11223655_profile_position.png",4,220,900)</f>
        <v/>
      </c>
    </row>
    <row r="704">
      <c r="A704" t="inlineStr">
        <is>
          <t>chr11</t>
        </is>
      </c>
      <c r="B704" t="n">
        <v>133983113</v>
      </c>
      <c r="C704" t="inlineStr">
        <is>
          <t>C</t>
        </is>
      </c>
      <c r="D704" t="inlineStr">
        <is>
          <t>T</t>
        </is>
      </c>
      <c r="E704" t="inlineStr">
        <is>
          <t>rs4936216</t>
        </is>
      </c>
      <c r="F704" t="n">
        <v>-0.0492706428</v>
      </c>
      <c r="G704" t="n">
        <v>0.0659210196152246</v>
      </c>
      <c r="H704" t="n">
        <v>0.0106196514011247</v>
      </c>
      <c r="I704" t="n">
        <v>0.4489568723098486</v>
      </c>
      <c r="J704" t="n">
        <v>0.6093976609440527</v>
      </c>
      <c r="K704" t="n">
        <v>0.0347731348103936</v>
      </c>
      <c r="L704" t="b">
        <v>0</v>
      </c>
      <c r="M704" t="b">
        <v>0</v>
      </c>
      <c r="N704" t="inlineStr">
        <is>
          <t>ref</t>
        </is>
      </c>
      <c r="O704" t="n">
        <v>80</v>
      </c>
      <c r="P704" t="n">
        <v>0.00537</v>
      </c>
      <c r="Q704" t="n">
        <v>-100</v>
      </c>
      <c r="R704" t="n">
        <v>0.04358</v>
      </c>
      <c r="S704">
        <f>IMAGE("https://mitra.stanford.edu/kundaje/oak/projects/neuro-variants/variant_position/credible/roussos_2024/variant_figures/roussos_2024.adolescence.GLU/rs4936216_count_position.png",4,220,900)</f>
        <v/>
      </c>
      <c r="T704">
        <f>IMAGE("https://mitra.stanford.edu/kundaje/oak/projects/neuro-variants/variant_position/credible/roussos_2024/variant_figures/roussos_2024.adolescence.GLU/rs4936216_profile_position.png",4,220,900)</f>
        <v/>
      </c>
    </row>
    <row r="705">
      <c r="A705" t="inlineStr">
        <is>
          <t>chr11</t>
        </is>
      </c>
      <c r="B705" t="n">
        <v>134100320</v>
      </c>
      <c r="C705" t="inlineStr">
        <is>
          <t>T</t>
        </is>
      </c>
      <c r="D705" t="inlineStr">
        <is>
          <t>C</t>
        </is>
      </c>
      <c r="E705" t="inlineStr">
        <is>
          <t>rs470536</t>
        </is>
      </c>
      <c r="F705" t="n">
        <v>0.0304139423999999</v>
      </c>
      <c r="G705" t="n">
        <v>0.1603007610034864</v>
      </c>
      <c r="H705" t="n">
        <v>0.0104700821287847</v>
      </c>
      <c r="I705" t="n">
        <v>0.4926394077940443</v>
      </c>
      <c r="J705" t="n">
        <v>0.2021504454494144</v>
      </c>
      <c r="K705" t="n">
        <v>0.3911295606127101</v>
      </c>
      <c r="L705" t="b">
        <v>0</v>
      </c>
      <c r="M705" t="b">
        <v>0</v>
      </c>
      <c r="N705" t="inlineStr">
        <is>
          <t>alt</t>
        </is>
      </c>
      <c r="O705" t="n">
        <v>-25</v>
      </c>
      <c r="P705" t="n">
        <v>0.008240000000000001</v>
      </c>
      <c r="Q705" t="n">
        <v>40</v>
      </c>
      <c r="R705" t="n">
        <v>0.02368</v>
      </c>
      <c r="S705">
        <f>IMAGE("https://mitra.stanford.edu/kundaje/oak/projects/neuro-variants/variant_position/credible/roussos_2024/variant_figures/roussos_2024.adolescence.GLU/rs470536_count_position.png",4,220,900)</f>
        <v/>
      </c>
      <c r="T705">
        <f>IMAGE("https://mitra.stanford.edu/kundaje/oak/projects/neuro-variants/variant_position/credible/roussos_2024/variant_figures/roussos_2024.adolescence.GLU/rs470536_profile_position.png",4,220,900)</f>
        <v/>
      </c>
    </row>
    <row r="706">
      <c r="A706" t="inlineStr">
        <is>
          <t>chr11</t>
        </is>
      </c>
      <c r="B706" t="n">
        <v>134111740</v>
      </c>
      <c r="C706" t="inlineStr">
        <is>
          <t>G</t>
        </is>
      </c>
      <c r="D706" t="inlineStr">
        <is>
          <t>A</t>
        </is>
      </c>
      <c r="E706" t="inlineStr">
        <is>
          <t>rs626717</t>
        </is>
      </c>
      <c r="F706" t="n">
        <v>0.001188622052</v>
      </c>
      <c r="G706" t="n">
        <v>0.8534849044153922</v>
      </c>
      <c r="H706" t="n">
        <v>0.0252972659237848</v>
      </c>
      <c r="I706" t="n">
        <v>0.019746725683105</v>
      </c>
      <c r="J706" t="n">
        <v>0.06743253959748791</v>
      </c>
      <c r="K706" t="n">
        <v>0.6546892446956567</v>
      </c>
      <c r="L706" t="b">
        <v>1</v>
      </c>
      <c r="M706" t="b">
        <v>0</v>
      </c>
      <c r="N706" t="inlineStr">
        <is>
          <t>alt</t>
        </is>
      </c>
      <c r="O706" t="n">
        <v>85</v>
      </c>
      <c r="P706" t="n">
        <v>0.003426</v>
      </c>
      <c r="Q706" t="n">
        <v>80</v>
      </c>
      <c r="R706" t="n">
        <v>0.06476</v>
      </c>
      <c r="S706">
        <f>IMAGE("https://mitra.stanford.edu/kundaje/oak/projects/neuro-variants/variant_position/credible/roussos_2024/variant_figures/roussos_2024.adolescence.GLU/rs626717_count_position.png",4,220,900)</f>
        <v/>
      </c>
      <c r="T706">
        <f>IMAGE("https://mitra.stanford.edu/kundaje/oak/projects/neuro-variants/variant_position/credible/roussos_2024/variant_figures/roussos_2024.adolescence.GLU/rs626717_profile_position.png",4,220,900)</f>
        <v/>
      </c>
    </row>
    <row r="707">
      <c r="A707" t="inlineStr">
        <is>
          <t>chr11</t>
        </is>
      </c>
      <c r="B707" t="n">
        <v>134128003</v>
      </c>
      <c r="C707" t="inlineStr">
        <is>
          <t>A</t>
        </is>
      </c>
      <c r="D707" t="inlineStr">
        <is>
          <t>G</t>
        </is>
      </c>
      <c r="E707" t="inlineStr">
        <is>
          <t>rs470713</t>
        </is>
      </c>
      <c r="F707" t="n">
        <v>0.0226046621999999</v>
      </c>
      <c r="G707" t="n">
        <v>0.2404349213586749</v>
      </c>
      <c r="H707" t="n">
        <v>0.0140971966597819</v>
      </c>
      <c r="I707" t="n">
        <v>0.231494456499709</v>
      </c>
      <c r="J707" t="n">
        <v>0.0928035092983546</v>
      </c>
      <c r="K707" t="n">
        <v>0.5914633423324402</v>
      </c>
      <c r="L707" t="b">
        <v>0</v>
      </c>
      <c r="M707" t="b">
        <v>0</v>
      </c>
      <c r="N707" t="inlineStr">
        <is>
          <t>alt</t>
        </is>
      </c>
      <c r="O707" t="n">
        <v>-30</v>
      </c>
      <c r="P707" t="n">
        <v>0.003693</v>
      </c>
      <c r="Q707" t="n">
        <v>10</v>
      </c>
      <c r="R707" t="n">
        <v>0.01541</v>
      </c>
      <c r="S707">
        <f>IMAGE("https://mitra.stanford.edu/kundaje/oak/projects/neuro-variants/variant_position/credible/roussos_2024/variant_figures/roussos_2024.adolescence.GLU/rs470713_count_position.png",4,220,900)</f>
        <v/>
      </c>
      <c r="T707">
        <f>IMAGE("https://mitra.stanford.edu/kundaje/oak/projects/neuro-variants/variant_position/credible/roussos_2024/variant_figures/roussos_2024.adolescence.GLU/rs470713_profile_position.png",4,220,900)</f>
        <v/>
      </c>
    </row>
    <row r="708">
      <c r="A708" t="inlineStr">
        <is>
          <t>chr11</t>
        </is>
      </c>
      <c r="B708" t="n">
        <v>134171989</v>
      </c>
      <c r="C708" t="inlineStr">
        <is>
          <t>C</t>
        </is>
      </c>
      <c r="D708" t="inlineStr">
        <is>
          <t>T</t>
        </is>
      </c>
      <c r="E708" t="inlineStr">
        <is>
          <t>rs10736610</t>
        </is>
      </c>
      <c r="F708" t="n">
        <v>0.008949449979999999</v>
      </c>
      <c r="G708" t="n">
        <v>0.4996486686960099</v>
      </c>
      <c r="H708" t="n">
        <v>0.0096309830669214</v>
      </c>
      <c r="I708" t="n">
        <v>0.5804244794560991</v>
      </c>
      <c r="J708" t="n">
        <v>0.419792671339063</v>
      </c>
      <c r="K708" t="n">
        <v>0.1494521692025617</v>
      </c>
      <c r="L708" t="b">
        <v>0</v>
      </c>
      <c r="M708" t="b">
        <v>0</v>
      </c>
      <c r="N708" t="inlineStr">
        <is>
          <t>alt</t>
        </is>
      </c>
      <c r="O708" t="n">
        <v>15</v>
      </c>
      <c r="P708" t="n">
        <v>0.001263</v>
      </c>
      <c r="Q708" t="n">
        <v>-90</v>
      </c>
      <c r="R708" t="n">
        <v>0.0404</v>
      </c>
      <c r="S708">
        <f>IMAGE("https://mitra.stanford.edu/kundaje/oak/projects/neuro-variants/variant_position/credible/roussos_2024/variant_figures/roussos_2024.adolescence.GLU/rs10736610_count_position.png",4,220,900)</f>
        <v/>
      </c>
      <c r="T708">
        <f>IMAGE("https://mitra.stanford.edu/kundaje/oak/projects/neuro-variants/variant_position/credible/roussos_2024/variant_figures/roussos_2024.adolescence.GLU/rs10736610_profile_position.png",4,220,900)</f>
        <v/>
      </c>
    </row>
    <row r="709">
      <c r="A709" t="inlineStr">
        <is>
          <t>chr11</t>
        </is>
      </c>
      <c r="B709" t="n">
        <v>134177781</v>
      </c>
      <c r="C709" t="inlineStr">
        <is>
          <t>G</t>
        </is>
      </c>
      <c r="D709" t="inlineStr">
        <is>
          <t>A</t>
        </is>
      </c>
      <c r="E709" t="inlineStr">
        <is>
          <t>rs11223722</t>
        </is>
      </c>
      <c r="F709" t="n">
        <v>0.0230594243999999</v>
      </c>
      <c r="G709" t="n">
        <v>0.2391089716176178</v>
      </c>
      <c r="H709" t="n">
        <v>0.0174962264967703</v>
      </c>
      <c r="I709" t="n">
        <v>0.097289877370845</v>
      </c>
      <c r="J709" t="n">
        <v>0.1469104314465139</v>
      </c>
      <c r="K709" t="n">
        <v>0.4867096666875314</v>
      </c>
      <c r="L709" t="b">
        <v>0</v>
      </c>
      <c r="M709" t="b">
        <v>0</v>
      </c>
      <c r="N709" t="inlineStr">
        <is>
          <t>alt</t>
        </is>
      </c>
      <c r="O709" t="n">
        <v>-95</v>
      </c>
      <c r="P709" t="n">
        <v>0.01542</v>
      </c>
      <c r="Q709" t="n">
        <v>65</v>
      </c>
      <c r="R709" t="n">
        <v>0.0426</v>
      </c>
      <c r="S709">
        <f>IMAGE("https://mitra.stanford.edu/kundaje/oak/projects/neuro-variants/variant_position/credible/roussos_2024/variant_figures/roussos_2024.adolescence.GLU/rs11223722_count_position.png",4,220,900)</f>
        <v/>
      </c>
      <c r="T709">
        <f>IMAGE("https://mitra.stanford.edu/kundaje/oak/projects/neuro-variants/variant_position/credible/roussos_2024/variant_figures/roussos_2024.adolescence.GLU/rs11223722_profile_position.png",4,220,900)</f>
        <v/>
      </c>
    </row>
    <row r="710">
      <c r="A710" t="inlineStr">
        <is>
          <t>chr11</t>
        </is>
      </c>
      <c r="B710" t="n">
        <v>134178248</v>
      </c>
      <c r="C710" t="inlineStr">
        <is>
          <t>G</t>
        </is>
      </c>
      <c r="D710" t="inlineStr">
        <is>
          <t>T</t>
        </is>
      </c>
      <c r="E710" t="inlineStr">
        <is>
          <t>rs10894782</t>
        </is>
      </c>
      <c r="F710" t="n">
        <v>-0.0515157656</v>
      </c>
      <c r="G710" t="n">
        <v>0.0632577274159682</v>
      </c>
      <c r="H710" t="n">
        <v>0.0202916843692504</v>
      </c>
      <c r="I710" t="n">
        <v>0.0572038915731193</v>
      </c>
      <c r="J710" t="n">
        <v>0.1385558437104828</v>
      </c>
      <c r="K710" t="n">
        <v>0.499511598260738</v>
      </c>
      <c r="L710" t="b">
        <v>0</v>
      </c>
      <c r="M710" t="b">
        <v>0</v>
      </c>
      <c r="N710" t="inlineStr">
        <is>
          <t>ref</t>
        </is>
      </c>
      <c r="O710" t="n">
        <v>-100</v>
      </c>
      <c r="P710" t="n">
        <v>0.02206</v>
      </c>
      <c r="Q710" t="n">
        <v>95</v>
      </c>
      <c r="R710" t="n">
        <v>0.0541</v>
      </c>
      <c r="S710">
        <f>IMAGE("https://mitra.stanford.edu/kundaje/oak/projects/neuro-variants/variant_position/credible/roussos_2024/variant_figures/roussos_2024.adolescence.GLU/rs10894782_count_position.png",4,220,900)</f>
        <v/>
      </c>
      <c r="T710">
        <f>IMAGE("https://mitra.stanford.edu/kundaje/oak/projects/neuro-variants/variant_position/credible/roussos_2024/variant_figures/roussos_2024.adolescence.GLU/rs10894782_profile_position.png",4,220,900)</f>
        <v/>
      </c>
    </row>
    <row r="711">
      <c r="A711" t="inlineStr">
        <is>
          <t>chr11</t>
        </is>
      </c>
      <c r="B711" t="n">
        <v>134225779</v>
      </c>
      <c r="C711" t="inlineStr">
        <is>
          <t>C</t>
        </is>
      </c>
      <c r="D711" t="inlineStr">
        <is>
          <t>T</t>
        </is>
      </c>
      <c r="E711" t="inlineStr">
        <is>
          <t>rs523621</t>
        </is>
      </c>
      <c r="F711" t="n">
        <v>-0.0416616479999999</v>
      </c>
      <c r="G711" t="n">
        <v>0.1026634272968277</v>
      </c>
      <c r="H711" t="n">
        <v>0.008986883271949599</v>
      </c>
      <c r="I711" t="n">
        <v>0.6415230339550327</v>
      </c>
      <c r="J711" t="n">
        <v>0.6004786705817633</v>
      </c>
      <c r="K711" t="n">
        <v>0.0379218809671676</v>
      </c>
      <c r="L711" t="b">
        <v>0</v>
      </c>
      <c r="M711" t="b">
        <v>0</v>
      </c>
      <c r="N711" t="inlineStr">
        <is>
          <t>ref</t>
        </is>
      </c>
      <c r="O711" t="n">
        <v>100</v>
      </c>
      <c r="P711" t="n">
        <v>0.003178</v>
      </c>
      <c r="Q711" t="n">
        <v>-80</v>
      </c>
      <c r="R711" t="n">
        <v>0.0927</v>
      </c>
      <c r="S711">
        <f>IMAGE("https://mitra.stanford.edu/kundaje/oak/projects/neuro-variants/variant_position/credible/roussos_2024/variant_figures/roussos_2024.adolescence.GLU/rs523621_count_position.png",4,220,900)</f>
        <v/>
      </c>
      <c r="T711">
        <f>IMAGE("https://mitra.stanford.edu/kundaje/oak/projects/neuro-variants/variant_position/credible/roussos_2024/variant_figures/roussos_2024.adolescence.GLU/rs523621_profile_position.png",4,220,900)</f>
        <v/>
      </c>
    </row>
    <row r="712">
      <c r="A712" t="inlineStr">
        <is>
          <t>chr11</t>
        </is>
      </c>
      <c r="B712" t="n">
        <v>134229207</v>
      </c>
      <c r="C712" t="inlineStr">
        <is>
          <t>T</t>
        </is>
      </c>
      <c r="D712" t="inlineStr">
        <is>
          <t>G</t>
        </is>
      </c>
      <c r="E712" t="inlineStr">
        <is>
          <t>rs543528</t>
        </is>
      </c>
      <c r="F712" t="n">
        <v>-0.0010992577439999</v>
      </c>
      <c r="G712" t="n">
        <v>0.747013050945588</v>
      </c>
      <c r="H712" t="n">
        <v>0.0269609614706344</v>
      </c>
      <c r="I712" t="n">
        <v>0.0149091046043663</v>
      </c>
      <c r="J712" t="n">
        <v>0.3352865950804095</v>
      </c>
      <c r="K712" t="n">
        <v>0.2322308652278239</v>
      </c>
      <c r="L712" t="b">
        <v>1</v>
      </c>
      <c r="M712" t="b">
        <v>0</v>
      </c>
      <c r="N712" t="inlineStr">
        <is>
          <t>ref</t>
        </is>
      </c>
      <c r="O712" t="n">
        <v>-100</v>
      </c>
      <c r="P712" t="n">
        <v>0.0638</v>
      </c>
      <c r="Q712" t="n">
        <v>100</v>
      </c>
      <c r="R712" t="n">
        <v>0.0343</v>
      </c>
      <c r="S712">
        <f>IMAGE("https://mitra.stanford.edu/kundaje/oak/projects/neuro-variants/variant_position/credible/roussos_2024/variant_figures/roussos_2024.adolescence.GLU/rs543528_count_position.png",4,220,900)</f>
        <v/>
      </c>
      <c r="T712">
        <f>IMAGE("https://mitra.stanford.edu/kundaje/oak/projects/neuro-variants/variant_position/credible/roussos_2024/variant_figures/roussos_2024.adolescence.GLU/rs543528_profile_position.png",4,220,900)</f>
        <v/>
      </c>
    </row>
    <row r="713">
      <c r="A713" t="inlineStr">
        <is>
          <t>chr11</t>
        </is>
      </c>
      <c r="B713" t="n">
        <v>134578234</v>
      </c>
      <c r="C713" t="inlineStr">
        <is>
          <t>G</t>
        </is>
      </c>
      <c r="D713" t="inlineStr">
        <is>
          <t>T</t>
        </is>
      </c>
      <c r="E713" t="inlineStr">
        <is>
          <t>rs7936986</t>
        </is>
      </c>
      <c r="F713" t="n">
        <v>-0.0196856046</v>
      </c>
      <c r="G713" t="n">
        <v>0.3101278859711737</v>
      </c>
      <c r="H713" t="n">
        <v>0.0101897390706309</v>
      </c>
      <c r="I713" t="n">
        <v>0.5137570457642242</v>
      </c>
      <c r="J713" t="n">
        <v>0.503812932678912</v>
      </c>
      <c r="K713" t="n">
        <v>0.0864596128910757</v>
      </c>
      <c r="L713" t="b">
        <v>0</v>
      </c>
      <c r="M713" t="b">
        <v>0</v>
      </c>
      <c r="N713" t="inlineStr">
        <is>
          <t>ref</t>
        </is>
      </c>
      <c r="O713" t="n">
        <v>-100</v>
      </c>
      <c r="P713" t="n">
        <v>0.00728</v>
      </c>
      <c r="Q713" t="n">
        <v>35</v>
      </c>
      <c r="R713" t="n">
        <v>0.01654</v>
      </c>
      <c r="S713">
        <f>IMAGE("https://mitra.stanford.edu/kundaje/oak/projects/neuro-variants/variant_position/credible/roussos_2024/variant_figures/roussos_2024.adolescence.GLU/rs7936986_count_position.png",4,220,900)</f>
        <v/>
      </c>
      <c r="T713">
        <f>IMAGE("https://mitra.stanford.edu/kundaje/oak/projects/neuro-variants/variant_position/credible/roussos_2024/variant_figures/roussos_2024.adolescence.GLU/rs7936986_profile_position.png",4,220,900)</f>
        <v/>
      </c>
    </row>
    <row r="714">
      <c r="A714" t="inlineStr">
        <is>
          <t>chr11</t>
        </is>
      </c>
      <c r="B714" t="n">
        <v>134598569</v>
      </c>
      <c r="C714" t="inlineStr">
        <is>
          <t>G</t>
        </is>
      </c>
      <c r="D714" t="inlineStr">
        <is>
          <t>A</t>
        </is>
      </c>
      <c r="E714" t="inlineStr">
        <is>
          <t>rs10894852</t>
        </is>
      </c>
      <c r="F714" t="n">
        <v>-0.02463265684</v>
      </c>
      <c r="G714" t="n">
        <v>0.2582148839358764</v>
      </c>
      <c r="H714" t="n">
        <v>0.009672146472181099</v>
      </c>
      <c r="I714" t="n">
        <v>0.5657744729127805</v>
      </c>
      <c r="J714" t="n">
        <v>0.2411313772138514</v>
      </c>
      <c r="K714" t="n">
        <v>0.3437448106615363</v>
      </c>
      <c r="L714" t="b">
        <v>0</v>
      </c>
      <c r="M714" t="b">
        <v>0</v>
      </c>
      <c r="N714" t="inlineStr">
        <is>
          <t>ref</t>
        </is>
      </c>
      <c r="O714" t="n">
        <v>-70</v>
      </c>
      <c r="P714" t="n">
        <v>0.000269</v>
      </c>
      <c r="Q714" t="n">
        <v>-25</v>
      </c>
      <c r="R714" t="n">
        <v>0.03687</v>
      </c>
      <c r="S714">
        <f>IMAGE("https://mitra.stanford.edu/kundaje/oak/projects/neuro-variants/variant_position/credible/roussos_2024/variant_figures/roussos_2024.adolescence.GLU/rs10894852_count_position.png",4,220,900)</f>
        <v/>
      </c>
      <c r="T714">
        <f>IMAGE("https://mitra.stanford.edu/kundaje/oak/projects/neuro-variants/variant_position/credible/roussos_2024/variant_figures/roussos_2024.adolescence.GLU/rs10894852_profile_position.png",4,220,900)</f>
        <v/>
      </c>
    </row>
    <row r="715">
      <c r="A715" t="inlineStr">
        <is>
          <t>chr11</t>
        </is>
      </c>
      <c r="B715" t="n">
        <v>134629212</v>
      </c>
      <c r="C715" t="inlineStr">
        <is>
          <t>T</t>
        </is>
      </c>
      <c r="D715" t="inlineStr">
        <is>
          <t>C</t>
        </is>
      </c>
      <c r="E715" t="inlineStr">
        <is>
          <t>rs7122771</t>
        </is>
      </c>
      <c r="F715" t="n">
        <v>0.021997691</v>
      </c>
      <c r="G715" t="n">
        <v>0.2477058867806375</v>
      </c>
      <c r="H715" t="n">
        <v>0.007829508082305999</v>
      </c>
      <c r="I715" t="n">
        <v>0.7794872560245983</v>
      </c>
      <c r="J715" t="n">
        <v>0.2081759793099999</v>
      </c>
      <c r="K715" t="n">
        <v>0.3892131622578442</v>
      </c>
      <c r="L715" t="b">
        <v>0</v>
      </c>
      <c r="M715" t="b">
        <v>0</v>
      </c>
      <c r="N715" t="inlineStr">
        <is>
          <t>alt</t>
        </is>
      </c>
      <c r="O715" t="n">
        <v>-75</v>
      </c>
      <c r="P715" t="n">
        <v>0.02734</v>
      </c>
      <c r="Q715" t="n">
        <v>-100</v>
      </c>
      <c r="R715" t="n">
        <v>0.07416</v>
      </c>
      <c r="S715">
        <f>IMAGE("https://mitra.stanford.edu/kundaje/oak/projects/neuro-variants/variant_position/credible/roussos_2024/variant_figures/roussos_2024.adolescence.GLU/rs7122771_count_position.png",4,220,900)</f>
        <v/>
      </c>
      <c r="T715">
        <f>IMAGE("https://mitra.stanford.edu/kundaje/oak/projects/neuro-variants/variant_position/credible/roussos_2024/variant_figures/roussos_2024.adolescence.GLU/rs7122771_profile_position.png",4,220,900)</f>
        <v/>
      </c>
    </row>
    <row r="716">
      <c r="A716" t="inlineStr">
        <is>
          <t>chr11</t>
        </is>
      </c>
      <c r="B716" t="n">
        <v>134634166</v>
      </c>
      <c r="C716" t="inlineStr">
        <is>
          <t>T</t>
        </is>
      </c>
      <c r="D716" t="inlineStr">
        <is>
          <t>G</t>
        </is>
      </c>
      <c r="E716" t="inlineStr">
        <is>
          <t>rs4343039</t>
        </is>
      </c>
      <c r="F716" t="n">
        <v>0.021144159</v>
      </c>
      <c r="G716" t="n">
        <v>0.2632447796486014</v>
      </c>
      <c r="H716" t="n">
        <v>0.0140446128059455</v>
      </c>
      <c r="I716" t="n">
        <v>0.1983647321799599</v>
      </c>
      <c r="J716" t="n">
        <v>0.1541662201456015</v>
      </c>
      <c r="K716" t="n">
        <v>0.4788185771016177</v>
      </c>
      <c r="L716" t="b">
        <v>0</v>
      </c>
      <c r="M716" t="b">
        <v>0</v>
      </c>
      <c r="N716" t="inlineStr">
        <is>
          <t>alt</t>
        </is>
      </c>
      <c r="O716" t="n">
        <v>100</v>
      </c>
      <c r="P716" t="n">
        <v>0.003855</v>
      </c>
      <c r="Q716" t="n">
        <v>-45</v>
      </c>
      <c r="R716" t="n">
        <v>0.04608</v>
      </c>
      <c r="S716">
        <f>IMAGE("https://mitra.stanford.edu/kundaje/oak/projects/neuro-variants/variant_position/credible/roussos_2024/variant_figures/roussos_2024.adolescence.GLU/rs4343039_count_position.png",4,220,900)</f>
        <v/>
      </c>
      <c r="T716">
        <f>IMAGE("https://mitra.stanford.edu/kundaje/oak/projects/neuro-variants/variant_position/credible/roussos_2024/variant_figures/roussos_2024.adolescence.GLU/rs4343039_profile_position.png",4,220,900)</f>
        <v/>
      </c>
    </row>
    <row r="717">
      <c r="A717" t="inlineStr">
        <is>
          <t>chr11</t>
        </is>
      </c>
      <c r="B717" t="n">
        <v>134634720</v>
      </c>
      <c r="C717" t="inlineStr">
        <is>
          <t>G</t>
        </is>
      </c>
      <c r="D717" t="inlineStr">
        <is>
          <t>A</t>
        </is>
      </c>
      <c r="E717" t="inlineStr">
        <is>
          <t>rs2187466</t>
        </is>
      </c>
      <c r="F717" t="n">
        <v>-0.0323818406</v>
      </c>
      <c r="G717" t="n">
        <v>0.1611665205731068</v>
      </c>
      <c r="H717" t="n">
        <v>0.0116253440715587</v>
      </c>
      <c r="I717" t="n">
        <v>0.3804638648131539</v>
      </c>
      <c r="J717" t="n">
        <v>0.2490673067992655</v>
      </c>
      <c r="K717" t="n">
        <v>0.3369628988704753</v>
      </c>
      <c r="L717" t="b">
        <v>0</v>
      </c>
      <c r="M717" t="b">
        <v>0</v>
      </c>
      <c r="N717" t="inlineStr">
        <is>
          <t>ref</t>
        </is>
      </c>
      <c r="O717" t="n">
        <v>100</v>
      </c>
      <c r="P717" t="n">
        <v>0.001329</v>
      </c>
      <c r="Q717" t="n">
        <v>-95</v>
      </c>
      <c r="R717" t="n">
        <v>0.0426</v>
      </c>
      <c r="S717">
        <f>IMAGE("https://mitra.stanford.edu/kundaje/oak/projects/neuro-variants/variant_position/credible/roussos_2024/variant_figures/roussos_2024.adolescence.GLU/rs2187466_count_position.png",4,220,900)</f>
        <v/>
      </c>
      <c r="T717">
        <f>IMAGE("https://mitra.stanford.edu/kundaje/oak/projects/neuro-variants/variant_position/credible/roussos_2024/variant_figures/roussos_2024.adolescence.GLU/rs2187466_profile_position.png",4,220,900)</f>
        <v/>
      </c>
    </row>
    <row r="718">
      <c r="A718" t="inlineStr">
        <is>
          <t>chr11</t>
        </is>
      </c>
      <c r="B718" t="n">
        <v>134636158</v>
      </c>
      <c r="C718" t="inlineStr">
        <is>
          <t>T</t>
        </is>
      </c>
      <c r="D718" t="inlineStr">
        <is>
          <t>C</t>
        </is>
      </c>
      <c r="E718" t="inlineStr">
        <is>
          <t>rs3019649</t>
        </is>
      </c>
      <c r="F718" t="n">
        <v>0.0495361745999999</v>
      </c>
      <c r="G718" t="n">
        <v>0.0640970322809989</v>
      </c>
      <c r="H718" t="n">
        <v>0.0093703981623926</v>
      </c>
      <c r="I718" t="n">
        <v>0.605817496310833</v>
      </c>
      <c r="J718" t="n">
        <v>0.6168277714669468</v>
      </c>
      <c r="K718" t="n">
        <v>0.033214858327822</v>
      </c>
      <c r="L718" t="b">
        <v>0</v>
      </c>
      <c r="M718" t="b">
        <v>0</v>
      </c>
      <c r="N718" t="inlineStr">
        <is>
          <t>alt</t>
        </is>
      </c>
      <c r="O718" t="n">
        <v>-80</v>
      </c>
      <c r="P718" t="n">
        <v>0.00906</v>
      </c>
      <c r="Q718" t="n">
        <v>55</v>
      </c>
      <c r="R718" t="n">
        <v>0.0315</v>
      </c>
      <c r="S718">
        <f>IMAGE("https://mitra.stanford.edu/kundaje/oak/projects/neuro-variants/variant_position/credible/roussos_2024/variant_figures/roussos_2024.adolescence.GLU/rs3019649_count_position.png",4,220,900)</f>
        <v/>
      </c>
      <c r="T718">
        <f>IMAGE("https://mitra.stanford.edu/kundaje/oak/projects/neuro-variants/variant_position/credible/roussos_2024/variant_figures/roussos_2024.adolescence.GLU/rs3019649_profile_position.png",4,220,900)</f>
        <v/>
      </c>
    </row>
    <row r="719">
      <c r="A719" t="inlineStr">
        <is>
          <t>chr11</t>
        </is>
      </c>
      <c r="B719" t="n">
        <v>134637729</v>
      </c>
      <c r="C719" t="inlineStr">
        <is>
          <t>C</t>
        </is>
      </c>
      <c r="D719" t="inlineStr">
        <is>
          <t>T</t>
        </is>
      </c>
      <c r="E719" t="inlineStr">
        <is>
          <t>rs3019651</t>
        </is>
      </c>
      <c r="F719" t="n">
        <v>-0.0870366199999999</v>
      </c>
      <c r="G719" t="n">
        <v>0.0115667061442673</v>
      </c>
      <c r="H719" t="n">
        <v>0.0144034329838755</v>
      </c>
      <c r="I719" t="n">
        <v>0.18089732470275</v>
      </c>
      <c r="J719" t="n">
        <v>0.3249173042987475</v>
      </c>
      <c r="K719" t="n">
        <v>0.2431132091875585</v>
      </c>
      <c r="L719" t="b">
        <v>1</v>
      </c>
      <c r="M719" t="b">
        <v>0</v>
      </c>
      <c r="N719" t="inlineStr">
        <is>
          <t>ref</t>
        </is>
      </c>
      <c r="O719" t="n">
        <v>35</v>
      </c>
      <c r="P719" t="n">
        <v>0.002144</v>
      </c>
      <c r="Q719" t="n">
        <v>45</v>
      </c>
      <c r="R719" t="n">
        <v>0.02878</v>
      </c>
      <c r="S719">
        <f>IMAGE("https://mitra.stanford.edu/kundaje/oak/projects/neuro-variants/variant_position/credible/roussos_2024/variant_figures/roussos_2024.adolescence.GLU/rs3019651_count_position.png",4,220,900)</f>
        <v/>
      </c>
      <c r="T719">
        <f>IMAGE("https://mitra.stanford.edu/kundaje/oak/projects/neuro-variants/variant_position/credible/roussos_2024/variant_figures/roussos_2024.adolescence.GLU/rs3019651_profile_position.png",4,220,900)</f>
        <v/>
      </c>
    </row>
    <row r="720">
      <c r="A720" t="inlineStr">
        <is>
          <t>chr11</t>
        </is>
      </c>
      <c r="B720" t="n">
        <v>134639072</v>
      </c>
      <c r="C720" t="inlineStr">
        <is>
          <t>T</t>
        </is>
      </c>
      <c r="D720" t="inlineStr">
        <is>
          <t>C</t>
        </is>
      </c>
      <c r="E720" t="inlineStr">
        <is>
          <t>rs3019652</t>
        </is>
      </c>
      <c r="F720" t="n">
        <v>-0.0042658911199999</v>
      </c>
      <c r="G720" t="n">
        <v>0.7667392647560369</v>
      </c>
      <c r="H720" t="n">
        <v>0.0075164235329183</v>
      </c>
      <c r="I720" t="n">
        <v>0.8397447453878075</v>
      </c>
      <c r="J720" t="n">
        <v>0.3531117159983138</v>
      </c>
      <c r="K720" t="n">
        <v>0.2115212159499989</v>
      </c>
      <c r="L720" t="b">
        <v>0</v>
      </c>
      <c r="M720" t="b">
        <v>0</v>
      </c>
      <c r="N720" t="inlineStr">
        <is>
          <t>ref</t>
        </is>
      </c>
      <c r="O720" t="n">
        <v>55</v>
      </c>
      <c r="P720" t="n">
        <v>7.6e-06</v>
      </c>
      <c r="Q720" t="n">
        <v>-5</v>
      </c>
      <c r="R720" t="n">
        <v>0.005066</v>
      </c>
      <c r="S720">
        <f>IMAGE("https://mitra.stanford.edu/kundaje/oak/projects/neuro-variants/variant_position/credible/roussos_2024/variant_figures/roussos_2024.adolescence.GLU/rs3019652_count_position.png",4,220,900)</f>
        <v/>
      </c>
      <c r="T720">
        <f>IMAGE("https://mitra.stanford.edu/kundaje/oak/projects/neuro-variants/variant_position/credible/roussos_2024/variant_figures/roussos_2024.adolescence.GLU/rs3019652_profile_position.png",4,220,900)</f>
        <v/>
      </c>
    </row>
    <row r="721">
      <c r="A721" t="inlineStr">
        <is>
          <t>chr11</t>
        </is>
      </c>
      <c r="B721" t="n">
        <v>134649712</v>
      </c>
      <c r="C721" t="inlineStr">
        <is>
          <t>C</t>
        </is>
      </c>
      <c r="D721" t="inlineStr">
        <is>
          <t>A</t>
        </is>
      </c>
      <c r="E721" t="inlineStr">
        <is>
          <t>rs2226892</t>
        </is>
      </c>
      <c r="F721" t="n">
        <v>-0.00364741128</v>
      </c>
      <c r="G721" t="n">
        <v>0.8123789764863421</v>
      </c>
      <c r="H721" t="n">
        <v>0.0122295197436233</v>
      </c>
      <c r="I721" t="n">
        <v>0.2961401522977325</v>
      </c>
      <c r="J721" t="n">
        <v>0.0003486436476126</v>
      </c>
      <c r="K721" t="n">
        <v>0.9857141968446684</v>
      </c>
      <c r="L721" t="b">
        <v>0</v>
      </c>
      <c r="M721" t="b">
        <v>0</v>
      </c>
      <c r="N721" t="inlineStr">
        <is>
          <t>ref</t>
        </is>
      </c>
      <c r="O721" t="n">
        <v>-20</v>
      </c>
      <c r="P721" t="n">
        <v>0.001003</v>
      </c>
      <c r="Q721" t="n">
        <v>55</v>
      </c>
      <c r="R721" t="n">
        <v>0.02844</v>
      </c>
      <c r="S721">
        <f>IMAGE("https://mitra.stanford.edu/kundaje/oak/projects/neuro-variants/variant_position/credible/roussos_2024/variant_figures/roussos_2024.adolescence.GLU/rs2226892_count_position.png",4,220,900)</f>
        <v/>
      </c>
      <c r="T721">
        <f>IMAGE("https://mitra.stanford.edu/kundaje/oak/projects/neuro-variants/variant_position/credible/roussos_2024/variant_figures/roussos_2024.adolescence.GLU/rs2226892_profile_position.png",4,220,900)</f>
        <v/>
      </c>
    </row>
    <row r="722">
      <c r="A722" t="inlineStr">
        <is>
          <t>chr11</t>
        </is>
      </c>
      <c r="B722" t="n">
        <v>134654769</v>
      </c>
      <c r="C722" t="inlineStr">
        <is>
          <t>A</t>
        </is>
      </c>
      <c r="D722" t="inlineStr">
        <is>
          <t>C</t>
        </is>
      </c>
      <c r="E722" t="inlineStr">
        <is>
          <t>rs3018003</t>
        </is>
      </c>
      <c r="F722" t="n">
        <v>0.0255774668799999</v>
      </c>
      <c r="G722" t="n">
        <v>0.2081997620305769</v>
      </c>
      <c r="H722" t="n">
        <v>0.0238645351327059</v>
      </c>
      <c r="I722" t="n">
        <v>0.0264329000089152</v>
      </c>
      <c r="J722" t="n">
        <v>0.5609390516607011</v>
      </c>
      <c r="K722" t="n">
        <v>0.0546743678007457</v>
      </c>
      <c r="L722" t="b">
        <v>0</v>
      </c>
      <c r="M722" t="b">
        <v>0</v>
      </c>
      <c r="N722" t="inlineStr">
        <is>
          <t>alt</t>
        </is>
      </c>
      <c r="O722" t="n">
        <v>30</v>
      </c>
      <c r="P722" t="n">
        <v>0.00238</v>
      </c>
      <c r="Q722" t="n">
        <v>-90</v>
      </c>
      <c r="R722" t="n">
        <v>0.02637</v>
      </c>
      <c r="S722">
        <f>IMAGE("https://mitra.stanford.edu/kundaje/oak/projects/neuro-variants/variant_position/credible/roussos_2024/variant_figures/roussos_2024.adolescence.GLU/rs3018003_count_position.png",4,220,900)</f>
        <v/>
      </c>
      <c r="T722">
        <f>IMAGE("https://mitra.stanford.edu/kundaje/oak/projects/neuro-variants/variant_position/credible/roussos_2024/variant_figures/roussos_2024.adolescence.GLU/rs3018003_profile_position.png",4,220,900)</f>
        <v/>
      </c>
    </row>
    <row r="723">
      <c r="A723" t="inlineStr">
        <is>
          <t>chr11</t>
        </is>
      </c>
      <c r="B723" t="n">
        <v>134657527</v>
      </c>
      <c r="C723" t="inlineStr">
        <is>
          <t>C</t>
        </is>
      </c>
      <c r="D723" t="inlineStr">
        <is>
          <t>T</t>
        </is>
      </c>
      <c r="E723" t="inlineStr">
        <is>
          <t>rs11223928</t>
        </is>
      </c>
      <c r="F723" t="n">
        <v>0.00317591274</v>
      </c>
      <c r="G723" t="n">
        <v>0.6169018052506093</v>
      </c>
      <c r="H723" t="n">
        <v>0.0103936745175356</v>
      </c>
      <c r="I723" t="n">
        <v>0.4790486272776691</v>
      </c>
      <c r="J723" t="n">
        <v>0.6181394717477191</v>
      </c>
      <c r="K723" t="n">
        <v>0.0322523517535972</v>
      </c>
      <c r="L723" t="b">
        <v>0</v>
      </c>
      <c r="M723" t="b">
        <v>0</v>
      </c>
      <c r="N723" t="inlineStr">
        <is>
          <t>alt</t>
        </is>
      </c>
      <c r="O723" t="n">
        <v>-10</v>
      </c>
      <c r="P723" t="n">
        <v>0.000593</v>
      </c>
      <c r="Q723" t="n">
        <v>-80</v>
      </c>
      <c r="R723" t="n">
        <v>0.1023</v>
      </c>
      <c r="S723">
        <f>IMAGE("https://mitra.stanford.edu/kundaje/oak/projects/neuro-variants/variant_position/credible/roussos_2024/variant_figures/roussos_2024.adolescence.GLU/rs11223928_count_position.png",4,220,900)</f>
        <v/>
      </c>
      <c r="T723">
        <f>IMAGE("https://mitra.stanford.edu/kundaje/oak/projects/neuro-variants/variant_position/credible/roussos_2024/variant_figures/roussos_2024.adolescence.GLU/rs11223928_profile_position.png",4,220,900)</f>
        <v/>
      </c>
    </row>
    <row r="724">
      <c r="A724" t="inlineStr">
        <is>
          <t>chr11</t>
        </is>
      </c>
      <c r="B724" t="n">
        <v>134661373</v>
      </c>
      <c r="C724" t="inlineStr">
        <is>
          <t>A</t>
        </is>
      </c>
      <c r="D724" t="inlineStr">
        <is>
          <t>C</t>
        </is>
      </c>
      <c r="E724" t="inlineStr">
        <is>
          <t>rs999785</t>
        </is>
      </c>
      <c r="F724" t="n">
        <v>-0.01689684754</v>
      </c>
      <c r="G724" t="n">
        <v>0.3552747711081838</v>
      </c>
      <c r="H724" t="n">
        <v>0.0120216593208196</v>
      </c>
      <c r="I724" t="n">
        <v>0.3224523014628542</v>
      </c>
      <c r="J724" t="n">
        <v>0.1468118395953447</v>
      </c>
      <c r="K724" t="n">
        <v>0.4912689463255278</v>
      </c>
      <c r="L724" t="b">
        <v>0</v>
      </c>
      <c r="M724" t="b">
        <v>0</v>
      </c>
      <c r="N724" t="inlineStr">
        <is>
          <t>ref</t>
        </is>
      </c>
      <c r="O724" t="n">
        <v>70</v>
      </c>
      <c r="P724" t="n">
        <v>0.006218</v>
      </c>
      <c r="Q724" t="n">
        <v>10</v>
      </c>
      <c r="R724" t="n">
        <v>0.00534</v>
      </c>
      <c r="S724">
        <f>IMAGE("https://mitra.stanford.edu/kundaje/oak/projects/neuro-variants/variant_position/credible/roussos_2024/variant_figures/roussos_2024.adolescence.GLU/rs999785_count_position.png",4,220,900)</f>
        <v/>
      </c>
      <c r="T724">
        <f>IMAGE("https://mitra.stanford.edu/kundaje/oak/projects/neuro-variants/variant_position/credible/roussos_2024/variant_figures/roussos_2024.adolescence.GLU/rs999785_profile_position.png",4,220,900)</f>
        <v/>
      </c>
    </row>
    <row r="725">
      <c r="A725" t="inlineStr">
        <is>
          <t>chr11</t>
        </is>
      </c>
      <c r="B725" t="n">
        <v>134665000</v>
      </c>
      <c r="C725" t="inlineStr">
        <is>
          <t>T</t>
        </is>
      </c>
      <c r="D725" t="inlineStr">
        <is>
          <t>C</t>
        </is>
      </c>
      <c r="E725" t="inlineStr">
        <is>
          <t>rs11223931</t>
        </is>
      </c>
      <c r="F725" t="n">
        <v>-0.0282899959999999</v>
      </c>
      <c r="G725" t="n">
        <v>0.203703204518014</v>
      </c>
      <c r="H725" t="n">
        <v>0.0118181922245669</v>
      </c>
      <c r="I725" t="n">
        <v>0.3600222132456931</v>
      </c>
      <c r="J725" t="n">
        <v>0.5907009309071165</v>
      </c>
      <c r="K725" t="n">
        <v>0.0416929271842432</v>
      </c>
      <c r="L725" t="b">
        <v>0</v>
      </c>
      <c r="M725" t="b">
        <v>0</v>
      </c>
      <c r="N725" t="inlineStr">
        <is>
          <t>ref</t>
        </is>
      </c>
      <c r="O725" t="n">
        <v>-100</v>
      </c>
      <c r="P725" t="n">
        <v>0.00797</v>
      </c>
      <c r="Q725" t="n">
        <v>25</v>
      </c>
      <c r="R725" t="n">
        <v>0.0398</v>
      </c>
      <c r="S725">
        <f>IMAGE("https://mitra.stanford.edu/kundaje/oak/projects/neuro-variants/variant_position/credible/roussos_2024/variant_figures/roussos_2024.adolescence.GLU/rs11223931_count_position.png",4,220,900)</f>
        <v/>
      </c>
      <c r="T725">
        <f>IMAGE("https://mitra.stanford.edu/kundaje/oak/projects/neuro-variants/variant_position/credible/roussos_2024/variant_figures/roussos_2024.adolescence.GLU/rs11223931_profile_position.png",4,220,900)</f>
        <v/>
      </c>
    </row>
    <row r="726">
      <c r="A726" t="inlineStr">
        <is>
          <t>chr11</t>
        </is>
      </c>
      <c r="B726" t="n">
        <v>134716809</v>
      </c>
      <c r="C726" t="inlineStr">
        <is>
          <t>T</t>
        </is>
      </c>
      <c r="D726" t="inlineStr">
        <is>
          <t>C</t>
        </is>
      </c>
      <c r="E726" t="inlineStr">
        <is>
          <t>rs10894859</t>
        </is>
      </c>
      <c r="F726" t="n">
        <v>0.020813244</v>
      </c>
      <c r="G726" t="n">
        <v>0.274056891961578</v>
      </c>
      <c r="H726" t="n">
        <v>0.00833938122473</v>
      </c>
      <c r="I726" t="n">
        <v>0.7471250128170104</v>
      </c>
      <c r="J726" t="n">
        <v>0.348909416950654</v>
      </c>
      <c r="K726" t="n">
        <v>0.218105886712215</v>
      </c>
      <c r="L726" t="b">
        <v>0</v>
      </c>
      <c r="M726" t="b">
        <v>0</v>
      </c>
      <c r="N726" t="inlineStr">
        <is>
          <t>alt</t>
        </is>
      </c>
      <c r="O726" t="n">
        <v>100</v>
      </c>
      <c r="P726" t="n">
        <v>0.002525</v>
      </c>
      <c r="Q726" t="n">
        <v>-25</v>
      </c>
      <c r="R726" t="n">
        <v>0.01068</v>
      </c>
      <c r="S726">
        <f>IMAGE("https://mitra.stanford.edu/kundaje/oak/projects/neuro-variants/variant_position/credible/roussos_2024/variant_figures/roussos_2024.adolescence.GLU/rs10894859_count_position.png",4,220,900)</f>
        <v/>
      </c>
      <c r="T726">
        <f>IMAGE("https://mitra.stanford.edu/kundaje/oak/projects/neuro-variants/variant_position/credible/roussos_2024/variant_figures/roussos_2024.adolescence.GLU/rs10894859_profile_position.png",4,220,900)</f>
        <v/>
      </c>
    </row>
    <row r="727">
      <c r="A727" t="inlineStr">
        <is>
          <t>chr11</t>
        </is>
      </c>
      <c r="B727" t="n">
        <v>134716814</v>
      </c>
      <c r="C727" t="inlineStr">
        <is>
          <t>A</t>
        </is>
      </c>
      <c r="D727" t="inlineStr">
        <is>
          <t>G</t>
        </is>
      </c>
      <c r="E727" t="inlineStr">
        <is>
          <t>rs12277680</t>
        </is>
      </c>
      <c r="F727" t="n">
        <v>0.0452907264</v>
      </c>
      <c r="G727" t="n">
        <v>0.0810158449685625</v>
      </c>
      <c r="H727" t="n">
        <v>0.0100996457362311</v>
      </c>
      <c r="I727" t="n">
        <v>0.5289412204218036</v>
      </c>
      <c r="J727" t="n">
        <v>0.3582756428117252</v>
      </c>
      <c r="K727" t="n">
        <v>0.2084822068857359</v>
      </c>
      <c r="L727" t="b">
        <v>0</v>
      </c>
      <c r="M727" t="b">
        <v>0</v>
      </c>
      <c r="N727" t="inlineStr">
        <is>
          <t>alt</t>
        </is>
      </c>
      <c r="O727" t="n">
        <v>100</v>
      </c>
      <c r="P727" t="n">
        <v>0.003643</v>
      </c>
      <c r="Q727" t="n">
        <v>-30</v>
      </c>
      <c r="R727" t="n">
        <v>0.01013</v>
      </c>
      <c r="S727">
        <f>IMAGE("https://mitra.stanford.edu/kundaje/oak/projects/neuro-variants/variant_position/credible/roussos_2024/variant_figures/roussos_2024.adolescence.GLU/rs12277680_count_position.png",4,220,900)</f>
        <v/>
      </c>
      <c r="T727">
        <f>IMAGE("https://mitra.stanford.edu/kundaje/oak/projects/neuro-variants/variant_position/credible/roussos_2024/variant_figures/roussos_2024.adolescence.GLU/rs12277680_profile_position.png",4,220,900)</f>
        <v/>
      </c>
    </row>
    <row r="728">
      <c r="A728" t="inlineStr">
        <is>
          <t>chr11</t>
        </is>
      </c>
      <c r="B728" t="n">
        <v>134725880</v>
      </c>
      <c r="C728" t="inlineStr">
        <is>
          <t>T</t>
        </is>
      </c>
      <c r="D728" t="inlineStr">
        <is>
          <t>C</t>
        </is>
      </c>
      <c r="E728" t="inlineStr">
        <is>
          <t>rs7951888</t>
        </is>
      </c>
      <c r="F728" t="n">
        <v>-0.00494993794</v>
      </c>
      <c r="G728" t="n">
        <v>0.7434710772153221</v>
      </c>
      <c r="H728" t="n">
        <v>0.0187671433007793</v>
      </c>
      <c r="I728" t="n">
        <v>0.0733863025012032</v>
      </c>
      <c r="J728" t="n">
        <v>0.6064213301326704</v>
      </c>
      <c r="K728" t="n">
        <v>0.0366285543870186</v>
      </c>
      <c r="L728" t="b">
        <v>0</v>
      </c>
      <c r="M728" t="b">
        <v>0</v>
      </c>
      <c r="N728" t="inlineStr">
        <is>
          <t>ref</t>
        </is>
      </c>
      <c r="O728" t="n">
        <v>100</v>
      </c>
      <c r="P728" t="n">
        <v>0.009259999999999999</v>
      </c>
      <c r="Q728" t="n">
        <v>100</v>
      </c>
      <c r="R728" t="n">
        <v>0.1382</v>
      </c>
      <c r="S728">
        <f>IMAGE("https://mitra.stanford.edu/kundaje/oak/projects/neuro-variants/variant_position/credible/roussos_2024/variant_figures/roussos_2024.adolescence.GLU/rs7951888_count_position.png",4,220,900)</f>
        <v/>
      </c>
      <c r="T728">
        <f>IMAGE("https://mitra.stanford.edu/kundaje/oak/projects/neuro-variants/variant_position/credible/roussos_2024/variant_figures/roussos_2024.adolescence.GLU/rs7951888_profile_position.png",4,220,900)</f>
        <v/>
      </c>
    </row>
    <row r="729">
      <c r="A729" t="inlineStr">
        <is>
          <t>chr11</t>
        </is>
      </c>
      <c r="B729" t="n">
        <v>134901806</v>
      </c>
      <c r="C729" t="inlineStr">
        <is>
          <t>T</t>
        </is>
      </c>
      <c r="D729" t="inlineStr">
        <is>
          <t>C</t>
        </is>
      </c>
      <c r="E729" t="inlineStr">
        <is>
          <t>rs10894902</t>
        </is>
      </c>
      <c r="F729" t="n">
        <v>0.0191902282</v>
      </c>
      <c r="G729" t="n">
        <v>0.291484206653781</v>
      </c>
      <c r="H729" t="n">
        <v>0.0101173479301512</v>
      </c>
      <c r="I729" t="n">
        <v>0.5218009686044439</v>
      </c>
      <c r="J729" t="n">
        <v>0.370366718820327</v>
      </c>
      <c r="K729" t="n">
        <v>0.1953950816873542</v>
      </c>
      <c r="L729" t="b">
        <v>0</v>
      </c>
      <c r="M729" t="b">
        <v>0</v>
      </c>
      <c r="N729" t="inlineStr">
        <is>
          <t>alt</t>
        </is>
      </c>
      <c r="O729" t="n">
        <v>100</v>
      </c>
      <c r="P729" t="n">
        <v>0.003944</v>
      </c>
      <c r="Q729" t="n">
        <v>-90</v>
      </c>
      <c r="R729" t="n">
        <v>0.05225</v>
      </c>
      <c r="S729">
        <f>IMAGE("https://mitra.stanford.edu/kundaje/oak/projects/neuro-variants/variant_position/credible/roussos_2024/variant_figures/roussos_2024.adolescence.GLU/rs10894902_count_position.png",4,220,900)</f>
        <v/>
      </c>
      <c r="T729">
        <f>IMAGE("https://mitra.stanford.edu/kundaje/oak/projects/neuro-variants/variant_position/credible/roussos_2024/variant_figures/roussos_2024.adolescence.GLU/rs10894902_profile_position.png",4,220,900)</f>
        <v/>
      </c>
    </row>
    <row r="730">
      <c r="A730" t="inlineStr">
        <is>
          <t>chr11</t>
        </is>
      </c>
      <c r="B730" t="n">
        <v>134903531</v>
      </c>
      <c r="C730" t="inlineStr">
        <is>
          <t>A</t>
        </is>
      </c>
      <c r="D730" t="inlineStr">
        <is>
          <t>C</t>
        </is>
      </c>
      <c r="E730" t="inlineStr">
        <is>
          <t>rs906627</t>
        </is>
      </c>
      <c r="F730" t="n">
        <v>-0.0288322973999999</v>
      </c>
      <c r="G730" t="n">
        <v>0.192533233740685</v>
      </c>
      <c r="H730" t="n">
        <v>0.0199361132469093</v>
      </c>
      <c r="I730" t="n">
        <v>0.06585853070202841</v>
      </c>
      <c r="J730" t="n">
        <v>0.2703388559058661</v>
      </c>
      <c r="K730" t="n">
        <v>0.3066335816020022</v>
      </c>
      <c r="L730" t="b">
        <v>0</v>
      </c>
      <c r="M730" t="b">
        <v>0</v>
      </c>
      <c r="N730" t="inlineStr">
        <is>
          <t>ref</t>
        </is>
      </c>
      <c r="O730" t="n">
        <v>80</v>
      </c>
      <c r="P730" t="n">
        <v>0.0119</v>
      </c>
      <c r="Q730" t="n">
        <v>70</v>
      </c>
      <c r="R730" t="n">
        <v>0.0437</v>
      </c>
      <c r="S730">
        <f>IMAGE("https://mitra.stanford.edu/kundaje/oak/projects/neuro-variants/variant_position/credible/roussos_2024/variant_figures/roussos_2024.adolescence.GLU/rs906627_count_position.png",4,220,900)</f>
        <v/>
      </c>
      <c r="T730">
        <f>IMAGE("https://mitra.stanford.edu/kundaje/oak/projects/neuro-variants/variant_position/credible/roussos_2024/variant_figures/roussos_2024.adolescence.GLU/rs906627_profile_position.png",4,220,900)</f>
        <v/>
      </c>
    </row>
    <row r="731">
      <c r="A731" t="inlineStr">
        <is>
          <t>chr11</t>
        </is>
      </c>
      <c r="B731" t="n">
        <v>134905423</v>
      </c>
      <c r="C731" t="inlineStr">
        <is>
          <t>C</t>
        </is>
      </c>
      <c r="D731" t="inlineStr">
        <is>
          <t>A</t>
        </is>
      </c>
      <c r="E731" t="inlineStr">
        <is>
          <t>rs1154905</t>
        </is>
      </c>
      <c r="F731" t="n">
        <v>0.0012539671349999</v>
      </c>
      <c r="G731" t="n">
        <v>0.699689457627972</v>
      </c>
      <c r="H731" t="n">
        <v>0.009332173954843301</v>
      </c>
      <c r="I731" t="n">
        <v>0.6051292880030001</v>
      </c>
      <c r="J731" t="n">
        <v>0.408280286630802</v>
      </c>
      <c r="K731" t="n">
        <v>0.1599320578975373</v>
      </c>
      <c r="L731" t="b">
        <v>0</v>
      </c>
      <c r="M731" t="b">
        <v>0</v>
      </c>
      <c r="N731" t="inlineStr">
        <is>
          <t>alt</t>
        </is>
      </c>
      <c r="O731" t="n">
        <v>100</v>
      </c>
      <c r="P731" t="n">
        <v>0.00344</v>
      </c>
      <c r="Q731" t="n">
        <v>-100</v>
      </c>
      <c r="R731" t="n">
        <v>0.0983</v>
      </c>
      <c r="S731">
        <f>IMAGE("https://mitra.stanford.edu/kundaje/oak/projects/neuro-variants/variant_position/credible/roussos_2024/variant_figures/roussos_2024.adolescence.GLU/rs1154905_count_position.png",4,220,900)</f>
        <v/>
      </c>
      <c r="T731">
        <f>IMAGE("https://mitra.stanford.edu/kundaje/oak/projects/neuro-variants/variant_position/credible/roussos_2024/variant_figures/roussos_2024.adolescence.GLU/rs1154905_profile_position.png",4,220,900)</f>
        <v/>
      </c>
    </row>
    <row r="732">
      <c r="A732" t="inlineStr">
        <is>
          <t>chr11</t>
        </is>
      </c>
      <c r="B732" t="n">
        <v>134915107</v>
      </c>
      <c r="C732" t="inlineStr">
        <is>
          <t>C</t>
        </is>
      </c>
      <c r="D732" t="inlineStr">
        <is>
          <t>T</t>
        </is>
      </c>
      <c r="E732" t="inlineStr">
        <is>
          <t>rs12226882</t>
        </is>
      </c>
      <c r="F732" t="n">
        <v>-0.0523121824</v>
      </c>
      <c r="G732" t="n">
        <v>0.0601799505074621</v>
      </c>
      <c r="H732" t="n">
        <v>0.0146814919494207</v>
      </c>
      <c r="I732" t="n">
        <v>0.1800601290881068</v>
      </c>
      <c r="J732" t="n">
        <v>0.4308649648855834</v>
      </c>
      <c r="K732" t="n">
        <v>0.1406842468400028</v>
      </c>
      <c r="L732" t="b">
        <v>0</v>
      </c>
      <c r="M732" t="b">
        <v>0</v>
      </c>
      <c r="N732" t="inlineStr">
        <is>
          <t>ref</t>
        </is>
      </c>
      <c r="O732" t="n">
        <v>-30</v>
      </c>
      <c r="P732" t="n">
        <v>0.001747</v>
      </c>
      <c r="Q732" t="n">
        <v>70</v>
      </c>
      <c r="R732" t="n">
        <v>0.08989999999999999</v>
      </c>
      <c r="S732">
        <f>IMAGE("https://mitra.stanford.edu/kundaje/oak/projects/neuro-variants/variant_position/credible/roussos_2024/variant_figures/roussos_2024.adolescence.GLU/rs12226882_count_position.png",4,220,900)</f>
        <v/>
      </c>
      <c r="T732">
        <f>IMAGE("https://mitra.stanford.edu/kundaje/oak/projects/neuro-variants/variant_position/credible/roussos_2024/variant_figures/roussos_2024.adolescence.GLU/rs12226882_profile_position.png",4,220,900)</f>
        <v/>
      </c>
    </row>
    <row r="733">
      <c r="A733" t="inlineStr">
        <is>
          <t>chr11</t>
        </is>
      </c>
      <c r="B733" t="n">
        <v>134937731</v>
      </c>
      <c r="C733" t="inlineStr">
        <is>
          <t>T</t>
        </is>
      </c>
      <c r="D733" t="inlineStr">
        <is>
          <t>A</t>
        </is>
      </c>
      <c r="E733" t="inlineStr">
        <is>
          <t>rs7118700</t>
        </is>
      </c>
      <c r="F733" t="n">
        <v>-0.00524662024</v>
      </c>
      <c r="G733" t="n">
        <v>0.7270931500525545</v>
      </c>
      <c r="H733" t="n">
        <v>0.0063013360103305</v>
      </c>
      <c r="I733" t="n">
        <v>0.9412211019391654</v>
      </c>
      <c r="J733" t="n">
        <v>0.6378321223682049</v>
      </c>
      <c r="K733" t="n">
        <v>0.0280316716621065</v>
      </c>
      <c r="L733" t="b">
        <v>0</v>
      </c>
      <c r="M733" t="b">
        <v>0</v>
      </c>
      <c r="N733" t="inlineStr">
        <is>
          <t>ref</t>
        </is>
      </c>
      <c r="O733" t="n">
        <v>-100</v>
      </c>
      <c r="P733" t="n">
        <v>0.01816</v>
      </c>
      <c r="Q733" t="n">
        <v>-100</v>
      </c>
      <c r="R733" t="n">
        <v>0.2129</v>
      </c>
      <c r="S733">
        <f>IMAGE("https://mitra.stanford.edu/kundaje/oak/projects/neuro-variants/variant_position/credible/roussos_2024/variant_figures/roussos_2024.adolescence.GLU/rs7118700_count_position.png",4,220,900)</f>
        <v/>
      </c>
      <c r="T733">
        <f>IMAGE("https://mitra.stanford.edu/kundaje/oak/projects/neuro-variants/variant_position/credible/roussos_2024/variant_figures/roussos_2024.adolescence.GLU/rs7118700_profile_position.png",4,220,900)</f>
        <v/>
      </c>
    </row>
    <row r="734">
      <c r="A734" t="inlineStr">
        <is>
          <t>chr11</t>
        </is>
      </c>
      <c r="B734" t="n">
        <v>134940387</v>
      </c>
      <c r="C734" t="inlineStr">
        <is>
          <t>T</t>
        </is>
      </c>
      <c r="D734" t="inlineStr">
        <is>
          <t>C</t>
        </is>
      </c>
      <c r="E734" t="inlineStr">
        <is>
          <t>rs1319913</t>
        </is>
      </c>
      <c r="F734" t="n">
        <v>0.0475678888</v>
      </c>
      <c r="G734" t="n">
        <v>0.0674224161571256</v>
      </c>
      <c r="H734" t="n">
        <v>0.0116533776689705</v>
      </c>
      <c r="I734" t="n">
        <v>0.3481261532667949</v>
      </c>
      <c r="J734" t="n">
        <v>0.5338948782247751</v>
      </c>
      <c r="K734" t="n">
        <v>0.06924408773957259</v>
      </c>
      <c r="L734" t="b">
        <v>0</v>
      </c>
      <c r="M734" t="b">
        <v>0</v>
      </c>
      <c r="N734" t="inlineStr">
        <is>
          <t>alt</t>
        </is>
      </c>
      <c r="O734" t="n">
        <v>-100</v>
      </c>
      <c r="P734" t="n">
        <v>0.1169</v>
      </c>
      <c r="Q734" t="n">
        <v>-100</v>
      </c>
      <c r="R734" t="n">
        <v>0.332</v>
      </c>
      <c r="S734">
        <f>IMAGE("https://mitra.stanford.edu/kundaje/oak/projects/neuro-variants/variant_position/credible/roussos_2024/variant_figures/roussos_2024.adolescence.GLU/rs1319913_count_position.png",4,220,900)</f>
        <v/>
      </c>
      <c r="T734">
        <f>IMAGE("https://mitra.stanford.edu/kundaje/oak/projects/neuro-variants/variant_position/credible/roussos_2024/variant_figures/roussos_2024.adolescence.GLU/rs1319913_profile_position.png",4,220,900)</f>
        <v/>
      </c>
    </row>
    <row r="735">
      <c r="A735" t="inlineStr">
        <is>
          <t>chr11</t>
        </is>
      </c>
      <c r="B735" t="n">
        <v>134951476</v>
      </c>
      <c r="C735" t="inlineStr">
        <is>
          <t>C</t>
        </is>
      </c>
      <c r="D735" t="inlineStr">
        <is>
          <t>T</t>
        </is>
      </c>
      <c r="E735" t="inlineStr">
        <is>
          <t>rs11224103</t>
        </is>
      </c>
      <c r="F735" t="n">
        <v>-0.0101286652</v>
      </c>
      <c r="G735" t="n">
        <v>0.393683172086189</v>
      </c>
      <c r="H735" t="n">
        <v>0.0097127867064612</v>
      </c>
      <c r="I735" t="n">
        <v>0.5531841259674777</v>
      </c>
      <c r="J735" t="n">
        <v>0.5488794107350808</v>
      </c>
      <c r="K735" t="n">
        <v>0.0609351505329143</v>
      </c>
      <c r="L735" t="b">
        <v>0</v>
      </c>
      <c r="M735" t="b">
        <v>0</v>
      </c>
      <c r="N735" t="inlineStr">
        <is>
          <t>ref</t>
        </is>
      </c>
      <c r="O735" t="n">
        <v>10</v>
      </c>
      <c r="P735" t="n">
        <v>0.000885</v>
      </c>
      <c r="Q735" t="n">
        <v>65</v>
      </c>
      <c r="R735" t="n">
        <v>0.04688</v>
      </c>
      <c r="S735">
        <f>IMAGE("https://mitra.stanford.edu/kundaje/oak/projects/neuro-variants/variant_position/credible/roussos_2024/variant_figures/roussos_2024.adolescence.GLU/rs11224103_count_position.png",4,220,900)</f>
        <v/>
      </c>
      <c r="T735">
        <f>IMAGE("https://mitra.stanford.edu/kundaje/oak/projects/neuro-variants/variant_position/credible/roussos_2024/variant_figures/roussos_2024.adolescence.GLU/rs11224103_profile_position.png",4,220,900)</f>
        <v/>
      </c>
    </row>
    <row r="736">
      <c r="A736" t="inlineStr">
        <is>
          <t>chr12</t>
        </is>
      </c>
      <c r="B736" t="n">
        <v>1754562</v>
      </c>
      <c r="C736" t="inlineStr">
        <is>
          <t>A</t>
        </is>
      </c>
      <c r="D736" t="inlineStr">
        <is>
          <t>T</t>
        </is>
      </c>
      <c r="E736" t="inlineStr">
        <is>
          <t>rs11061971</t>
        </is>
      </c>
      <c r="F736" t="n">
        <v>-0.005623634344</v>
      </c>
      <c r="G736" t="n">
        <v>0.7005976344575028</v>
      </c>
      <c r="H736" t="n">
        <v>0.0074123578172942</v>
      </c>
      <c r="I736" t="n">
        <v>0.8582888847769106</v>
      </c>
      <c r="J736" t="n">
        <v>0.0814997392316979</v>
      </c>
      <c r="K736" t="n">
        <v>0.6164203677139678</v>
      </c>
      <c r="L736" t="b">
        <v>0</v>
      </c>
      <c r="M736" t="b">
        <v>0</v>
      </c>
      <c r="N736" t="inlineStr">
        <is>
          <t>ref</t>
        </is>
      </c>
      <c r="O736" t="n">
        <v>-30</v>
      </c>
      <c r="P736" t="n">
        <v>0.005486</v>
      </c>
      <c r="Q736" t="n">
        <v>-80</v>
      </c>
      <c r="R736" t="n">
        <v>0.0897</v>
      </c>
      <c r="S736">
        <f>IMAGE("https://mitra.stanford.edu/kundaje/oak/projects/neuro-variants/variant_position/credible/roussos_2024/variant_figures/roussos_2024.adolescence.GLU/rs11061971_count_position.png",4,220,900)</f>
        <v/>
      </c>
      <c r="T736">
        <f>IMAGE("https://mitra.stanford.edu/kundaje/oak/projects/neuro-variants/variant_position/credible/roussos_2024/variant_figures/roussos_2024.adolescence.GLU/rs11061971_profile_position.png",4,220,900)</f>
        <v/>
      </c>
    </row>
    <row r="737">
      <c r="A737" t="inlineStr">
        <is>
          <t>chr12</t>
        </is>
      </c>
      <c r="B737" t="n">
        <v>1769369</v>
      </c>
      <c r="C737" t="inlineStr">
        <is>
          <t>C</t>
        </is>
      </c>
      <c r="D737" t="inlineStr">
        <is>
          <t>T</t>
        </is>
      </c>
      <c r="E737" t="inlineStr">
        <is>
          <t>rs7294668</t>
        </is>
      </c>
      <c r="F737" t="n">
        <v>-0.0572941486</v>
      </c>
      <c r="G737" t="n">
        <v>0.0451389190803573</v>
      </c>
      <c r="H737" t="n">
        <v>0.0140557698420643</v>
      </c>
      <c r="I737" t="n">
        <v>0.1991554029858758</v>
      </c>
      <c r="J737" t="n">
        <v>0.0602867736888355</v>
      </c>
      <c r="K737" t="n">
        <v>0.6693173683601994</v>
      </c>
      <c r="L737" t="b">
        <v>0</v>
      </c>
      <c r="M737" t="b">
        <v>0</v>
      </c>
      <c r="N737" t="inlineStr">
        <is>
          <t>ref</t>
        </is>
      </c>
      <c r="O737" t="n">
        <v>-100</v>
      </c>
      <c r="P737" t="n">
        <v>0.005764</v>
      </c>
      <c r="Q737" t="n">
        <v>-100</v>
      </c>
      <c r="R737" t="n">
        <v>0.08136</v>
      </c>
      <c r="S737">
        <f>IMAGE("https://mitra.stanford.edu/kundaje/oak/projects/neuro-variants/variant_position/credible/roussos_2024/variant_figures/roussos_2024.adolescence.GLU/rs7294668_count_position.png",4,220,900)</f>
        <v/>
      </c>
      <c r="T737">
        <f>IMAGE("https://mitra.stanford.edu/kundaje/oak/projects/neuro-variants/variant_position/credible/roussos_2024/variant_figures/roussos_2024.adolescence.GLU/rs7294668_profile_position.png",4,220,900)</f>
        <v/>
      </c>
    </row>
    <row r="738">
      <c r="A738" t="inlineStr">
        <is>
          <t>chr12</t>
        </is>
      </c>
      <c r="B738" t="n">
        <v>1777378</v>
      </c>
      <c r="C738" t="inlineStr">
        <is>
          <t>C</t>
        </is>
      </c>
      <c r="D738" t="inlineStr">
        <is>
          <t>T</t>
        </is>
      </c>
      <c r="E738" t="inlineStr">
        <is>
          <t>rs7306506</t>
        </is>
      </c>
      <c r="F738" t="n">
        <v>-0.00012007204</v>
      </c>
      <c r="G738" t="n">
        <v>0.7355108600570393</v>
      </c>
      <c r="H738" t="n">
        <v>0.0352401176742292</v>
      </c>
      <c r="I738" t="n">
        <v>0.00453820892721</v>
      </c>
      <c r="J738" t="n">
        <v>0.113384915446771</v>
      </c>
      <c r="K738" t="n">
        <v>0.5414189948626381</v>
      </c>
      <c r="L738" t="b">
        <v>1</v>
      </c>
      <c r="M738" t="b">
        <v>1</v>
      </c>
      <c r="N738" t="inlineStr">
        <is>
          <t>ref</t>
        </is>
      </c>
      <c r="O738" t="n">
        <v>85</v>
      </c>
      <c r="P738" t="n">
        <v>0.005157</v>
      </c>
      <c r="Q738" t="n">
        <v>40</v>
      </c>
      <c r="R738" t="n">
        <v>0.03586</v>
      </c>
      <c r="S738">
        <f>IMAGE("https://mitra.stanford.edu/kundaje/oak/projects/neuro-variants/variant_position/credible/roussos_2024/variant_figures/roussos_2024.adolescence.GLU/rs7306506_count_position.png",4,220,900)</f>
        <v/>
      </c>
      <c r="T738">
        <f>IMAGE("https://mitra.stanford.edu/kundaje/oak/projects/neuro-variants/variant_position/credible/roussos_2024/variant_figures/roussos_2024.adolescence.GLU/rs7306506_profile_position.png",4,220,900)</f>
        <v/>
      </c>
    </row>
    <row r="739">
      <c r="A739" t="inlineStr">
        <is>
          <t>chr12</t>
        </is>
      </c>
      <c r="B739" t="n">
        <v>1789481</v>
      </c>
      <c r="C739" t="inlineStr">
        <is>
          <t>G</t>
        </is>
      </c>
      <c r="D739" t="inlineStr">
        <is>
          <t>C</t>
        </is>
      </c>
      <c r="E739" t="inlineStr">
        <is>
          <t>rs4766416</t>
        </is>
      </c>
      <c r="F739" t="n">
        <v>-0.0379829956</v>
      </c>
      <c r="G739" t="n">
        <v>0.1207075876632913</v>
      </c>
      <c r="H739" t="n">
        <v>0.0152307761800647</v>
      </c>
      <c r="I739" t="n">
        <v>0.1553719661978291</v>
      </c>
      <c r="J739" t="n">
        <v>0.1449228768816397</v>
      </c>
      <c r="K739" t="n">
        <v>0.4950540204401572</v>
      </c>
      <c r="L739" t="b">
        <v>0</v>
      </c>
      <c r="M739" t="b">
        <v>0</v>
      </c>
      <c r="N739" t="inlineStr">
        <is>
          <t>ref</t>
        </is>
      </c>
      <c r="O739" t="n">
        <v>-90</v>
      </c>
      <c r="P739" t="n">
        <v>0.006317</v>
      </c>
      <c r="Q739" t="n">
        <v>-5</v>
      </c>
      <c r="R739" t="n">
        <v>0.012</v>
      </c>
      <c r="S739">
        <f>IMAGE("https://mitra.stanford.edu/kundaje/oak/projects/neuro-variants/variant_position/credible/roussos_2024/variant_figures/roussos_2024.adolescence.GLU/rs4766416_count_position.png",4,220,900)</f>
        <v/>
      </c>
      <c r="T739">
        <f>IMAGE("https://mitra.stanford.edu/kundaje/oak/projects/neuro-variants/variant_position/credible/roussos_2024/variant_figures/roussos_2024.adolescence.GLU/rs4766416_profile_position.png",4,220,900)</f>
        <v/>
      </c>
    </row>
    <row r="740">
      <c r="A740" t="inlineStr">
        <is>
          <t>chr12</t>
        </is>
      </c>
      <c r="B740" t="n">
        <v>1790548</v>
      </c>
      <c r="C740" t="inlineStr">
        <is>
          <t>A</t>
        </is>
      </c>
      <c r="D740" t="inlineStr">
        <is>
          <t>C</t>
        </is>
      </c>
      <c r="E740" t="inlineStr">
        <is>
          <t>rs7294540</t>
        </is>
      </c>
      <c r="F740" t="n">
        <v>0.0033646291919999</v>
      </c>
      <c r="G740" t="n">
        <v>0.7494886382372107</v>
      </c>
      <c r="H740" t="n">
        <v>0.008430118804098699</v>
      </c>
      <c r="I740" t="n">
        <v>0.7276063356218722</v>
      </c>
      <c r="J740" t="n">
        <v>0.4420129884047409</v>
      </c>
      <c r="K740" t="n">
        <v>0.1315355284200086</v>
      </c>
      <c r="L740" t="b">
        <v>0</v>
      </c>
      <c r="M740" t="b">
        <v>0</v>
      </c>
      <c r="N740" t="inlineStr">
        <is>
          <t>alt</t>
        </is>
      </c>
      <c r="O740" t="n">
        <v>-100</v>
      </c>
      <c r="P740" t="n">
        <v>0.000412</v>
      </c>
      <c r="Q740" t="n">
        <v>85</v>
      </c>
      <c r="R740" t="n">
        <v>0.04993</v>
      </c>
      <c r="S740">
        <f>IMAGE("https://mitra.stanford.edu/kundaje/oak/projects/neuro-variants/variant_position/credible/roussos_2024/variant_figures/roussos_2024.adolescence.GLU/rs7294540_count_position.png",4,220,900)</f>
        <v/>
      </c>
      <c r="T740">
        <f>IMAGE("https://mitra.stanford.edu/kundaje/oak/projects/neuro-variants/variant_position/credible/roussos_2024/variant_figures/roussos_2024.adolescence.GLU/rs7294540_profile_position.png",4,220,900)</f>
        <v/>
      </c>
    </row>
    <row r="741">
      <c r="A741" t="inlineStr">
        <is>
          <t>chr12</t>
        </is>
      </c>
      <c r="B741" t="n">
        <v>1792998</v>
      </c>
      <c r="C741" t="inlineStr">
        <is>
          <t>C</t>
        </is>
      </c>
      <c r="D741" t="inlineStr">
        <is>
          <t>T</t>
        </is>
      </c>
      <c r="E741" t="inlineStr">
        <is>
          <t>rs2286379</t>
        </is>
      </c>
      <c r="F741" t="n">
        <v>-0.0461715954</v>
      </c>
      <c r="G741" t="n">
        <v>0.0892769272287163</v>
      </c>
      <c r="H741" t="n">
        <v>0.0135023154767303</v>
      </c>
      <c r="I741" t="n">
        <v>0.2566479211238203</v>
      </c>
      <c r="J741" t="n">
        <v>0.4065885076194354</v>
      </c>
      <c r="K741" t="n">
        <v>0.1602022416346492</v>
      </c>
      <c r="L741" t="b">
        <v>0</v>
      </c>
      <c r="M741" t="b">
        <v>0</v>
      </c>
      <c r="N741" t="inlineStr">
        <is>
          <t>ref</t>
        </is>
      </c>
      <c r="O741" t="n">
        <v>-80</v>
      </c>
      <c r="P741" t="n">
        <v>0.01041</v>
      </c>
      <c r="Q741" t="n">
        <v>-20</v>
      </c>
      <c r="R741" t="n">
        <v>0.0556</v>
      </c>
      <c r="S741">
        <f>IMAGE("https://mitra.stanford.edu/kundaje/oak/projects/neuro-variants/variant_position/credible/roussos_2024/variant_figures/roussos_2024.adolescence.GLU/rs2286379_count_position.png",4,220,900)</f>
        <v/>
      </c>
      <c r="T741">
        <f>IMAGE("https://mitra.stanford.edu/kundaje/oak/projects/neuro-variants/variant_position/credible/roussos_2024/variant_figures/roussos_2024.adolescence.GLU/rs2286379_profile_position.png",4,220,900)</f>
        <v/>
      </c>
    </row>
    <row r="742">
      <c r="A742" t="inlineStr">
        <is>
          <t>chr12</t>
        </is>
      </c>
      <c r="B742" t="n">
        <v>2189882</v>
      </c>
      <c r="C742" t="inlineStr">
        <is>
          <t>C</t>
        </is>
      </c>
      <c r="D742" t="inlineStr">
        <is>
          <t>T</t>
        </is>
      </c>
      <c r="E742" t="inlineStr">
        <is>
          <t>rs2283288</t>
        </is>
      </c>
      <c r="F742" t="n">
        <v>-0.07100467619999989</v>
      </c>
      <c r="G742" t="n">
        <v>0.024219362411939</v>
      </c>
      <c r="H742" t="n">
        <v>0.009866499609481501</v>
      </c>
      <c r="I742" t="n">
        <v>0.5510139155636598</v>
      </c>
      <c r="J742" t="n">
        <v>0.4586921576612298</v>
      </c>
      <c r="K742" t="n">
        <v>0.1182536276362362</v>
      </c>
      <c r="L742" t="b">
        <v>0</v>
      </c>
      <c r="M742" t="b">
        <v>0</v>
      </c>
      <c r="N742" t="inlineStr">
        <is>
          <t>ref</t>
        </is>
      </c>
      <c r="O742" t="n">
        <v>100</v>
      </c>
      <c r="P742" t="n">
        <v>0.012314</v>
      </c>
      <c r="Q742" t="n">
        <v>100</v>
      </c>
      <c r="R742" t="n">
        <v>0.062</v>
      </c>
      <c r="S742">
        <f>IMAGE("https://mitra.stanford.edu/kundaje/oak/projects/neuro-variants/variant_position/credible/roussos_2024/variant_figures/roussos_2024.adolescence.GLU/rs2283288_count_position.png",4,220,900)</f>
        <v/>
      </c>
      <c r="T742">
        <f>IMAGE("https://mitra.stanford.edu/kundaje/oak/projects/neuro-variants/variant_position/credible/roussos_2024/variant_figures/roussos_2024.adolescence.GLU/rs2283288_profile_position.png",4,220,900)</f>
        <v/>
      </c>
    </row>
    <row r="743">
      <c r="A743" t="inlineStr">
        <is>
          <t>chr12</t>
        </is>
      </c>
      <c r="B743" t="n">
        <v>2191041</v>
      </c>
      <c r="C743" t="inlineStr">
        <is>
          <t>A</t>
        </is>
      </c>
      <c r="D743" t="inlineStr">
        <is>
          <t>G</t>
        </is>
      </c>
      <c r="E743" t="inlineStr">
        <is>
          <t>rs2238048</t>
        </is>
      </c>
      <c r="F743" t="n">
        <v>0.0544465068</v>
      </c>
      <c r="G743" t="n">
        <v>0.0516394765827529</v>
      </c>
      <c r="H743" t="n">
        <v>0.0139074236811784</v>
      </c>
      <c r="I743" t="n">
        <v>0.2052797993312109</v>
      </c>
      <c r="J743" t="n">
        <v>0.5751891463231669</v>
      </c>
      <c r="K743" t="n">
        <v>0.0479026199901079</v>
      </c>
      <c r="L743" t="b">
        <v>0</v>
      </c>
      <c r="M743" t="b">
        <v>0</v>
      </c>
      <c r="N743" t="inlineStr">
        <is>
          <t>alt</t>
        </is>
      </c>
      <c r="O743" t="n">
        <v>-20</v>
      </c>
      <c r="P743" t="n">
        <v>0.0009604</v>
      </c>
      <c r="Q743" t="n">
        <v>-70</v>
      </c>
      <c r="R743" t="n">
        <v>0.0707</v>
      </c>
      <c r="S743">
        <f>IMAGE("https://mitra.stanford.edu/kundaje/oak/projects/neuro-variants/variant_position/credible/roussos_2024/variant_figures/roussos_2024.adolescence.GLU/rs2238048_count_position.png",4,220,900)</f>
        <v/>
      </c>
      <c r="T743">
        <f>IMAGE("https://mitra.stanford.edu/kundaje/oak/projects/neuro-variants/variant_position/credible/roussos_2024/variant_figures/roussos_2024.adolescence.GLU/rs2238048_profile_position.png",4,220,900)</f>
        <v/>
      </c>
    </row>
    <row r="744">
      <c r="A744" t="inlineStr">
        <is>
          <t>chr12</t>
        </is>
      </c>
      <c r="B744" t="n">
        <v>2191441</v>
      </c>
      <c r="C744" t="inlineStr">
        <is>
          <t>G</t>
        </is>
      </c>
      <c r="D744" t="inlineStr">
        <is>
          <t>C</t>
        </is>
      </c>
      <c r="E744" t="inlineStr">
        <is>
          <t>rs11614764</t>
        </is>
      </c>
      <c r="F744" t="n">
        <v>-0.0796520718</v>
      </c>
      <c r="G744" t="n">
        <v>0.0175318781781843</v>
      </c>
      <c r="H744" t="n">
        <v>0.018850380256773</v>
      </c>
      <c r="I744" t="n">
        <v>0.0752523018988526</v>
      </c>
      <c r="J744" t="n">
        <v>0.5218423816361961</v>
      </c>
      <c r="K744" t="n">
        <v>0.0744268140802294</v>
      </c>
      <c r="L744" t="b">
        <v>1</v>
      </c>
      <c r="M744" t="b">
        <v>0</v>
      </c>
      <c r="N744" t="inlineStr">
        <is>
          <t>ref</t>
        </is>
      </c>
      <c r="O744" t="n">
        <v>80</v>
      </c>
      <c r="P744" t="n">
        <v>0.001192</v>
      </c>
      <c r="Q744" t="n">
        <v>-95</v>
      </c>
      <c r="R744" t="n">
        <v>0.1284</v>
      </c>
      <c r="S744">
        <f>IMAGE("https://mitra.stanford.edu/kundaje/oak/projects/neuro-variants/variant_position/credible/roussos_2024/variant_figures/roussos_2024.adolescence.GLU/rs11614764_count_position.png",4,220,900)</f>
        <v/>
      </c>
      <c r="T744">
        <f>IMAGE("https://mitra.stanford.edu/kundaje/oak/projects/neuro-variants/variant_position/credible/roussos_2024/variant_figures/roussos_2024.adolescence.GLU/rs11614764_profile_position.png",4,220,900)</f>
        <v/>
      </c>
    </row>
    <row r="745">
      <c r="A745" t="inlineStr">
        <is>
          <t>chr12</t>
        </is>
      </c>
      <c r="B745" t="n">
        <v>2195191</v>
      </c>
      <c r="C745" t="inlineStr">
        <is>
          <t>C</t>
        </is>
      </c>
      <c r="D745" t="inlineStr">
        <is>
          <t>T</t>
        </is>
      </c>
      <c r="E745" t="inlineStr">
        <is>
          <t>rs2239018</t>
        </is>
      </c>
      <c r="F745" t="n">
        <v>-0.0582834342</v>
      </c>
      <c r="G745" t="n">
        <v>0.0464501276032571</v>
      </c>
      <c r="H745" t="n">
        <v>0.0120130449704027</v>
      </c>
      <c r="I745" t="n">
        <v>0.3531983253454561</v>
      </c>
      <c r="J745" t="n">
        <v>0.3436611869601559</v>
      </c>
      <c r="K745" t="n">
        <v>0.2221765751145992</v>
      </c>
      <c r="L745" t="b">
        <v>0</v>
      </c>
      <c r="M745" t="b">
        <v>0</v>
      </c>
      <c r="N745" t="inlineStr">
        <is>
          <t>ref</t>
        </is>
      </c>
      <c r="O745" t="n">
        <v>-70</v>
      </c>
      <c r="P745" t="n">
        <v>0.008224</v>
      </c>
      <c r="Q745" t="n">
        <v>0</v>
      </c>
      <c r="R745" t="n">
        <v>0</v>
      </c>
      <c r="S745">
        <f>IMAGE("https://mitra.stanford.edu/kundaje/oak/projects/neuro-variants/variant_position/credible/roussos_2024/variant_figures/roussos_2024.adolescence.GLU/rs2239018_count_position.png",4,220,900)</f>
        <v/>
      </c>
      <c r="T745">
        <f>IMAGE("https://mitra.stanford.edu/kundaje/oak/projects/neuro-variants/variant_position/credible/roussos_2024/variant_figures/roussos_2024.adolescence.GLU/rs2239018_profile_position.png",4,220,900)</f>
        <v/>
      </c>
    </row>
    <row r="746">
      <c r="A746" t="inlineStr">
        <is>
          <t>chr12</t>
        </is>
      </c>
      <c r="B746" t="n">
        <v>2207930</v>
      </c>
      <c r="C746" t="inlineStr">
        <is>
          <t>T</t>
        </is>
      </c>
      <c r="D746" t="inlineStr">
        <is>
          <t>C</t>
        </is>
      </c>
      <c r="E746" t="inlineStr">
        <is>
          <t>rs2238053</t>
        </is>
      </c>
      <c r="F746" t="n">
        <v>-0.0015397897799999</v>
      </c>
      <c r="G746" t="n">
        <v>0.7159962030185187</v>
      </c>
      <c r="H746" t="n">
        <v>0.008049386983470399</v>
      </c>
      <c r="I746" t="n">
        <v>0.7628844810756885</v>
      </c>
      <c r="J746" t="n">
        <v>0.2067099613491366</v>
      </c>
      <c r="K746" t="n">
        <v>0.3950874155049302</v>
      </c>
      <c r="L746" t="b">
        <v>0</v>
      </c>
      <c r="M746" t="b">
        <v>0</v>
      </c>
      <c r="N746" t="inlineStr">
        <is>
          <t>ref</t>
        </is>
      </c>
      <c r="O746" t="n">
        <v>-85</v>
      </c>
      <c r="P746" t="n">
        <v>0.002129</v>
      </c>
      <c r="Q746" t="n">
        <v>55</v>
      </c>
      <c r="R746" t="n">
        <v>0.06444999999999999</v>
      </c>
      <c r="S746">
        <f>IMAGE("https://mitra.stanford.edu/kundaje/oak/projects/neuro-variants/variant_position/credible/roussos_2024/variant_figures/roussos_2024.adolescence.GLU/rs2238053_count_position.png",4,220,900)</f>
        <v/>
      </c>
      <c r="T746">
        <f>IMAGE("https://mitra.stanford.edu/kundaje/oak/projects/neuro-variants/variant_position/credible/roussos_2024/variant_figures/roussos_2024.adolescence.GLU/rs2238053_profile_position.png",4,220,900)</f>
        <v/>
      </c>
    </row>
    <row r="747">
      <c r="A747" t="inlineStr">
        <is>
          <t>chr12</t>
        </is>
      </c>
      <c r="B747" t="n">
        <v>2214876</v>
      </c>
      <c r="C747" t="inlineStr">
        <is>
          <t>T</t>
        </is>
      </c>
      <c r="D747" t="inlineStr">
        <is>
          <t>C</t>
        </is>
      </c>
      <c r="E747" t="inlineStr">
        <is>
          <t>rs7957545</t>
        </is>
      </c>
      <c r="F747" t="n">
        <v>-0.00860141042</v>
      </c>
      <c r="G747" t="n">
        <v>0.535702893159971</v>
      </c>
      <c r="H747" t="n">
        <v>0.0144349070817664</v>
      </c>
      <c r="I747" t="n">
        <v>0.2037924039733331</v>
      </c>
      <c r="J747" t="n">
        <v>0.3497510198541126</v>
      </c>
      <c r="K747" t="n">
        <v>0.2167411851025732</v>
      </c>
      <c r="L747" t="b">
        <v>0</v>
      </c>
      <c r="M747" t="b">
        <v>0</v>
      </c>
      <c r="N747" t="inlineStr">
        <is>
          <t>ref</t>
        </is>
      </c>
      <c r="O747" t="n">
        <v>-100</v>
      </c>
      <c r="P747" t="n">
        <v>0.005993</v>
      </c>
      <c r="Q747" t="n">
        <v>100</v>
      </c>
      <c r="R747" t="n">
        <v>0.079</v>
      </c>
      <c r="S747">
        <f>IMAGE("https://mitra.stanford.edu/kundaje/oak/projects/neuro-variants/variant_position/credible/roussos_2024/variant_figures/roussos_2024.adolescence.GLU/rs7957545_count_position.png",4,220,900)</f>
        <v/>
      </c>
      <c r="T747">
        <f>IMAGE("https://mitra.stanford.edu/kundaje/oak/projects/neuro-variants/variant_position/credible/roussos_2024/variant_figures/roussos_2024.adolescence.GLU/rs7957545_profile_position.png",4,220,900)</f>
        <v/>
      </c>
    </row>
    <row r="748">
      <c r="A748" t="inlineStr">
        <is>
          <t>chr12</t>
        </is>
      </c>
      <c r="B748" t="n">
        <v>2222406</v>
      </c>
      <c r="C748" t="inlineStr">
        <is>
          <t>A</t>
        </is>
      </c>
      <c r="D748" t="inlineStr">
        <is>
          <t>G</t>
        </is>
      </c>
      <c r="E748" t="inlineStr">
        <is>
          <t>rs10848642</t>
        </is>
      </c>
      <c r="F748" t="n">
        <v>0.09803445079999989</v>
      </c>
      <c r="G748" t="n">
        <v>0.0079555926483212</v>
      </c>
      <c r="H748" t="n">
        <v>0.016840215583025</v>
      </c>
      <c r="I748" t="n">
        <v>0.1121584251350492</v>
      </c>
      <c r="J748" t="n">
        <v>0.1130934264954882</v>
      </c>
      <c r="K748" t="n">
        <v>0.5462518467774472</v>
      </c>
      <c r="L748" t="b">
        <v>1</v>
      </c>
      <c r="M748" t="b">
        <v>1</v>
      </c>
      <c r="N748" t="inlineStr">
        <is>
          <t>alt</t>
        </is>
      </c>
      <c r="O748" t="n">
        <v>-10</v>
      </c>
      <c r="P748" t="n">
        <v>0.0014</v>
      </c>
      <c r="Q748" t="n">
        <v>-10</v>
      </c>
      <c r="R748" t="n">
        <v>0.010376</v>
      </c>
      <c r="S748">
        <f>IMAGE("https://mitra.stanford.edu/kundaje/oak/projects/neuro-variants/variant_position/credible/roussos_2024/variant_figures/roussos_2024.adolescence.GLU/rs10848642_count_position.png",4,220,900)</f>
        <v/>
      </c>
      <c r="T748">
        <f>IMAGE("https://mitra.stanford.edu/kundaje/oak/projects/neuro-variants/variant_position/credible/roussos_2024/variant_figures/roussos_2024.adolescence.GLU/rs10848642_profile_position.png",4,220,900)</f>
        <v/>
      </c>
    </row>
    <row r="749">
      <c r="A749" t="inlineStr">
        <is>
          <t>chr12</t>
        </is>
      </c>
      <c r="B749" t="n">
        <v>2222938</v>
      </c>
      <c r="C749" t="inlineStr">
        <is>
          <t>A</t>
        </is>
      </c>
      <c r="D749" t="inlineStr">
        <is>
          <t>G</t>
        </is>
      </c>
      <c r="E749" t="inlineStr">
        <is>
          <t>rs11062162</t>
        </is>
      </c>
      <c r="F749" t="n">
        <v>0.0622096232</v>
      </c>
      <c r="G749" t="n">
        <v>0.0364548167032051</v>
      </c>
      <c r="H749" t="n">
        <v>0.0144441280062867</v>
      </c>
      <c r="I749" t="n">
        <v>0.1970681709167293</v>
      </c>
      <c r="J749" t="n">
        <v>0.2036021747361953</v>
      </c>
      <c r="K749" t="n">
        <v>0.3969150674043799</v>
      </c>
      <c r="L749" t="b">
        <v>0</v>
      </c>
      <c r="M749" t="b">
        <v>0</v>
      </c>
      <c r="N749" t="inlineStr">
        <is>
          <t>alt</t>
        </is>
      </c>
      <c r="O749" t="n">
        <v>-60</v>
      </c>
      <c r="P749" t="n">
        <v>0.003252</v>
      </c>
      <c r="Q749" t="n">
        <v>-60</v>
      </c>
      <c r="R749" t="n">
        <v>0.02832</v>
      </c>
      <c r="S749">
        <f>IMAGE("https://mitra.stanford.edu/kundaje/oak/projects/neuro-variants/variant_position/credible/roussos_2024/variant_figures/roussos_2024.adolescence.GLU/rs11062162_count_position.png",4,220,900)</f>
        <v/>
      </c>
      <c r="T749">
        <f>IMAGE("https://mitra.stanford.edu/kundaje/oak/projects/neuro-variants/variant_position/credible/roussos_2024/variant_figures/roussos_2024.adolescence.GLU/rs11062162_profile_position.png",4,220,900)</f>
        <v/>
      </c>
    </row>
    <row r="750">
      <c r="A750" t="inlineStr">
        <is>
          <t>chr12</t>
        </is>
      </c>
      <c r="B750" t="n">
        <v>2223690</v>
      </c>
      <c r="C750" t="inlineStr">
        <is>
          <t>C</t>
        </is>
      </c>
      <c r="D750" t="inlineStr">
        <is>
          <t>A</t>
        </is>
      </c>
      <c r="E750" t="inlineStr">
        <is>
          <t>rs1108222</t>
        </is>
      </c>
      <c r="F750" t="n">
        <v>0.0034224456279999</v>
      </c>
      <c r="G750" t="n">
        <v>0.6697868428680513</v>
      </c>
      <c r="H750" t="n">
        <v>0.0092076690656136</v>
      </c>
      <c r="I750" t="n">
        <v>0.6230367486365774</v>
      </c>
      <c r="J750" t="n">
        <v>0.1306770688213986</v>
      </c>
      <c r="K750" t="n">
        <v>0.5197929219738712</v>
      </c>
      <c r="L750" t="b">
        <v>0</v>
      </c>
      <c r="M750" t="b">
        <v>0</v>
      </c>
      <c r="N750" t="inlineStr">
        <is>
          <t>alt</t>
        </is>
      </c>
      <c r="O750" t="n">
        <v>-100</v>
      </c>
      <c r="P750" t="n">
        <v>0.001049</v>
      </c>
      <c r="Q750" t="n">
        <v>-40</v>
      </c>
      <c r="R750" t="n">
        <v>0.04028</v>
      </c>
      <c r="S750">
        <f>IMAGE("https://mitra.stanford.edu/kundaje/oak/projects/neuro-variants/variant_position/credible/roussos_2024/variant_figures/roussos_2024.adolescence.GLU/rs1108222_count_position.png",4,220,900)</f>
        <v/>
      </c>
      <c r="T750">
        <f>IMAGE("https://mitra.stanford.edu/kundaje/oak/projects/neuro-variants/variant_position/credible/roussos_2024/variant_figures/roussos_2024.adolescence.GLU/rs1108222_profile_position.png",4,220,900)</f>
        <v/>
      </c>
    </row>
    <row r="751">
      <c r="A751" t="inlineStr">
        <is>
          <t>chr12</t>
        </is>
      </c>
      <c r="B751" t="n">
        <v>2225094</v>
      </c>
      <c r="C751" t="inlineStr">
        <is>
          <t>G</t>
        </is>
      </c>
      <c r="D751" t="inlineStr">
        <is>
          <t>A</t>
        </is>
      </c>
      <c r="E751" t="inlineStr">
        <is>
          <t>rs11062166</t>
        </is>
      </c>
      <c r="F751" t="n">
        <v>0.0224868452</v>
      </c>
      <c r="G751" t="n">
        <v>0.2413163057574537</v>
      </c>
      <c r="H751" t="n">
        <v>0.0232830317829792</v>
      </c>
      <c r="I751" t="n">
        <v>0.0287777691757378</v>
      </c>
      <c r="J751" t="n">
        <v>0.2356002314765201</v>
      </c>
      <c r="K751" t="n">
        <v>0.3527243964499484</v>
      </c>
      <c r="L751" t="b">
        <v>0</v>
      </c>
      <c r="M751" t="b">
        <v>0</v>
      </c>
      <c r="N751" t="inlineStr">
        <is>
          <t>alt</t>
        </is>
      </c>
      <c r="O751" t="n">
        <v>-25</v>
      </c>
      <c r="P751" t="n">
        <v>0.004326</v>
      </c>
      <c r="Q751" t="n">
        <v>-10</v>
      </c>
      <c r="R751" t="n">
        <v>0.007263</v>
      </c>
      <c r="S751">
        <f>IMAGE("https://mitra.stanford.edu/kundaje/oak/projects/neuro-variants/variant_position/credible/roussos_2024/variant_figures/roussos_2024.adolescence.GLU/rs11062166_count_position.png",4,220,900)</f>
        <v/>
      </c>
      <c r="T751">
        <f>IMAGE("https://mitra.stanford.edu/kundaje/oak/projects/neuro-variants/variant_position/credible/roussos_2024/variant_figures/roussos_2024.adolescence.GLU/rs11062166_profile_position.png",4,220,900)</f>
        <v/>
      </c>
    </row>
    <row r="752">
      <c r="A752" t="inlineStr">
        <is>
          <t>chr12</t>
        </is>
      </c>
      <c r="B752" t="n">
        <v>2239678</v>
      </c>
      <c r="C752" t="inlineStr">
        <is>
          <t>G</t>
        </is>
      </c>
      <c r="D752" t="inlineStr">
        <is>
          <t>C</t>
        </is>
      </c>
      <c r="E752" t="inlineStr">
        <is>
          <t>rs11062170</t>
        </is>
      </c>
      <c r="F752" t="n">
        <v>-0.0076667907199999</v>
      </c>
      <c r="G752" t="n">
        <v>0.6413123428035074</v>
      </c>
      <c r="H752" t="n">
        <v>0.0121895014689251</v>
      </c>
      <c r="I752" t="n">
        <v>0.3162038059913012</v>
      </c>
      <c r="J752" t="n">
        <v>0.6150159675932871</v>
      </c>
      <c r="K752" t="n">
        <v>0.033154268631184</v>
      </c>
      <c r="L752" t="b">
        <v>0</v>
      </c>
      <c r="M752" t="b">
        <v>0</v>
      </c>
      <c r="N752" t="inlineStr">
        <is>
          <t>ref</t>
        </is>
      </c>
      <c r="O752" t="n">
        <v>-100</v>
      </c>
      <c r="P752" t="n">
        <v>0.009050000000000001</v>
      </c>
      <c r="Q752" t="n">
        <v>-100</v>
      </c>
      <c r="R752" t="n">
        <v>0.1194</v>
      </c>
      <c r="S752">
        <f>IMAGE("https://mitra.stanford.edu/kundaje/oak/projects/neuro-variants/variant_position/credible/roussos_2024/variant_figures/roussos_2024.adolescence.GLU/rs11062170_count_position.png",4,220,900)</f>
        <v/>
      </c>
      <c r="T752">
        <f>IMAGE("https://mitra.stanford.edu/kundaje/oak/projects/neuro-variants/variant_position/credible/roussos_2024/variant_figures/roussos_2024.adolescence.GLU/rs11062170_profile_position.png",4,220,900)</f>
        <v/>
      </c>
    </row>
    <row r="753">
      <c r="A753" t="inlineStr">
        <is>
          <t>chr12</t>
        </is>
      </c>
      <c r="B753" t="n">
        <v>2259230</v>
      </c>
      <c r="C753" t="inlineStr">
        <is>
          <t>A</t>
        </is>
      </c>
      <c r="D753" t="inlineStr">
        <is>
          <t>G</t>
        </is>
      </c>
      <c r="E753" t="inlineStr">
        <is>
          <t>rs2370414</t>
        </is>
      </c>
      <c r="F753" t="n">
        <v>0.06326236339999999</v>
      </c>
      <c r="G753" t="n">
        <v>0.0368699635057891</v>
      </c>
      <c r="H753" t="n">
        <v>0.0129201059765612</v>
      </c>
      <c r="I753" t="n">
        <v>0.2845707484126295</v>
      </c>
      <c r="J753" t="n">
        <v>0.2721220824313607</v>
      </c>
      <c r="K753" t="n">
        <v>0.3039404041131792</v>
      </c>
      <c r="L753" t="b">
        <v>0</v>
      </c>
      <c r="M753" t="b">
        <v>0</v>
      </c>
      <c r="N753" t="inlineStr">
        <is>
          <t>alt</t>
        </is>
      </c>
      <c r="O753" t="n">
        <v>100</v>
      </c>
      <c r="P753" t="n">
        <v>0.0606</v>
      </c>
      <c r="Q753" t="n">
        <v>-25</v>
      </c>
      <c r="R753" t="n">
        <v>0.00842</v>
      </c>
      <c r="S753">
        <f>IMAGE("https://mitra.stanford.edu/kundaje/oak/projects/neuro-variants/variant_position/credible/roussos_2024/variant_figures/roussos_2024.adolescence.GLU/rs2370414_count_position.png",4,220,900)</f>
        <v/>
      </c>
      <c r="T753">
        <f>IMAGE("https://mitra.stanford.edu/kundaje/oak/projects/neuro-variants/variant_position/credible/roussos_2024/variant_figures/roussos_2024.adolescence.GLU/rs2370414_profile_position.png",4,220,900)</f>
        <v/>
      </c>
    </row>
    <row r="754">
      <c r="A754" t="inlineStr">
        <is>
          <t>chr12</t>
        </is>
      </c>
      <c r="B754" t="n">
        <v>2274839</v>
      </c>
      <c r="C754" t="inlineStr">
        <is>
          <t>T</t>
        </is>
      </c>
      <c r="D754" t="inlineStr">
        <is>
          <t>G</t>
        </is>
      </c>
      <c r="E754" t="inlineStr">
        <is>
          <t>rs2238057</t>
        </is>
      </c>
      <c r="F754" t="n">
        <v>0.0078641085</v>
      </c>
      <c r="G754" t="n">
        <v>0.5352685757730283</v>
      </c>
      <c r="H754" t="n">
        <v>0.0113357594179559</v>
      </c>
      <c r="I754" t="n">
        <v>0.3801805617637935</v>
      </c>
      <c r="J754" t="n">
        <v>0.5370912546170279</v>
      </c>
      <c r="K754" t="n">
        <v>0.06584565203759141</v>
      </c>
      <c r="L754" t="b">
        <v>0</v>
      </c>
      <c r="M754" t="b">
        <v>0</v>
      </c>
      <c r="N754" t="inlineStr">
        <is>
          <t>alt</t>
        </is>
      </c>
      <c r="O754" t="n">
        <v>-50</v>
      </c>
      <c r="P754" t="n">
        <v>0.002258</v>
      </c>
      <c r="Q754" t="n">
        <v>-100</v>
      </c>
      <c r="R754" t="n">
        <v>0.02354</v>
      </c>
      <c r="S754">
        <f>IMAGE("https://mitra.stanford.edu/kundaje/oak/projects/neuro-variants/variant_position/credible/roussos_2024/variant_figures/roussos_2024.adolescence.GLU/rs2238057_count_position.png",4,220,900)</f>
        <v/>
      </c>
      <c r="T754">
        <f>IMAGE("https://mitra.stanford.edu/kundaje/oak/projects/neuro-variants/variant_position/credible/roussos_2024/variant_figures/roussos_2024.adolescence.GLU/rs2238057_profile_position.png",4,220,900)</f>
        <v/>
      </c>
    </row>
    <row r="755">
      <c r="A755" t="inlineStr">
        <is>
          <t>chr12</t>
        </is>
      </c>
      <c r="B755" t="n">
        <v>3606194</v>
      </c>
      <c r="C755" t="inlineStr">
        <is>
          <t>A</t>
        </is>
      </c>
      <c r="D755" t="inlineStr">
        <is>
          <t>G</t>
        </is>
      </c>
      <c r="E755" t="inlineStr">
        <is>
          <t>rs6489486</t>
        </is>
      </c>
      <c r="F755" t="n">
        <v>-0.00467068728</v>
      </c>
      <c r="G755" t="n">
        <v>0.6896669140997098</v>
      </c>
      <c r="H755" t="n">
        <v>0.0102024085669853</v>
      </c>
      <c r="I755" t="n">
        <v>0.5108245380093438</v>
      </c>
      <c r="J755" t="n">
        <v>0.4067671160454665</v>
      </c>
      <c r="K755" t="n">
        <v>0.1610557907623585</v>
      </c>
      <c r="L755" t="b">
        <v>0</v>
      </c>
      <c r="M755" t="b">
        <v>0</v>
      </c>
      <c r="N755" t="inlineStr">
        <is>
          <t>ref</t>
        </is>
      </c>
      <c r="O755" t="n">
        <v>-65</v>
      </c>
      <c r="P755" t="n">
        <v>0.00724</v>
      </c>
      <c r="Q755" t="n">
        <v>100</v>
      </c>
      <c r="R755" t="n">
        <v>0.1356</v>
      </c>
      <c r="S755">
        <f>IMAGE("https://mitra.stanford.edu/kundaje/oak/projects/neuro-variants/variant_position/credible/roussos_2024/variant_figures/roussos_2024.adolescence.GLU/rs6489486_count_position.png",4,220,900)</f>
        <v/>
      </c>
      <c r="T755">
        <f>IMAGE("https://mitra.stanford.edu/kundaje/oak/projects/neuro-variants/variant_position/credible/roussos_2024/variant_figures/roussos_2024.adolescence.GLU/rs6489486_profile_position.png",4,220,900)</f>
        <v/>
      </c>
    </row>
    <row r="756">
      <c r="A756" t="inlineStr">
        <is>
          <t>chr12</t>
        </is>
      </c>
      <c r="B756" t="n">
        <v>15549073</v>
      </c>
      <c r="C756" t="inlineStr">
        <is>
          <t>C</t>
        </is>
      </c>
      <c r="D756" t="inlineStr">
        <is>
          <t>T</t>
        </is>
      </c>
      <c r="E756" t="inlineStr">
        <is>
          <t>rs7132826</t>
        </is>
      </c>
      <c r="F756" t="n">
        <v>0.0042924703</v>
      </c>
      <c r="G756" t="n">
        <v>0.6895898428126156</v>
      </c>
      <c r="H756" t="n">
        <v>0.019419914446383</v>
      </c>
      <c r="I756" t="n">
        <v>0.06287002654092549</v>
      </c>
      <c r="J756" t="n">
        <v>0.0421544462781575</v>
      </c>
      <c r="K756" t="n">
        <v>0.7262476555625973</v>
      </c>
      <c r="L756" t="b">
        <v>0</v>
      </c>
      <c r="M756" t="b">
        <v>0</v>
      </c>
      <c r="N756" t="inlineStr">
        <is>
          <t>alt</t>
        </is>
      </c>
      <c r="O756" t="n">
        <v>-75</v>
      </c>
      <c r="P756" t="n">
        <v>0.003838</v>
      </c>
      <c r="Q756" t="n">
        <v>-40</v>
      </c>
      <c r="R756" t="n">
        <v>0.02026</v>
      </c>
      <c r="S756">
        <f>IMAGE("https://mitra.stanford.edu/kundaje/oak/projects/neuro-variants/variant_position/credible/roussos_2024/variant_figures/roussos_2024.adolescence.GLU/rs7132826_count_position.png",4,220,900)</f>
        <v/>
      </c>
      <c r="T756">
        <f>IMAGE("https://mitra.stanford.edu/kundaje/oak/projects/neuro-variants/variant_position/credible/roussos_2024/variant_figures/roussos_2024.adolescence.GLU/rs7132826_profile_position.png",4,220,900)</f>
        <v/>
      </c>
    </row>
    <row r="757">
      <c r="A757" t="inlineStr">
        <is>
          <t>chr12</t>
        </is>
      </c>
      <c r="B757" t="n">
        <v>15554198</v>
      </c>
      <c r="C757" t="inlineStr">
        <is>
          <t>G</t>
        </is>
      </c>
      <c r="D757" t="inlineStr">
        <is>
          <t>A</t>
        </is>
      </c>
      <c r="E757" t="inlineStr">
        <is>
          <t>rs11056556</t>
        </is>
      </c>
      <c r="F757" t="n">
        <v>0.00212989358</v>
      </c>
      <c r="G757" t="n">
        <v>0.7636106321013364</v>
      </c>
      <c r="H757" t="n">
        <v>0.018665970937298</v>
      </c>
      <c r="I757" t="n">
        <v>0.0757710508318003</v>
      </c>
      <c r="J757" t="n">
        <v>0.1381629051732144</v>
      </c>
      <c r="K757" t="n">
        <v>0.4982846816106839</v>
      </c>
      <c r="L757" t="b">
        <v>0</v>
      </c>
      <c r="M757" t="b">
        <v>0</v>
      </c>
      <c r="N757" t="inlineStr">
        <is>
          <t>alt</t>
        </is>
      </c>
      <c r="O757" t="n">
        <v>95</v>
      </c>
      <c r="P757" t="n">
        <v>0.01566</v>
      </c>
      <c r="Q757" t="n">
        <v>-80</v>
      </c>
      <c r="R757" t="n">
        <v>0.03137</v>
      </c>
      <c r="S757">
        <f>IMAGE("https://mitra.stanford.edu/kundaje/oak/projects/neuro-variants/variant_position/credible/roussos_2024/variant_figures/roussos_2024.adolescence.GLU/rs11056556_count_position.png",4,220,900)</f>
        <v/>
      </c>
      <c r="T757">
        <f>IMAGE("https://mitra.stanford.edu/kundaje/oak/projects/neuro-variants/variant_position/credible/roussos_2024/variant_figures/roussos_2024.adolescence.GLU/rs11056556_profile_position.png",4,220,900)</f>
        <v/>
      </c>
    </row>
    <row r="758">
      <c r="A758" t="inlineStr">
        <is>
          <t>chr12</t>
        </is>
      </c>
      <c r="B758" t="n">
        <v>15554746</v>
      </c>
      <c r="C758" t="inlineStr">
        <is>
          <t>T</t>
        </is>
      </c>
      <c r="D758" t="inlineStr">
        <is>
          <t>A</t>
        </is>
      </c>
      <c r="E758" t="inlineStr">
        <is>
          <t>rs10846207</t>
        </is>
      </c>
      <c r="F758" t="n">
        <v>-0.0717570956</v>
      </c>
      <c r="G758" t="n">
        <v>0.0395265735970086</v>
      </c>
      <c r="H758" t="n">
        <v>0.0259525504779597</v>
      </c>
      <c r="I758" t="n">
        <v>0.0265401025289831</v>
      </c>
      <c r="J758" t="n">
        <v>0.1835751691421794</v>
      </c>
      <c r="K758" t="n">
        <v>0.4197217769943615</v>
      </c>
      <c r="L758" t="b">
        <v>0</v>
      </c>
      <c r="M758" t="b">
        <v>0</v>
      </c>
      <c r="N758" t="inlineStr">
        <is>
          <t>ref</t>
        </is>
      </c>
      <c r="O758" t="n">
        <v>95</v>
      </c>
      <c r="P758" t="n">
        <v>0.01624</v>
      </c>
      <c r="Q758" t="n">
        <v>-100</v>
      </c>
      <c r="R758" t="n">
        <v>0.099</v>
      </c>
      <c r="S758">
        <f>IMAGE("https://mitra.stanford.edu/kundaje/oak/projects/neuro-variants/variant_position/credible/roussos_2024/variant_figures/roussos_2024.adolescence.GLU/rs10846207_count_position.png",4,220,900)</f>
        <v/>
      </c>
      <c r="T758">
        <f>IMAGE("https://mitra.stanford.edu/kundaje/oak/projects/neuro-variants/variant_position/credible/roussos_2024/variant_figures/roussos_2024.adolescence.GLU/rs10846207_profile_position.png",4,220,900)</f>
        <v/>
      </c>
    </row>
    <row r="759">
      <c r="A759" t="inlineStr">
        <is>
          <t>chr12</t>
        </is>
      </c>
      <c r="B759" t="n">
        <v>23364933</v>
      </c>
      <c r="C759" t="inlineStr">
        <is>
          <t>T</t>
        </is>
      </c>
      <c r="D759" t="inlineStr">
        <is>
          <t>G</t>
        </is>
      </c>
      <c r="E759" t="inlineStr">
        <is>
          <t>rs11046902</t>
        </is>
      </c>
      <c r="F759" t="n">
        <v>0.0073447411</v>
      </c>
      <c r="G759" t="n">
        <v>0.5919908738632848</v>
      </c>
      <c r="H759" t="n">
        <v>0.0236495632303508</v>
      </c>
      <c r="I759" t="n">
        <v>0.0307501973972905</v>
      </c>
      <c r="J759" t="n">
        <v>0.1260261054075486</v>
      </c>
      <c r="K759" t="n">
        <v>0.5245738846116501</v>
      </c>
      <c r="L759" t="b">
        <v>0</v>
      </c>
      <c r="M759" t="b">
        <v>0</v>
      </c>
      <c r="N759" t="inlineStr">
        <is>
          <t>alt</t>
        </is>
      </c>
      <c r="O759" t="n">
        <v>-85</v>
      </c>
      <c r="P759" t="n">
        <v>0.0221</v>
      </c>
      <c r="Q759" t="n">
        <v>-70</v>
      </c>
      <c r="R759" t="n">
        <v>0.10034</v>
      </c>
      <c r="S759">
        <f>IMAGE("https://mitra.stanford.edu/kundaje/oak/projects/neuro-variants/variant_position/credible/roussos_2024/variant_figures/roussos_2024.adolescence.GLU/rs11046902_count_position.png",4,220,900)</f>
        <v/>
      </c>
      <c r="T759">
        <f>IMAGE("https://mitra.stanford.edu/kundaje/oak/projects/neuro-variants/variant_position/credible/roussos_2024/variant_figures/roussos_2024.adolescence.GLU/rs11046902_profile_position.png",4,220,900)</f>
        <v/>
      </c>
    </row>
    <row r="760">
      <c r="A760" t="inlineStr">
        <is>
          <t>chr12</t>
        </is>
      </c>
      <c r="B760" t="n">
        <v>23406204</v>
      </c>
      <c r="C760" t="inlineStr">
        <is>
          <t>A</t>
        </is>
      </c>
      <c r="D760" t="inlineStr">
        <is>
          <t>G</t>
        </is>
      </c>
      <c r="E760" t="inlineStr">
        <is>
          <t>rs2418108</t>
        </is>
      </c>
      <c r="F760" t="n">
        <v>-0.0040362322</v>
      </c>
      <c r="G760" t="n">
        <v>0.711009375142217</v>
      </c>
      <c r="H760" t="n">
        <v>0.02389229357999</v>
      </c>
      <c r="I760" t="n">
        <v>0.028599027323767</v>
      </c>
      <c r="J760" t="n">
        <v>0.0026176850919118</v>
      </c>
      <c r="K760" t="n">
        <v>0.9455156715354486</v>
      </c>
      <c r="L760" t="b">
        <v>0</v>
      </c>
      <c r="M760" t="b">
        <v>0</v>
      </c>
      <c r="N760" t="inlineStr">
        <is>
          <t>ref</t>
        </is>
      </c>
      <c r="O760" t="n">
        <v>-10</v>
      </c>
      <c r="P760" t="n">
        <v>0.001755</v>
      </c>
      <c r="Q760" t="n">
        <v>-55</v>
      </c>
      <c r="R760" t="n">
        <v>0.05933</v>
      </c>
      <c r="S760">
        <f>IMAGE("https://mitra.stanford.edu/kundaje/oak/projects/neuro-variants/variant_position/credible/roussos_2024/variant_figures/roussos_2024.adolescence.GLU/rs2418108_count_position.png",4,220,900)</f>
        <v/>
      </c>
      <c r="T760">
        <f>IMAGE("https://mitra.stanford.edu/kundaje/oak/projects/neuro-variants/variant_position/credible/roussos_2024/variant_figures/roussos_2024.adolescence.GLU/rs2418108_profile_position.png",4,220,900)</f>
        <v/>
      </c>
    </row>
    <row r="761">
      <c r="A761" t="inlineStr">
        <is>
          <t>chr12</t>
        </is>
      </c>
      <c r="B761" t="n">
        <v>23486608</v>
      </c>
      <c r="C761" t="inlineStr">
        <is>
          <t>C</t>
        </is>
      </c>
      <c r="D761" t="inlineStr">
        <is>
          <t>G</t>
        </is>
      </c>
      <c r="E761" t="inlineStr">
        <is>
          <t>rs77777611</t>
        </is>
      </c>
      <c r="F761" t="n">
        <v>-0.0057473217</v>
      </c>
      <c r="G761" t="n">
        <v>0.3919757335092815</v>
      </c>
      <c r="H761" t="n">
        <v>0.0115499492405903</v>
      </c>
      <c r="I761" t="n">
        <v>0.3905585087499351</v>
      </c>
      <c r="J761" t="n">
        <v>0.1196119196119196</v>
      </c>
      <c r="K761" t="n">
        <v>0.5300974376961717</v>
      </c>
      <c r="L761" t="b">
        <v>0</v>
      </c>
      <c r="M761" t="b">
        <v>0</v>
      </c>
      <c r="N761" t="inlineStr">
        <is>
          <t>ref</t>
        </is>
      </c>
      <c r="O761" t="n">
        <v>-80</v>
      </c>
      <c r="P761" t="n">
        <v>0.0143</v>
      </c>
      <c r="Q761" t="n">
        <v>70</v>
      </c>
      <c r="R761" t="n">
        <v>0.02502</v>
      </c>
      <c r="S761">
        <f>IMAGE("https://mitra.stanford.edu/kundaje/oak/projects/neuro-variants/variant_position/credible/roussos_2024/variant_figures/roussos_2024.adolescence.GLU/rs77777611_count_position.png",4,220,900)</f>
        <v/>
      </c>
      <c r="T761">
        <f>IMAGE("https://mitra.stanford.edu/kundaje/oak/projects/neuro-variants/variant_position/credible/roussos_2024/variant_figures/roussos_2024.adolescence.GLU/rs77777611_profile_position.png",4,220,900)</f>
        <v/>
      </c>
    </row>
    <row r="762">
      <c r="A762" t="inlineStr">
        <is>
          <t>chr12</t>
        </is>
      </c>
      <c r="B762" t="n">
        <v>23545302</v>
      </c>
      <c r="C762" t="inlineStr">
        <is>
          <t>C</t>
        </is>
      </c>
      <c r="D762" t="inlineStr">
        <is>
          <t>T</t>
        </is>
      </c>
      <c r="E762" t="inlineStr">
        <is>
          <t>rs11612157</t>
        </is>
      </c>
      <c r="F762" t="n">
        <v>-0.08528751</v>
      </c>
      <c r="G762" t="n">
        <v>0.0126806230680937</v>
      </c>
      <c r="H762" t="n">
        <v>0.0122070687609321</v>
      </c>
      <c r="I762" t="n">
        <v>0.3144096439493744</v>
      </c>
      <c r="J762" t="n">
        <v>0.1521800944481356</v>
      </c>
      <c r="K762" t="n">
        <v>0.4746800165227809</v>
      </c>
      <c r="L762" t="b">
        <v>1</v>
      </c>
      <c r="M762" t="b">
        <v>0</v>
      </c>
      <c r="N762" t="inlineStr">
        <is>
          <t>ref</t>
        </is>
      </c>
      <c r="O762" t="n">
        <v>100</v>
      </c>
      <c r="P762" t="n">
        <v>0.007812</v>
      </c>
      <c r="Q762" t="n">
        <v>100</v>
      </c>
      <c r="R762" t="n">
        <v>0.01709</v>
      </c>
      <c r="S762">
        <f>IMAGE("https://mitra.stanford.edu/kundaje/oak/projects/neuro-variants/variant_position/credible/roussos_2024/variant_figures/roussos_2024.adolescence.GLU/rs11612157_count_position.png",4,220,900)</f>
        <v/>
      </c>
      <c r="T762">
        <f>IMAGE("https://mitra.stanford.edu/kundaje/oak/projects/neuro-variants/variant_position/credible/roussos_2024/variant_figures/roussos_2024.adolescence.GLU/rs11612157_profile_position.png",4,220,900)</f>
        <v/>
      </c>
    </row>
    <row r="763">
      <c r="A763" t="inlineStr">
        <is>
          <t>chr12</t>
        </is>
      </c>
      <c r="B763" t="n">
        <v>23608548</v>
      </c>
      <c r="C763" t="inlineStr">
        <is>
          <t>T</t>
        </is>
      </c>
      <c r="D763" t="inlineStr">
        <is>
          <t>C</t>
        </is>
      </c>
      <c r="E763" t="inlineStr">
        <is>
          <t>rs17468457</t>
        </is>
      </c>
      <c r="F763" t="n">
        <v>-0.003497669096</v>
      </c>
      <c r="G763" t="n">
        <v>0.7643758411404856</v>
      </c>
      <c r="H763" t="n">
        <v>0.0151694839668606</v>
      </c>
      <c r="I763" t="n">
        <v>0.1536931086111708</v>
      </c>
      <c r="J763" t="n">
        <v>0.0135770981131805</v>
      </c>
      <c r="K763" t="n">
        <v>0.85484970070961</v>
      </c>
      <c r="L763" t="b">
        <v>0</v>
      </c>
      <c r="M763" t="b">
        <v>0</v>
      </c>
      <c r="N763" t="inlineStr">
        <is>
          <t>ref</t>
        </is>
      </c>
      <c r="O763" t="n">
        <v>55</v>
      </c>
      <c r="P763" t="n">
        <v>0.0108</v>
      </c>
      <c r="Q763" t="n">
        <v>75</v>
      </c>
      <c r="R763" t="n">
        <v>0.02972</v>
      </c>
      <c r="S763">
        <f>IMAGE("https://mitra.stanford.edu/kundaje/oak/projects/neuro-variants/variant_position/credible/roussos_2024/variant_figures/roussos_2024.adolescence.GLU/rs17468457_count_position.png",4,220,900)</f>
        <v/>
      </c>
      <c r="T763">
        <f>IMAGE("https://mitra.stanford.edu/kundaje/oak/projects/neuro-variants/variant_position/credible/roussos_2024/variant_figures/roussos_2024.adolescence.GLU/rs17468457_profile_position.png",4,220,900)</f>
        <v/>
      </c>
    </row>
    <row r="764">
      <c r="A764" t="inlineStr">
        <is>
          <t>chr12</t>
        </is>
      </c>
      <c r="B764" t="n">
        <v>23614364</v>
      </c>
      <c r="C764" t="inlineStr">
        <is>
          <t>T</t>
        </is>
      </c>
      <c r="D764" t="inlineStr">
        <is>
          <t>C</t>
        </is>
      </c>
      <c r="E764" t="inlineStr">
        <is>
          <t>rs17383970</t>
        </is>
      </c>
      <c r="F764" t="n">
        <v>0.0365254333999999</v>
      </c>
      <c r="G764" t="n">
        <v>0.1235085728293755</v>
      </c>
      <c r="H764" t="n">
        <v>0.008951287667327799</v>
      </c>
      <c r="I764" t="n">
        <v>0.6716440291502485</v>
      </c>
      <c r="J764" t="n">
        <v>0.2323195519071808</v>
      </c>
      <c r="K764" t="n">
        <v>0.357533111420402</v>
      </c>
      <c r="L764" t="b">
        <v>0</v>
      </c>
      <c r="M764" t="b">
        <v>0</v>
      </c>
      <c r="N764" t="inlineStr">
        <is>
          <t>alt</t>
        </is>
      </c>
      <c r="O764" t="n">
        <v>100</v>
      </c>
      <c r="P764" t="n">
        <v>0.002705</v>
      </c>
      <c r="Q764" t="n">
        <v>-25</v>
      </c>
      <c r="R764" t="n">
        <v>0.02896</v>
      </c>
      <c r="S764">
        <f>IMAGE("https://mitra.stanford.edu/kundaje/oak/projects/neuro-variants/variant_position/credible/roussos_2024/variant_figures/roussos_2024.adolescence.GLU/rs17383970_count_position.png",4,220,900)</f>
        <v/>
      </c>
      <c r="T764">
        <f>IMAGE("https://mitra.stanford.edu/kundaje/oak/projects/neuro-variants/variant_position/credible/roussos_2024/variant_figures/roussos_2024.adolescence.GLU/rs17383970_profile_position.png",4,220,900)</f>
        <v/>
      </c>
    </row>
    <row r="765">
      <c r="A765" t="inlineStr">
        <is>
          <t>chr12</t>
        </is>
      </c>
      <c r="B765" t="n">
        <v>23616961</v>
      </c>
      <c r="C765" t="inlineStr">
        <is>
          <t>A</t>
        </is>
      </c>
      <c r="D765" t="inlineStr">
        <is>
          <t>G</t>
        </is>
      </c>
      <c r="E765" t="inlineStr">
        <is>
          <t>rs73091330</t>
        </is>
      </c>
      <c r="F765" t="n">
        <v>0.0154390794</v>
      </c>
      <c r="G765" t="n">
        <v>0.3545712528242587</v>
      </c>
      <c r="H765" t="n">
        <v>0.020926096605341</v>
      </c>
      <c r="I765" t="n">
        <v>0.0462692750132741</v>
      </c>
      <c r="J765" t="n">
        <v>0.1035714540869179</v>
      </c>
      <c r="K765" t="n">
        <v>0.563277898822151</v>
      </c>
      <c r="L765" t="b">
        <v>0</v>
      </c>
      <c r="M765" t="b">
        <v>0</v>
      </c>
      <c r="N765" t="inlineStr">
        <is>
          <t>alt</t>
        </is>
      </c>
      <c r="O765" t="n">
        <v>100</v>
      </c>
      <c r="P765" t="n">
        <v>0.0796</v>
      </c>
      <c r="Q765" t="n">
        <v>65</v>
      </c>
      <c r="R765" t="n">
        <v>0.03223</v>
      </c>
      <c r="S765">
        <f>IMAGE("https://mitra.stanford.edu/kundaje/oak/projects/neuro-variants/variant_position/credible/roussos_2024/variant_figures/roussos_2024.adolescence.GLU/rs73091330_count_position.png",4,220,900)</f>
        <v/>
      </c>
      <c r="T765">
        <f>IMAGE("https://mitra.stanford.edu/kundaje/oak/projects/neuro-variants/variant_position/credible/roussos_2024/variant_figures/roussos_2024.adolescence.GLU/rs73091330_profile_position.png",4,220,900)</f>
        <v/>
      </c>
    </row>
    <row r="766">
      <c r="A766" t="inlineStr">
        <is>
          <t>chr12</t>
        </is>
      </c>
      <c r="B766" t="n">
        <v>23625917</v>
      </c>
      <c r="C766" t="inlineStr">
        <is>
          <t>G</t>
        </is>
      </c>
      <c r="D766" t="inlineStr">
        <is>
          <t>A</t>
        </is>
      </c>
      <c r="E766" t="inlineStr">
        <is>
          <t>rs73091349</t>
        </is>
      </c>
      <c r="F766" t="n">
        <v>-0.0059335738399999</v>
      </c>
      <c r="G766" t="n">
        <v>0.7073704660664334</v>
      </c>
      <c r="H766" t="n">
        <v>0.0138918376974741</v>
      </c>
      <c r="I766" t="n">
        <v>0.2270919163063554</v>
      </c>
      <c r="J766" t="n">
        <v>0.0632459580913188</v>
      </c>
      <c r="K766" t="n">
        <v>0.6635581537427566</v>
      </c>
      <c r="L766" t="b">
        <v>0</v>
      </c>
      <c r="M766" t="b">
        <v>0</v>
      </c>
      <c r="N766" t="inlineStr">
        <is>
          <t>ref</t>
        </is>
      </c>
      <c r="O766" t="n">
        <v>65</v>
      </c>
      <c r="P766" t="n">
        <v>0.00471</v>
      </c>
      <c r="Q766" t="n">
        <v>-45</v>
      </c>
      <c r="R766" t="n">
        <v>0.08203000000000001</v>
      </c>
      <c r="S766">
        <f>IMAGE("https://mitra.stanford.edu/kundaje/oak/projects/neuro-variants/variant_position/credible/roussos_2024/variant_figures/roussos_2024.adolescence.GLU/rs73091349_count_position.png",4,220,900)</f>
        <v/>
      </c>
      <c r="T766">
        <f>IMAGE("https://mitra.stanford.edu/kundaje/oak/projects/neuro-variants/variant_position/credible/roussos_2024/variant_figures/roussos_2024.adolescence.GLU/rs73091349_profile_position.png",4,220,900)</f>
        <v/>
      </c>
    </row>
    <row r="767">
      <c r="A767" t="inlineStr">
        <is>
          <t>chr12</t>
        </is>
      </c>
      <c r="B767" t="n">
        <v>23627810</v>
      </c>
      <c r="C767" t="inlineStr">
        <is>
          <t>T</t>
        </is>
      </c>
      <c r="D767" t="inlineStr">
        <is>
          <t>C</t>
        </is>
      </c>
      <c r="E767" t="inlineStr">
        <is>
          <t>rs76571125</t>
        </is>
      </c>
      <c r="F767" t="n">
        <v>0.00382951891</v>
      </c>
      <c r="G767" t="n">
        <v>0.7771692149654843</v>
      </c>
      <c r="H767" t="n">
        <v>0.0150552102811571</v>
      </c>
      <c r="I767" t="n">
        <v>0.16036986717941</v>
      </c>
      <c r="J767" t="n">
        <v>0.0157346878996363</v>
      </c>
      <c r="K767" t="n">
        <v>0.8395841117191285</v>
      </c>
      <c r="L767" t="b">
        <v>0</v>
      </c>
      <c r="M767" t="b">
        <v>0</v>
      </c>
      <c r="N767" t="inlineStr">
        <is>
          <t>alt</t>
        </is>
      </c>
      <c r="O767" t="n">
        <v>95</v>
      </c>
      <c r="P767" t="n">
        <v>0.007263</v>
      </c>
      <c r="Q767" t="n">
        <v>100</v>
      </c>
      <c r="R767" t="n">
        <v>0.04688</v>
      </c>
      <c r="S767">
        <f>IMAGE("https://mitra.stanford.edu/kundaje/oak/projects/neuro-variants/variant_position/credible/roussos_2024/variant_figures/roussos_2024.adolescence.GLU/rs76571125_count_position.png",4,220,900)</f>
        <v/>
      </c>
      <c r="T767">
        <f>IMAGE("https://mitra.stanford.edu/kundaje/oak/projects/neuro-variants/variant_position/credible/roussos_2024/variant_figures/roussos_2024.adolescence.GLU/rs76571125_profile_position.png",4,220,900)</f>
        <v/>
      </c>
    </row>
    <row r="768">
      <c r="A768" t="inlineStr">
        <is>
          <t>chr12</t>
        </is>
      </c>
      <c r="B768" t="n">
        <v>23641960</v>
      </c>
      <c r="C768" t="inlineStr">
        <is>
          <t>C</t>
        </is>
      </c>
      <c r="D768" t="inlineStr">
        <is>
          <t>A</t>
        </is>
      </c>
      <c r="E768" t="inlineStr">
        <is>
          <t>rs73091376</t>
        </is>
      </c>
      <c r="F768" t="n">
        <v>0.0352871233999999</v>
      </c>
      <c r="G768" t="n">
        <v>0.133870065201419</v>
      </c>
      <c r="H768" t="n">
        <v>0.0287609302049303</v>
      </c>
      <c r="I768" t="n">
        <v>0.0145531270065528</v>
      </c>
      <c r="J768" t="n">
        <v>0.021618763886805</v>
      </c>
      <c r="K768" t="n">
        <v>0.8103649185684928</v>
      </c>
      <c r="L768" t="b">
        <v>1</v>
      </c>
      <c r="M768" t="b">
        <v>0</v>
      </c>
      <c r="N768" t="inlineStr">
        <is>
          <t>alt</t>
        </is>
      </c>
      <c r="O768" t="n">
        <v>-85</v>
      </c>
      <c r="P768" t="n">
        <v>0.007595</v>
      </c>
      <c r="Q768" t="n">
        <v>-15</v>
      </c>
      <c r="R768" t="n">
        <v>0.02267</v>
      </c>
      <c r="S768">
        <f>IMAGE("https://mitra.stanford.edu/kundaje/oak/projects/neuro-variants/variant_position/credible/roussos_2024/variant_figures/roussos_2024.adolescence.GLU/rs73091376_count_position.png",4,220,900)</f>
        <v/>
      </c>
      <c r="T768">
        <f>IMAGE("https://mitra.stanford.edu/kundaje/oak/projects/neuro-variants/variant_position/credible/roussos_2024/variant_figures/roussos_2024.adolescence.GLU/rs73091376_profile_position.png",4,220,900)</f>
        <v/>
      </c>
    </row>
    <row r="769">
      <c r="A769" t="inlineStr">
        <is>
          <t>chr12</t>
        </is>
      </c>
      <c r="B769" t="n">
        <v>23646344</v>
      </c>
      <c r="C769" t="inlineStr">
        <is>
          <t>T</t>
        </is>
      </c>
      <c r="D769" t="inlineStr">
        <is>
          <t>C</t>
        </is>
      </c>
      <c r="E769" t="inlineStr">
        <is>
          <t>rs73073805</t>
        </is>
      </c>
      <c r="F769" t="n">
        <v>0.00011216878</v>
      </c>
      <c r="G769" t="n">
        <v>0.8627225731618526</v>
      </c>
      <c r="H769" t="n">
        <v>0.0263802344413002</v>
      </c>
      <c r="I769" t="n">
        <v>0.0174547911354832</v>
      </c>
      <c r="J769" t="n">
        <v>0.0257396174921947</v>
      </c>
      <c r="K769" t="n">
        <v>0.7898470001654366</v>
      </c>
      <c r="L769" t="b">
        <v>1</v>
      </c>
      <c r="M769" t="b">
        <v>0</v>
      </c>
      <c r="N769" t="inlineStr">
        <is>
          <t>alt</t>
        </is>
      </c>
      <c r="O769" t="n">
        <v>100</v>
      </c>
      <c r="P769" t="n">
        <v>0.008895999999999999</v>
      </c>
      <c r="Q769" t="n">
        <v>-5</v>
      </c>
      <c r="R769" t="n">
        <v>0.006683</v>
      </c>
      <c r="S769">
        <f>IMAGE("https://mitra.stanford.edu/kundaje/oak/projects/neuro-variants/variant_position/credible/roussos_2024/variant_figures/roussos_2024.adolescence.GLU/rs73073805_count_position.png",4,220,900)</f>
        <v/>
      </c>
      <c r="T769">
        <f>IMAGE("https://mitra.stanford.edu/kundaje/oak/projects/neuro-variants/variant_position/credible/roussos_2024/variant_figures/roussos_2024.adolescence.GLU/rs73073805_profile_position.png",4,220,900)</f>
        <v/>
      </c>
    </row>
    <row r="770">
      <c r="A770" t="inlineStr">
        <is>
          <t>chr12</t>
        </is>
      </c>
      <c r="B770" t="n">
        <v>29778123</v>
      </c>
      <c r="C770" t="inlineStr">
        <is>
          <t>C</t>
        </is>
      </c>
      <c r="D770" t="inlineStr">
        <is>
          <t>A</t>
        </is>
      </c>
      <c r="E770" t="inlineStr">
        <is>
          <t>rs10843507</t>
        </is>
      </c>
      <c r="F770" t="n">
        <v>-0.0377891168</v>
      </c>
      <c r="G770" t="n">
        <v>0.1483014382538645</v>
      </c>
      <c r="H770" t="n">
        <v>0.0164968124881201</v>
      </c>
      <c r="I770" t="n">
        <v>0.1584154303167831</v>
      </c>
      <c r="J770" t="n">
        <v>0.0775031970908259</v>
      </c>
      <c r="K770" t="n">
        <v>0.6248475253917023</v>
      </c>
      <c r="L770" t="b">
        <v>0</v>
      </c>
      <c r="M770" t="b">
        <v>0</v>
      </c>
      <c r="N770" t="inlineStr">
        <is>
          <t>ref</t>
        </is>
      </c>
      <c r="O770" t="n">
        <v>30</v>
      </c>
      <c r="P770" t="n">
        <v>0.006203</v>
      </c>
      <c r="Q770" t="n">
        <v>100</v>
      </c>
      <c r="R770" t="n">
        <v>0.06510000000000001</v>
      </c>
      <c r="S770">
        <f>IMAGE("https://mitra.stanford.edu/kundaje/oak/projects/neuro-variants/variant_position/credible/roussos_2024/variant_figures/roussos_2024.adolescence.GLU/rs10843507_count_position.png",4,220,900)</f>
        <v/>
      </c>
      <c r="T770">
        <f>IMAGE("https://mitra.stanford.edu/kundaje/oak/projects/neuro-variants/variant_position/credible/roussos_2024/variant_figures/roussos_2024.adolescence.GLU/rs10843507_profile_position.png",4,220,900)</f>
        <v/>
      </c>
    </row>
    <row r="771">
      <c r="A771" t="inlineStr">
        <is>
          <t>chr12</t>
        </is>
      </c>
      <c r="B771" t="n">
        <v>29791226</v>
      </c>
      <c r="C771" t="inlineStr">
        <is>
          <t>T</t>
        </is>
      </c>
      <c r="D771" t="inlineStr">
        <is>
          <t>C</t>
        </is>
      </c>
      <c r="E771" t="inlineStr">
        <is>
          <t>rs7316162</t>
        </is>
      </c>
      <c r="F771" t="n">
        <v>0.082773086</v>
      </c>
      <c r="G771" t="n">
        <v>0.0142149222191682</v>
      </c>
      <c r="H771" t="n">
        <v>0.0190920652897493</v>
      </c>
      <c r="I771" t="n">
        <v>0.0668098878242696</v>
      </c>
      <c r="J771" t="n">
        <v>0.3330489887190918</v>
      </c>
      <c r="K771" t="n">
        <v>0.2292848303981581</v>
      </c>
      <c r="L771" t="b">
        <v>1</v>
      </c>
      <c r="M771" t="b">
        <v>0</v>
      </c>
      <c r="N771" t="inlineStr">
        <is>
          <t>alt</t>
        </is>
      </c>
      <c r="O771" t="n">
        <v>90</v>
      </c>
      <c r="P771" t="n">
        <v>0.00562</v>
      </c>
      <c r="Q771" t="n">
        <v>-80</v>
      </c>
      <c r="R771" t="n">
        <v>0.053</v>
      </c>
      <c r="S771">
        <f>IMAGE("https://mitra.stanford.edu/kundaje/oak/projects/neuro-variants/variant_position/credible/roussos_2024/variant_figures/roussos_2024.adolescence.GLU/rs7316162_count_position.png",4,220,900)</f>
        <v/>
      </c>
      <c r="T771">
        <f>IMAGE("https://mitra.stanford.edu/kundaje/oak/projects/neuro-variants/variant_position/credible/roussos_2024/variant_figures/roussos_2024.adolescence.GLU/rs7316162_profile_position.png",4,220,900)</f>
        <v/>
      </c>
    </row>
    <row r="772">
      <c r="A772" t="inlineStr">
        <is>
          <t>chr12</t>
        </is>
      </c>
      <c r="B772" t="n">
        <v>29791874</v>
      </c>
      <c r="C772" t="inlineStr">
        <is>
          <t>C</t>
        </is>
      </c>
      <c r="D772" t="inlineStr">
        <is>
          <t>G</t>
        </is>
      </c>
      <c r="E772" t="inlineStr">
        <is>
          <t>rs302350</t>
        </is>
      </c>
      <c r="F772" t="n">
        <v>-0.0161054688</v>
      </c>
      <c r="G772" t="n">
        <v>0.3720786535756555</v>
      </c>
      <c r="H772" t="n">
        <v>0.0093218924720673</v>
      </c>
      <c r="I772" t="n">
        <v>0.6339698840172454</v>
      </c>
      <c r="J772" t="n">
        <v>0.4114952382993619</v>
      </c>
      <c r="K772" t="n">
        <v>0.1558383719730311</v>
      </c>
      <c r="L772" t="b">
        <v>0</v>
      </c>
      <c r="M772" t="b">
        <v>0</v>
      </c>
      <c r="N772" t="inlineStr">
        <is>
          <t>ref</t>
        </is>
      </c>
      <c r="O772" t="n">
        <v>35</v>
      </c>
      <c r="P772" t="n">
        <v>0.001953</v>
      </c>
      <c r="Q772" t="n">
        <v>-65</v>
      </c>
      <c r="R772" t="n">
        <v>0.01953</v>
      </c>
      <c r="S772">
        <f>IMAGE("https://mitra.stanford.edu/kundaje/oak/projects/neuro-variants/variant_position/credible/roussos_2024/variant_figures/roussos_2024.adolescence.GLU/rs302350_count_position.png",4,220,900)</f>
        <v/>
      </c>
      <c r="T772">
        <f>IMAGE("https://mitra.stanford.edu/kundaje/oak/projects/neuro-variants/variant_position/credible/roussos_2024/variant_figures/roussos_2024.adolescence.GLU/rs302350_profile_position.png",4,220,900)</f>
        <v/>
      </c>
    </row>
    <row r="773">
      <c r="A773" t="inlineStr">
        <is>
          <t>chr12</t>
        </is>
      </c>
      <c r="B773" t="n">
        <v>29806764</v>
      </c>
      <c r="C773" t="inlineStr">
        <is>
          <t>C</t>
        </is>
      </c>
      <c r="D773" t="inlineStr">
        <is>
          <t>A</t>
        </is>
      </c>
      <c r="E773" t="inlineStr">
        <is>
          <t>rs369003</t>
        </is>
      </c>
      <c r="F773" t="n">
        <v>0.0025709137599999</v>
      </c>
      <c r="G773" t="n">
        <v>0.7021038020847107</v>
      </c>
      <c r="H773" t="n">
        <v>0.0296533304215655</v>
      </c>
      <c r="I773" t="n">
        <v>0.009825786541369201</v>
      </c>
      <c r="J773" t="n">
        <v>0.0600081445442269</v>
      </c>
      <c r="K773" t="n">
        <v>0.6668824548904499</v>
      </c>
      <c r="L773" t="b">
        <v>1</v>
      </c>
      <c r="M773" t="b">
        <v>1</v>
      </c>
      <c r="N773" t="inlineStr">
        <is>
          <t>alt</t>
        </is>
      </c>
      <c r="O773" t="n">
        <v>-40</v>
      </c>
      <c r="P773" t="n">
        <v>0.01071</v>
      </c>
      <c r="Q773" t="n">
        <v>-35</v>
      </c>
      <c r="R773" t="n">
        <v>0.06464</v>
      </c>
      <c r="S773">
        <f>IMAGE("https://mitra.stanford.edu/kundaje/oak/projects/neuro-variants/variant_position/credible/roussos_2024/variant_figures/roussos_2024.adolescence.GLU/rs369003_count_position.png",4,220,900)</f>
        <v/>
      </c>
      <c r="T773">
        <f>IMAGE("https://mitra.stanford.edu/kundaje/oak/projects/neuro-variants/variant_position/credible/roussos_2024/variant_figures/roussos_2024.adolescence.GLU/rs369003_profile_position.png",4,220,900)</f>
        <v/>
      </c>
    </row>
    <row r="774">
      <c r="A774" t="inlineStr">
        <is>
          <t>chr12</t>
        </is>
      </c>
      <c r="B774" t="n">
        <v>29809890</v>
      </c>
      <c r="C774" t="inlineStr">
        <is>
          <t>C</t>
        </is>
      </c>
      <c r="D774" t="inlineStr">
        <is>
          <t>T</t>
        </is>
      </c>
      <c r="E774" t="inlineStr">
        <is>
          <t>rs625430</t>
        </is>
      </c>
      <c r="F774" t="n">
        <v>-0.0340767752</v>
      </c>
      <c r="G774" t="n">
        <v>0.1499323121094603</v>
      </c>
      <c r="H774" t="n">
        <v>0.0099888977276338</v>
      </c>
      <c r="I774" t="n">
        <v>0.5009607756942063</v>
      </c>
      <c r="J774" t="n">
        <v>0.4871694851076295</v>
      </c>
      <c r="K774" t="n">
        <v>0.0964316150730805</v>
      </c>
      <c r="L774" t="b">
        <v>0</v>
      </c>
      <c r="M774" t="b">
        <v>0</v>
      </c>
      <c r="N774" t="inlineStr">
        <is>
          <t>ref</t>
        </is>
      </c>
      <c r="O774" t="n">
        <v>-95</v>
      </c>
      <c r="P774" t="n">
        <v>0.005516</v>
      </c>
      <c r="Q774" t="n">
        <v>5</v>
      </c>
      <c r="R774" t="n">
        <v>0.01733</v>
      </c>
      <c r="S774">
        <f>IMAGE("https://mitra.stanford.edu/kundaje/oak/projects/neuro-variants/variant_position/credible/roussos_2024/variant_figures/roussos_2024.adolescence.GLU/rs625430_count_position.png",4,220,900)</f>
        <v/>
      </c>
      <c r="T774">
        <f>IMAGE("https://mitra.stanford.edu/kundaje/oak/projects/neuro-variants/variant_position/credible/roussos_2024/variant_figures/roussos_2024.adolescence.GLU/rs625430_profile_position.png",4,220,900)</f>
        <v/>
      </c>
    </row>
    <row r="775">
      <c r="A775" t="inlineStr">
        <is>
          <t>chr12</t>
        </is>
      </c>
      <c r="B775" t="n">
        <v>29866765</v>
      </c>
      <c r="C775" t="inlineStr">
        <is>
          <t>A</t>
        </is>
      </c>
      <c r="D775" t="inlineStr">
        <is>
          <t>G</t>
        </is>
      </c>
      <c r="E775" t="inlineStr">
        <is>
          <t>rs58304678</t>
        </is>
      </c>
      <c r="F775" t="n">
        <v>0.0138455852</v>
      </c>
      <c r="G775" t="n">
        <v>0.4106027257708122</v>
      </c>
      <c r="H775" t="n">
        <v>0.008338420085306599</v>
      </c>
      <c r="I775" t="n">
        <v>0.757682543098923</v>
      </c>
      <c r="J775" t="n">
        <v>0.1265576440834172</v>
      </c>
      <c r="K775" t="n">
        <v>0.5227984505040841</v>
      </c>
      <c r="L775" t="b">
        <v>0</v>
      </c>
      <c r="M775" t="b">
        <v>0</v>
      </c>
      <c r="N775" t="inlineStr">
        <is>
          <t>alt</t>
        </is>
      </c>
      <c r="O775" t="n">
        <v>-100</v>
      </c>
      <c r="P775" t="n">
        <v>0.00359</v>
      </c>
      <c r="Q775" t="n">
        <v>65</v>
      </c>
      <c r="R775" t="n">
        <v>0.02533</v>
      </c>
      <c r="S775">
        <f>IMAGE("https://mitra.stanford.edu/kundaje/oak/projects/neuro-variants/variant_position/credible/roussos_2024/variant_figures/roussos_2024.adolescence.GLU/rs58304678_count_position.png",4,220,900)</f>
        <v/>
      </c>
      <c r="T775">
        <f>IMAGE("https://mitra.stanford.edu/kundaje/oak/projects/neuro-variants/variant_position/credible/roussos_2024/variant_figures/roussos_2024.adolescence.GLU/rs58304678_profile_position.png",4,220,900)</f>
        <v/>
      </c>
    </row>
    <row r="776">
      <c r="A776" t="inlineStr">
        <is>
          <t>chr12</t>
        </is>
      </c>
      <c r="B776" t="n">
        <v>29870745</v>
      </c>
      <c r="C776" t="inlineStr">
        <is>
          <t>T</t>
        </is>
      </c>
      <c r="D776" t="inlineStr">
        <is>
          <t>G</t>
        </is>
      </c>
      <c r="E776" t="inlineStr">
        <is>
          <t>rs10431276</t>
        </is>
      </c>
      <c r="F776" t="n">
        <v>0.0098831139399999</v>
      </c>
      <c r="G776" t="n">
        <v>0.5213212901648328</v>
      </c>
      <c r="H776" t="n">
        <v>0.0153711879002124</v>
      </c>
      <c r="I776" t="n">
        <v>0.1491647819963986</v>
      </c>
      <c r="J776" t="n">
        <v>0.055547220495674</v>
      </c>
      <c r="K776" t="n">
        <v>0.6833223776307918</v>
      </c>
      <c r="L776" t="b">
        <v>0</v>
      </c>
      <c r="M776" t="b">
        <v>0</v>
      </c>
      <c r="N776" t="inlineStr">
        <is>
          <t>alt</t>
        </is>
      </c>
      <c r="O776" t="n">
        <v>95</v>
      </c>
      <c r="P776" t="n">
        <v>0.003206</v>
      </c>
      <c r="Q776" t="n">
        <v>-50</v>
      </c>
      <c r="R776" t="n">
        <v>0.05884</v>
      </c>
      <c r="S776">
        <f>IMAGE("https://mitra.stanford.edu/kundaje/oak/projects/neuro-variants/variant_position/credible/roussos_2024/variant_figures/roussos_2024.adolescence.GLU/rs10431276_count_position.png",4,220,900)</f>
        <v/>
      </c>
      <c r="T776">
        <f>IMAGE("https://mitra.stanford.edu/kundaje/oak/projects/neuro-variants/variant_position/credible/roussos_2024/variant_figures/roussos_2024.adolescence.GLU/rs10431276_profile_position.png",4,220,900)</f>
        <v/>
      </c>
    </row>
    <row r="777">
      <c r="A777" t="inlineStr">
        <is>
          <t>chr12</t>
        </is>
      </c>
      <c r="B777" t="n">
        <v>29877776</v>
      </c>
      <c r="C777" t="inlineStr">
        <is>
          <t>A</t>
        </is>
      </c>
      <c r="D777" t="inlineStr">
        <is>
          <t>C</t>
        </is>
      </c>
      <c r="E777" t="inlineStr">
        <is>
          <t>rs12229602</t>
        </is>
      </c>
      <c r="F777" t="n">
        <v>0.0125650948</v>
      </c>
      <c r="G777" t="n">
        <v>0.4589212757495966</v>
      </c>
      <c r="H777" t="n">
        <v>0.0081560828589266</v>
      </c>
      <c r="I777" t="n">
        <v>0.7736153517293997</v>
      </c>
      <c r="J777" t="n">
        <v>0.0556029463245957</v>
      </c>
      <c r="K777" t="n">
        <v>0.6789717771514213</v>
      </c>
      <c r="L777" t="b">
        <v>0</v>
      </c>
      <c r="M777" t="b">
        <v>0</v>
      </c>
      <c r="N777" t="inlineStr">
        <is>
          <t>alt</t>
        </is>
      </c>
      <c r="O777" t="n">
        <v>-100</v>
      </c>
      <c r="P777" t="n">
        <v>0.007343</v>
      </c>
      <c r="Q777" t="n">
        <v>45</v>
      </c>
      <c r="R777" t="n">
        <v>0.02881</v>
      </c>
      <c r="S777">
        <f>IMAGE("https://mitra.stanford.edu/kundaje/oak/projects/neuro-variants/variant_position/credible/roussos_2024/variant_figures/roussos_2024.adolescence.GLU/rs12229602_count_position.png",4,220,900)</f>
        <v/>
      </c>
      <c r="T777">
        <f>IMAGE("https://mitra.stanford.edu/kundaje/oak/projects/neuro-variants/variant_position/credible/roussos_2024/variant_figures/roussos_2024.adolescence.GLU/rs12229602_profile_position.png",4,220,900)</f>
        <v/>
      </c>
    </row>
    <row r="778">
      <c r="A778" t="inlineStr">
        <is>
          <t>chr12</t>
        </is>
      </c>
      <c r="B778" t="n">
        <v>29889855</v>
      </c>
      <c r="C778" t="inlineStr">
        <is>
          <t>G</t>
        </is>
      </c>
      <c r="D778" t="inlineStr">
        <is>
          <t>A</t>
        </is>
      </c>
      <c r="E778" t="inlineStr">
        <is>
          <t>rs10843539</t>
        </is>
      </c>
      <c r="F778" t="n">
        <v>0.063793826</v>
      </c>
      <c r="G778" t="n">
        <v>0.0394577099047553</v>
      </c>
      <c r="H778" t="n">
        <v>0.0341589404670948</v>
      </c>
      <c r="I778" t="n">
        <v>0.0059775382649774</v>
      </c>
      <c r="J778" t="n">
        <v>0.5487122332483158</v>
      </c>
      <c r="K778" t="n">
        <v>0.0613555063670967</v>
      </c>
      <c r="L778" t="b">
        <v>1</v>
      </c>
      <c r="M778" t="b">
        <v>1</v>
      </c>
      <c r="N778" t="inlineStr">
        <is>
          <t>alt</t>
        </is>
      </c>
      <c r="O778" t="n">
        <v>25</v>
      </c>
      <c r="P778" t="n">
        <v>0.000977</v>
      </c>
      <c r="Q778" t="n">
        <v>65</v>
      </c>
      <c r="R778" t="n">
        <v>0.08594</v>
      </c>
      <c r="S778">
        <f>IMAGE("https://mitra.stanford.edu/kundaje/oak/projects/neuro-variants/variant_position/credible/roussos_2024/variant_figures/roussos_2024.adolescence.GLU/rs10843539_count_position.png",4,220,900)</f>
        <v/>
      </c>
      <c r="T778">
        <f>IMAGE("https://mitra.stanford.edu/kundaje/oak/projects/neuro-variants/variant_position/credible/roussos_2024/variant_figures/roussos_2024.adolescence.GLU/rs10843539_profile_position.png",4,220,900)</f>
        <v/>
      </c>
    </row>
    <row r="779">
      <c r="A779" t="inlineStr">
        <is>
          <t>chr12</t>
        </is>
      </c>
      <c r="B779" t="n">
        <v>29896727</v>
      </c>
      <c r="C779" t="inlineStr">
        <is>
          <t>G</t>
        </is>
      </c>
      <c r="D779" t="inlineStr">
        <is>
          <t>T</t>
        </is>
      </c>
      <c r="E779" t="inlineStr">
        <is>
          <t>rs2351015</t>
        </is>
      </c>
      <c r="F779" t="n">
        <v>0.0260817234</v>
      </c>
      <c r="G779" t="n">
        <v>0.2008144686565136</v>
      </c>
      <c r="H779" t="n">
        <v>0.0261565317976395</v>
      </c>
      <c r="I779" t="n">
        <v>0.0171027341462108</v>
      </c>
      <c r="J779" t="n">
        <v>0.1136592579891548</v>
      </c>
      <c r="K779" t="n">
        <v>0.5434763252796637</v>
      </c>
      <c r="L779" t="b">
        <v>1</v>
      </c>
      <c r="M779" t="b">
        <v>0</v>
      </c>
      <c r="N779" t="inlineStr">
        <is>
          <t>alt</t>
        </is>
      </c>
      <c r="O779" t="n">
        <v>-25</v>
      </c>
      <c r="P779" t="n">
        <v>0.005173</v>
      </c>
      <c r="Q779" t="n">
        <v>70</v>
      </c>
      <c r="R779" t="n">
        <v>0.03091</v>
      </c>
      <c r="S779">
        <f>IMAGE("https://mitra.stanford.edu/kundaje/oak/projects/neuro-variants/variant_position/credible/roussos_2024/variant_figures/roussos_2024.adolescence.GLU/rs2351015_count_position.png",4,220,900)</f>
        <v/>
      </c>
      <c r="T779">
        <f>IMAGE("https://mitra.stanford.edu/kundaje/oak/projects/neuro-variants/variant_position/credible/roussos_2024/variant_figures/roussos_2024.adolescence.GLU/rs2351015_profile_position.png",4,220,900)</f>
        <v/>
      </c>
    </row>
    <row r="780">
      <c r="A780" t="inlineStr">
        <is>
          <t>chr12</t>
        </is>
      </c>
      <c r="B780" t="n">
        <v>29902763</v>
      </c>
      <c r="C780" t="inlineStr">
        <is>
          <t>A</t>
        </is>
      </c>
      <c r="D780" t="inlineStr">
        <is>
          <t>G</t>
        </is>
      </c>
      <c r="E780" t="inlineStr">
        <is>
          <t>rs4622345</t>
        </is>
      </c>
      <c r="F780" t="n">
        <v>0.00184988114</v>
      </c>
      <c r="G780" t="n">
        <v>0.7226023413013749</v>
      </c>
      <c r="H780" t="n">
        <v>0.0189141310229561</v>
      </c>
      <c r="I780" t="n">
        <v>0.07069011425116881</v>
      </c>
      <c r="J780" t="n">
        <v>0.1198876910217116</v>
      </c>
      <c r="K780" t="n">
        <v>0.5327700661643155</v>
      </c>
      <c r="L780" t="b">
        <v>0</v>
      </c>
      <c r="M780" t="b">
        <v>0</v>
      </c>
      <c r="N780" t="inlineStr">
        <is>
          <t>alt</t>
        </is>
      </c>
      <c r="O780" t="n">
        <v>15</v>
      </c>
      <c r="P780" t="n">
        <v>0.006454</v>
      </c>
      <c r="Q780" t="n">
        <v>-100</v>
      </c>
      <c r="R780" t="n">
        <v>0.0478</v>
      </c>
      <c r="S780">
        <f>IMAGE("https://mitra.stanford.edu/kundaje/oak/projects/neuro-variants/variant_position/credible/roussos_2024/variant_figures/roussos_2024.adolescence.GLU/rs4622345_count_position.png",4,220,900)</f>
        <v/>
      </c>
      <c r="T780">
        <f>IMAGE("https://mitra.stanford.edu/kundaje/oak/projects/neuro-variants/variant_position/credible/roussos_2024/variant_figures/roussos_2024.adolescence.GLU/rs4622345_profile_position.png",4,220,900)</f>
        <v/>
      </c>
    </row>
    <row r="781">
      <c r="A781" t="inlineStr">
        <is>
          <t>chr12</t>
        </is>
      </c>
      <c r="B781" t="n">
        <v>29926235</v>
      </c>
      <c r="C781" t="inlineStr">
        <is>
          <t>T</t>
        </is>
      </c>
      <c r="D781" t="inlineStr">
        <is>
          <t>G</t>
        </is>
      </c>
      <c r="E781" t="inlineStr">
        <is>
          <t>rs7970635</t>
        </is>
      </c>
      <c r="F781" t="n">
        <v>0.00925697354</v>
      </c>
      <c r="G781" t="n">
        <v>0.5219052219277586</v>
      </c>
      <c r="H781" t="n">
        <v>0.0110729469008358</v>
      </c>
      <c r="I781" t="n">
        <v>0.4029016127952986</v>
      </c>
      <c r="J781" t="n">
        <v>0.0029277493195018</v>
      </c>
      <c r="K781" t="n">
        <v>0.9423372180624152</v>
      </c>
      <c r="L781" t="b">
        <v>0</v>
      </c>
      <c r="M781" t="b">
        <v>0</v>
      </c>
      <c r="N781" t="inlineStr">
        <is>
          <t>alt</t>
        </is>
      </c>
      <c r="O781" t="n">
        <v>30</v>
      </c>
      <c r="P781" t="n">
        <v>0.0037</v>
      </c>
      <c r="Q781" t="n">
        <v>50</v>
      </c>
      <c r="R781" t="n">
        <v>0.04626</v>
      </c>
      <c r="S781">
        <f>IMAGE("https://mitra.stanford.edu/kundaje/oak/projects/neuro-variants/variant_position/credible/roussos_2024/variant_figures/roussos_2024.adolescence.GLU/rs7970635_count_position.png",4,220,900)</f>
        <v/>
      </c>
      <c r="T781">
        <f>IMAGE("https://mitra.stanford.edu/kundaje/oak/projects/neuro-variants/variant_position/credible/roussos_2024/variant_figures/roussos_2024.adolescence.GLU/rs7970635_profile_position.png",4,220,900)</f>
        <v/>
      </c>
    </row>
    <row r="782">
      <c r="A782" t="inlineStr">
        <is>
          <t>chr12</t>
        </is>
      </c>
      <c r="B782" t="n">
        <v>39049882</v>
      </c>
      <c r="C782" t="inlineStr">
        <is>
          <t>C</t>
        </is>
      </c>
      <c r="D782" t="inlineStr">
        <is>
          <t>T</t>
        </is>
      </c>
      <c r="E782" t="inlineStr">
        <is>
          <t>rs114974785</t>
        </is>
      </c>
      <c r="F782" t="n">
        <v>-0.08344072499999999</v>
      </c>
      <c r="G782" t="n">
        <v>0.0131598179994081</v>
      </c>
      <c r="H782" t="n">
        <v>0.0125874881340868</v>
      </c>
      <c r="I782" t="n">
        <v>0.28365472644871</v>
      </c>
      <c r="J782" t="n">
        <v>0.0960484671824877</v>
      </c>
      <c r="K782" t="n">
        <v>0.5828560479248797</v>
      </c>
      <c r="L782" t="b">
        <v>1</v>
      </c>
      <c r="M782" t="b">
        <v>0</v>
      </c>
      <c r="N782" t="inlineStr">
        <is>
          <t>ref</t>
        </is>
      </c>
      <c r="O782" t="n">
        <v>100</v>
      </c>
      <c r="P782" t="n">
        <v>0.005795</v>
      </c>
      <c r="Q782" t="n">
        <v>-95</v>
      </c>
      <c r="R782" t="n">
        <v>0.03528</v>
      </c>
      <c r="S782">
        <f>IMAGE("https://mitra.stanford.edu/kundaje/oak/projects/neuro-variants/variant_position/credible/roussos_2024/variant_figures/roussos_2024.adolescence.GLU/rs114974785_count_position.png",4,220,900)</f>
        <v/>
      </c>
      <c r="T782">
        <f>IMAGE("https://mitra.stanford.edu/kundaje/oak/projects/neuro-variants/variant_position/credible/roussos_2024/variant_figures/roussos_2024.adolescence.GLU/rs114974785_profile_position.png",4,220,900)</f>
        <v/>
      </c>
    </row>
    <row r="783">
      <c r="A783" t="inlineStr">
        <is>
          <t>chr12</t>
        </is>
      </c>
      <c r="B783" t="n">
        <v>50070687</v>
      </c>
      <c r="C783" t="inlineStr">
        <is>
          <t>A</t>
        </is>
      </c>
      <c r="D783" t="inlineStr">
        <is>
          <t>G</t>
        </is>
      </c>
      <c r="E783" t="inlineStr">
        <is>
          <t>rs706790</t>
        </is>
      </c>
      <c r="F783" t="n">
        <v>-0.020982541</v>
      </c>
      <c r="G783" t="n">
        <v>0.2407727122036135</v>
      </c>
      <c r="H783" t="n">
        <v>0.0127060888157502</v>
      </c>
      <c r="I783" t="n">
        <v>0.2658197323849949</v>
      </c>
      <c r="J783" t="n">
        <v>0.5369712297547349</v>
      </c>
      <c r="K783" t="n">
        <v>0.06593725106680989</v>
      </c>
      <c r="L783" t="b">
        <v>0</v>
      </c>
      <c r="M783" t="b">
        <v>0</v>
      </c>
      <c r="N783" t="inlineStr">
        <is>
          <t>ref</t>
        </is>
      </c>
      <c r="O783" t="n">
        <v>-100</v>
      </c>
      <c r="P783" t="n">
        <v>0.00354</v>
      </c>
      <c r="Q783" t="n">
        <v>-100</v>
      </c>
      <c r="R783" t="n">
        <v>0.003906</v>
      </c>
      <c r="S783">
        <f>IMAGE("https://mitra.stanford.edu/kundaje/oak/projects/neuro-variants/variant_position/credible/roussos_2024/variant_figures/roussos_2024.adolescence.GLU/rs706790_count_position.png",4,220,900)</f>
        <v/>
      </c>
      <c r="T783">
        <f>IMAGE("https://mitra.stanford.edu/kundaje/oak/projects/neuro-variants/variant_position/credible/roussos_2024/variant_figures/roussos_2024.adolescence.GLU/rs706790_profile_position.png",4,220,900)</f>
        <v/>
      </c>
    </row>
    <row r="784">
      <c r="A784" t="inlineStr">
        <is>
          <t>chr12</t>
        </is>
      </c>
      <c r="B784" t="n">
        <v>50187707</v>
      </c>
      <c r="C784" t="inlineStr">
        <is>
          <t>C</t>
        </is>
      </c>
      <c r="D784" t="inlineStr">
        <is>
          <t>T</t>
        </is>
      </c>
      <c r="E784" t="inlineStr">
        <is>
          <t>rs7315690</t>
        </is>
      </c>
      <c r="F784" t="n">
        <v>0.01449415182</v>
      </c>
      <c r="G784" t="n">
        <v>0.3261751356484731</v>
      </c>
      <c r="H784" t="n">
        <v>0.0108845912209047</v>
      </c>
      <c r="I784" t="n">
        <v>0.4427557463302644</v>
      </c>
      <c r="J784" t="n">
        <v>0.3585814204370905</v>
      </c>
      <c r="K784" t="n">
        <v>0.201924479491461</v>
      </c>
      <c r="L784" t="b">
        <v>0</v>
      </c>
      <c r="M784" t="b">
        <v>0</v>
      </c>
      <c r="N784" t="inlineStr">
        <is>
          <t>alt</t>
        </is>
      </c>
      <c r="O784" t="n">
        <v>-100</v>
      </c>
      <c r="P784" t="n">
        <v>0.002045</v>
      </c>
      <c r="Q784" t="n">
        <v>-35</v>
      </c>
      <c r="R784" t="n">
        <v>0.011475</v>
      </c>
      <c r="S784">
        <f>IMAGE("https://mitra.stanford.edu/kundaje/oak/projects/neuro-variants/variant_position/credible/roussos_2024/variant_figures/roussos_2024.adolescence.GLU/rs7315690_count_position.png",4,220,900)</f>
        <v/>
      </c>
      <c r="T784">
        <f>IMAGE("https://mitra.stanford.edu/kundaje/oak/projects/neuro-variants/variant_position/credible/roussos_2024/variant_figures/roussos_2024.adolescence.GLU/rs7315690_profile_position.png",4,220,900)</f>
        <v/>
      </c>
    </row>
    <row r="785">
      <c r="A785" t="inlineStr">
        <is>
          <t>chr12</t>
        </is>
      </c>
      <c r="B785" t="n">
        <v>50189367</v>
      </c>
      <c r="C785" t="inlineStr">
        <is>
          <t>A</t>
        </is>
      </c>
      <c r="D785" t="inlineStr">
        <is>
          <t>G</t>
        </is>
      </c>
      <c r="E785" t="inlineStr">
        <is>
          <t>rs7138420</t>
        </is>
      </c>
      <c r="F785" t="n">
        <v>-0.0712010726</v>
      </c>
      <c r="G785" t="n">
        <v>0.0259075609115636</v>
      </c>
      <c r="H785" t="n">
        <v>0.0233201770658745</v>
      </c>
      <c r="I785" t="n">
        <v>0.0273626555196868</v>
      </c>
      <c r="J785" t="n">
        <v>0.1664201870387436</v>
      </c>
      <c r="K785" t="n">
        <v>0.4588389707249133</v>
      </c>
      <c r="L785" t="b">
        <v>0</v>
      </c>
      <c r="M785" t="b">
        <v>0</v>
      </c>
      <c r="N785" t="inlineStr">
        <is>
          <t>ref</t>
        </is>
      </c>
      <c r="O785" t="n">
        <v>-20</v>
      </c>
      <c r="P785" t="n">
        <v>0.0047</v>
      </c>
      <c r="Q785" t="n">
        <v>55</v>
      </c>
      <c r="R785" t="n">
        <v>0.06122</v>
      </c>
      <c r="S785">
        <f>IMAGE("https://mitra.stanford.edu/kundaje/oak/projects/neuro-variants/variant_position/credible/roussos_2024/variant_figures/roussos_2024.adolescence.GLU/rs7138420_count_position.png",4,220,900)</f>
        <v/>
      </c>
      <c r="T785">
        <f>IMAGE("https://mitra.stanford.edu/kundaje/oak/projects/neuro-variants/variant_position/credible/roussos_2024/variant_figures/roussos_2024.adolescence.GLU/rs7138420_profile_position.png",4,220,900)</f>
        <v/>
      </c>
    </row>
    <row r="786">
      <c r="A786" t="inlineStr">
        <is>
          <t>chr12</t>
        </is>
      </c>
      <c r="B786" t="n">
        <v>50231275</v>
      </c>
      <c r="C786" t="inlineStr">
        <is>
          <t>A</t>
        </is>
      </c>
      <c r="D786" t="inlineStr">
        <is>
          <t>C</t>
        </is>
      </c>
      <c r="E786" t="inlineStr">
        <is>
          <t>rs12425229</t>
        </is>
      </c>
      <c r="F786" t="n">
        <v>0.0146170363799999</v>
      </c>
      <c r="G786" t="n">
        <v>0.3906287059630907</v>
      </c>
      <c r="H786" t="n">
        <v>0.0126439398200031</v>
      </c>
      <c r="I786" t="n">
        <v>0.2762891057672894</v>
      </c>
      <c r="J786" t="n">
        <v>0.2618185195504783</v>
      </c>
      <c r="K786" t="n">
        <v>0.3148369230395622</v>
      </c>
      <c r="L786" t="b">
        <v>0</v>
      </c>
      <c r="M786" t="b">
        <v>0</v>
      </c>
      <c r="N786" t="inlineStr">
        <is>
          <t>alt</t>
        </is>
      </c>
      <c r="O786" t="n">
        <v>-70</v>
      </c>
      <c r="P786" t="n">
        <v>0.03244</v>
      </c>
      <c r="Q786" t="n">
        <v>-55</v>
      </c>
      <c r="R786" t="n">
        <v>0.1345</v>
      </c>
      <c r="S786">
        <f>IMAGE("https://mitra.stanford.edu/kundaje/oak/projects/neuro-variants/variant_position/credible/roussos_2024/variant_figures/roussos_2024.adolescence.GLU/rs12425229_count_position.png",4,220,900)</f>
        <v/>
      </c>
      <c r="T786">
        <f>IMAGE("https://mitra.stanford.edu/kundaje/oak/projects/neuro-variants/variant_position/credible/roussos_2024/variant_figures/roussos_2024.adolescence.GLU/rs12425229_profile_position.png",4,220,900)</f>
        <v/>
      </c>
    </row>
    <row r="787">
      <c r="A787" t="inlineStr">
        <is>
          <t>chr12</t>
        </is>
      </c>
      <c r="B787" t="n">
        <v>50259146</v>
      </c>
      <c r="C787" t="inlineStr">
        <is>
          <t>T</t>
        </is>
      </c>
      <c r="D787" t="inlineStr">
        <is>
          <t>C</t>
        </is>
      </c>
      <c r="E787" t="inlineStr">
        <is>
          <t>rs10783344</t>
        </is>
      </c>
      <c r="F787" t="n">
        <v>0.0582498994</v>
      </c>
      <c r="G787" t="n">
        <v>0.0474833810980757</v>
      </c>
      <c r="H787" t="n">
        <v>0.015463734138845</v>
      </c>
      <c r="I787" t="n">
        <v>0.1725651997714406</v>
      </c>
      <c r="J787" t="n">
        <v>0.1134292103364267</v>
      </c>
      <c r="K787" t="n">
        <v>0.543983940257891</v>
      </c>
      <c r="L787" t="b">
        <v>0</v>
      </c>
      <c r="M787" t="b">
        <v>0</v>
      </c>
      <c r="N787" t="inlineStr">
        <is>
          <t>alt</t>
        </is>
      </c>
      <c r="O787" t="n">
        <v>-15</v>
      </c>
      <c r="P787" t="n">
        <v>0.001909</v>
      </c>
      <c r="Q787" t="n">
        <v>-85</v>
      </c>
      <c r="R787" t="n">
        <v>0.01889</v>
      </c>
      <c r="S787">
        <f>IMAGE("https://mitra.stanford.edu/kundaje/oak/projects/neuro-variants/variant_position/credible/roussos_2024/variant_figures/roussos_2024.adolescence.GLU/rs10783344_count_position.png",4,220,900)</f>
        <v/>
      </c>
      <c r="T787">
        <f>IMAGE("https://mitra.stanford.edu/kundaje/oak/projects/neuro-variants/variant_position/credible/roussos_2024/variant_figures/roussos_2024.adolescence.GLU/rs10783344_profile_position.png",4,220,900)</f>
        <v/>
      </c>
    </row>
    <row r="788">
      <c r="A788" t="inlineStr">
        <is>
          <t>chr12</t>
        </is>
      </c>
      <c r="B788" t="n">
        <v>50260192</v>
      </c>
      <c r="C788" t="inlineStr">
        <is>
          <t>T</t>
        </is>
      </c>
      <c r="D788" t="inlineStr">
        <is>
          <t>C</t>
        </is>
      </c>
      <c r="E788" t="inlineStr">
        <is>
          <t>rs1972611</t>
        </is>
      </c>
      <c r="F788" t="n">
        <v>0.0478516768</v>
      </c>
      <c r="G788" t="n">
        <v>0.0715245746948153</v>
      </c>
      <c r="H788" t="n">
        <v>0.0144397072447483</v>
      </c>
      <c r="I788" t="n">
        <v>0.1840309013558636</v>
      </c>
      <c r="J788" t="n">
        <v>0.1002107579427166</v>
      </c>
      <c r="K788" t="n">
        <v>0.5710155143987115</v>
      </c>
      <c r="L788" t="b">
        <v>0</v>
      </c>
      <c r="M788" t="b">
        <v>0</v>
      </c>
      <c r="N788" t="inlineStr">
        <is>
          <t>alt</t>
        </is>
      </c>
      <c r="O788" t="n">
        <v>-100</v>
      </c>
      <c r="P788" t="n">
        <v>0.00699</v>
      </c>
      <c r="Q788" t="n">
        <v>-90</v>
      </c>
      <c r="R788" t="n">
        <v>0.12085</v>
      </c>
      <c r="S788">
        <f>IMAGE("https://mitra.stanford.edu/kundaje/oak/projects/neuro-variants/variant_position/credible/roussos_2024/variant_figures/roussos_2024.adolescence.GLU/rs1972611_count_position.png",4,220,900)</f>
        <v/>
      </c>
      <c r="T788">
        <f>IMAGE("https://mitra.stanford.edu/kundaje/oak/projects/neuro-variants/variant_position/credible/roussos_2024/variant_figures/roussos_2024.adolescence.GLU/rs1972611_profile_position.png",4,220,900)</f>
        <v/>
      </c>
    </row>
    <row r="789">
      <c r="A789" t="inlineStr">
        <is>
          <t>chr12</t>
        </is>
      </c>
      <c r="B789" t="n">
        <v>50280266</v>
      </c>
      <c r="C789" t="inlineStr">
        <is>
          <t>C</t>
        </is>
      </c>
      <c r="D789" t="inlineStr">
        <is>
          <t>T</t>
        </is>
      </c>
      <c r="E789" t="inlineStr">
        <is>
          <t>rs67138019</t>
        </is>
      </c>
      <c r="F789" t="n">
        <v>-0.0655703208</v>
      </c>
      <c r="G789" t="n">
        <v>0.040254241956137</v>
      </c>
      <c r="H789" t="n">
        <v>0.013307966963544</v>
      </c>
      <c r="I789" t="n">
        <v>0.2636493353069827</v>
      </c>
      <c r="J789" t="n">
        <v>0.1786570075229868</v>
      </c>
      <c r="K789" t="n">
        <v>0.4348217721878671</v>
      </c>
      <c r="L789" t="b">
        <v>0</v>
      </c>
      <c r="M789" t="b">
        <v>0</v>
      </c>
      <c r="N789" t="inlineStr">
        <is>
          <t>ref</t>
        </is>
      </c>
      <c r="O789" t="n">
        <v>-55</v>
      </c>
      <c r="P789" t="n">
        <v>0.01617</v>
      </c>
      <c r="Q789" t="n">
        <v>55</v>
      </c>
      <c r="R789" t="n">
        <v>0.07117</v>
      </c>
      <c r="S789">
        <f>IMAGE("https://mitra.stanford.edu/kundaje/oak/projects/neuro-variants/variant_position/credible/roussos_2024/variant_figures/roussos_2024.adolescence.GLU/rs67138019_count_position.png",4,220,900)</f>
        <v/>
      </c>
      <c r="T789">
        <f>IMAGE("https://mitra.stanford.edu/kundaje/oak/projects/neuro-variants/variant_position/credible/roussos_2024/variant_figures/roussos_2024.adolescence.GLU/rs67138019_profile_position.png",4,220,900)</f>
        <v/>
      </c>
    </row>
    <row r="790">
      <c r="A790" t="inlineStr">
        <is>
          <t>chr12</t>
        </is>
      </c>
      <c r="B790" t="n">
        <v>50284576</v>
      </c>
      <c r="C790" t="inlineStr">
        <is>
          <t>G</t>
        </is>
      </c>
      <c r="D790" t="inlineStr">
        <is>
          <t>A</t>
        </is>
      </c>
      <c r="E790" t="inlineStr">
        <is>
          <t>rs12832940</t>
        </is>
      </c>
      <c r="F790" t="n">
        <v>-0.0537626799999999</v>
      </c>
      <c r="G790" t="n">
        <v>0.057453396422962</v>
      </c>
      <c r="H790" t="n">
        <v>0.0185029217900639</v>
      </c>
      <c r="I790" t="n">
        <v>0.0835057438431917</v>
      </c>
      <c r="J790" t="n">
        <v>0.4906330597052246</v>
      </c>
      <c r="K790" t="n">
        <v>0.0953501239827363</v>
      </c>
      <c r="L790" t="b">
        <v>0</v>
      </c>
      <c r="M790" t="b">
        <v>0</v>
      </c>
      <c r="N790" t="inlineStr">
        <is>
          <t>ref</t>
        </is>
      </c>
      <c r="O790" t="n">
        <v>-70</v>
      </c>
      <c r="P790" t="n">
        <v>0.02507</v>
      </c>
      <c r="Q790" t="n">
        <v>-40</v>
      </c>
      <c r="R790" t="n">
        <v>0.04535</v>
      </c>
      <c r="S790">
        <f>IMAGE("https://mitra.stanford.edu/kundaje/oak/projects/neuro-variants/variant_position/credible/roussos_2024/variant_figures/roussos_2024.adolescence.GLU/rs12832940_count_position.png",4,220,900)</f>
        <v/>
      </c>
      <c r="T790">
        <f>IMAGE("https://mitra.stanford.edu/kundaje/oak/projects/neuro-variants/variant_position/credible/roussos_2024/variant_figures/roussos_2024.adolescence.GLU/rs12832940_profile_position.png",4,220,900)</f>
        <v/>
      </c>
    </row>
    <row r="791">
      <c r="A791" t="inlineStr">
        <is>
          <t>chr12</t>
        </is>
      </c>
      <c r="B791" t="n">
        <v>50289962</v>
      </c>
      <c r="C791" t="inlineStr">
        <is>
          <t>T</t>
        </is>
      </c>
      <c r="D791" t="inlineStr">
        <is>
          <t>C</t>
        </is>
      </c>
      <c r="E791" t="inlineStr">
        <is>
          <t>rs7311973</t>
        </is>
      </c>
      <c r="F791" t="n">
        <v>-0.004131346674</v>
      </c>
      <c r="G791" t="n">
        <v>0.7740055839801848</v>
      </c>
      <c r="H791" t="n">
        <v>0.0250871552151055</v>
      </c>
      <c r="I791" t="n">
        <v>0.020679758072224</v>
      </c>
      <c r="J791" t="n">
        <v>0.00887755320745</v>
      </c>
      <c r="K791" t="n">
        <v>0.8988574157222026</v>
      </c>
      <c r="L791" t="b">
        <v>0</v>
      </c>
      <c r="M791" t="b">
        <v>0</v>
      </c>
      <c r="N791" t="inlineStr">
        <is>
          <t>ref</t>
        </is>
      </c>
      <c r="O791" t="n">
        <v>-50</v>
      </c>
      <c r="P791" t="n">
        <v>0.00453</v>
      </c>
      <c r="Q791" t="n">
        <v>100</v>
      </c>
      <c r="R791" t="n">
        <v>0.0911</v>
      </c>
      <c r="S791">
        <f>IMAGE("https://mitra.stanford.edu/kundaje/oak/projects/neuro-variants/variant_position/credible/roussos_2024/variant_figures/roussos_2024.adolescence.GLU/rs7311973_count_position.png",4,220,900)</f>
        <v/>
      </c>
      <c r="T791">
        <f>IMAGE("https://mitra.stanford.edu/kundaje/oak/projects/neuro-variants/variant_position/credible/roussos_2024/variant_figures/roussos_2024.adolescence.GLU/rs7311973_profile_position.png",4,220,900)</f>
        <v/>
      </c>
    </row>
    <row r="792">
      <c r="A792" t="inlineStr">
        <is>
          <t>chr12</t>
        </is>
      </c>
      <c r="B792" t="n">
        <v>50358938</v>
      </c>
      <c r="C792" t="inlineStr">
        <is>
          <t>G</t>
        </is>
      </c>
      <c r="D792" t="inlineStr">
        <is>
          <t>A</t>
        </is>
      </c>
      <c r="E792" t="inlineStr">
        <is>
          <t>rs11169393</t>
        </is>
      </c>
      <c r="F792" t="n">
        <v>0.0017777005999999</v>
      </c>
      <c r="G792" t="n">
        <v>0.7305458908579638</v>
      </c>
      <c r="H792" t="n">
        <v>0.0348720181600539</v>
      </c>
      <c r="I792" t="n">
        <v>0.0044466947194402</v>
      </c>
      <c r="J792" t="n">
        <v>0.0333726271870601</v>
      </c>
      <c r="K792" t="n">
        <v>0.7635158037597443</v>
      </c>
      <c r="L792" t="b">
        <v>1</v>
      </c>
      <c r="M792" t="b">
        <v>0</v>
      </c>
      <c r="N792" t="inlineStr">
        <is>
          <t>alt</t>
        </is>
      </c>
      <c r="O792" t="n">
        <v>-65</v>
      </c>
      <c r="P792" t="n">
        <v>0.003357</v>
      </c>
      <c r="Q792" t="n">
        <v>-20</v>
      </c>
      <c r="R792" t="n">
        <v>0.02917</v>
      </c>
      <c r="S792">
        <f>IMAGE("https://mitra.stanford.edu/kundaje/oak/projects/neuro-variants/variant_position/credible/roussos_2024/variant_figures/roussos_2024.adolescence.GLU/rs11169393_count_position.png",4,220,900)</f>
        <v/>
      </c>
      <c r="T792">
        <f>IMAGE("https://mitra.stanford.edu/kundaje/oak/projects/neuro-variants/variant_position/credible/roussos_2024/variant_figures/roussos_2024.adolescence.GLU/rs11169393_profile_position.png",4,220,900)</f>
        <v/>
      </c>
    </row>
    <row r="793">
      <c r="A793" t="inlineStr">
        <is>
          <t>chr12</t>
        </is>
      </c>
      <c r="B793" t="n">
        <v>50465394</v>
      </c>
      <c r="C793" t="inlineStr">
        <is>
          <t>G</t>
        </is>
      </c>
      <c r="D793" t="inlineStr">
        <is>
          <t>A</t>
        </is>
      </c>
      <c r="E793" t="inlineStr">
        <is>
          <t>rs12578525</t>
        </is>
      </c>
      <c r="F793" t="n">
        <v>-0.00091150654</v>
      </c>
      <c r="G793" t="n">
        <v>0.805765494160646</v>
      </c>
      <c r="H793" t="n">
        <v>0.0244875166084449</v>
      </c>
      <c r="I793" t="n">
        <v>0.0222599015369588</v>
      </c>
      <c r="J793" t="n">
        <v>0.0222574676182923</v>
      </c>
      <c r="K793" t="n">
        <v>0.8171752431352505</v>
      </c>
      <c r="L793" t="b">
        <v>0</v>
      </c>
      <c r="M793" t="b">
        <v>0</v>
      </c>
      <c r="N793" t="inlineStr">
        <is>
          <t>ref</t>
        </is>
      </c>
      <c r="O793" t="n">
        <v>-100</v>
      </c>
      <c r="P793" t="n">
        <v>0.00992</v>
      </c>
      <c r="Q793" t="n">
        <v>80</v>
      </c>
      <c r="R793" t="n">
        <v>0.04706</v>
      </c>
      <c r="S793">
        <f>IMAGE("https://mitra.stanford.edu/kundaje/oak/projects/neuro-variants/variant_position/credible/roussos_2024/variant_figures/roussos_2024.adolescence.GLU/rs12578525_count_position.png",4,220,900)</f>
        <v/>
      </c>
      <c r="T793">
        <f>IMAGE("https://mitra.stanford.edu/kundaje/oak/projects/neuro-variants/variant_position/credible/roussos_2024/variant_figures/roussos_2024.adolescence.GLU/rs12578525_profile_position.png",4,220,900)</f>
        <v/>
      </c>
    </row>
    <row r="794">
      <c r="A794" t="inlineStr">
        <is>
          <t>chr12</t>
        </is>
      </c>
      <c r="B794" t="n">
        <v>53250416</v>
      </c>
      <c r="C794" t="inlineStr">
        <is>
          <t>T</t>
        </is>
      </c>
      <c r="D794" t="inlineStr">
        <is>
          <t>C</t>
        </is>
      </c>
      <c r="E794" t="inlineStr">
        <is>
          <t>rs140587031</t>
        </is>
      </c>
      <c r="F794" t="n">
        <v>0.00378576588</v>
      </c>
      <c r="G794" t="n">
        <v>0.6741401128283688</v>
      </c>
      <c r="H794" t="n">
        <v>0.0270589486516381</v>
      </c>
      <c r="I794" t="n">
        <v>0.0140377470636228</v>
      </c>
      <c r="J794" t="n">
        <v>0.0461509884190296</v>
      </c>
      <c r="K794" t="n">
        <v>0.7219326358187504</v>
      </c>
      <c r="L794" t="b">
        <v>1</v>
      </c>
      <c r="M794" t="b">
        <v>0</v>
      </c>
      <c r="N794" t="inlineStr">
        <is>
          <t>alt</t>
        </is>
      </c>
      <c r="O794" t="n">
        <v>-60</v>
      </c>
      <c r="P794" t="n">
        <v>0.008059999999999999</v>
      </c>
      <c r="Q794" t="n">
        <v>-95</v>
      </c>
      <c r="R794" t="n">
        <v>0.02106</v>
      </c>
      <c r="S794">
        <f>IMAGE("https://mitra.stanford.edu/kundaje/oak/projects/neuro-variants/variant_position/credible/roussos_2024/variant_figures/roussos_2024.adolescence.GLU/rs140587031_count_position.png",4,220,900)</f>
        <v/>
      </c>
      <c r="T794">
        <f>IMAGE("https://mitra.stanford.edu/kundaje/oak/projects/neuro-variants/variant_position/credible/roussos_2024/variant_figures/roussos_2024.adolescence.GLU/rs140587031_profile_position.png",4,220,900)</f>
        <v/>
      </c>
    </row>
    <row r="795">
      <c r="A795" t="inlineStr">
        <is>
          <t>chr12</t>
        </is>
      </c>
      <c r="B795" t="n">
        <v>53336380</v>
      </c>
      <c r="C795" t="inlineStr">
        <is>
          <t>G</t>
        </is>
      </c>
      <c r="D795" t="inlineStr">
        <is>
          <t>A</t>
        </is>
      </c>
      <c r="E795" t="inlineStr">
        <is>
          <t>rs61928076</t>
        </is>
      </c>
      <c r="F795" t="n">
        <v>-0.0086475266</v>
      </c>
      <c r="G795" t="n">
        <v>0.3539716983316837</v>
      </c>
      <c r="H795" t="n">
        <v>0.0143432554008858</v>
      </c>
      <c r="I795" t="n">
        <v>0.1869382964627929</v>
      </c>
      <c r="J795" t="n">
        <v>0.5375299169113602</v>
      </c>
      <c r="K795" t="n">
        <v>0.06607413199037659</v>
      </c>
      <c r="L795" t="b">
        <v>0</v>
      </c>
      <c r="M795" t="b">
        <v>0</v>
      </c>
      <c r="N795" t="inlineStr">
        <is>
          <t>ref</t>
        </is>
      </c>
      <c r="O795" t="n">
        <v>-25</v>
      </c>
      <c r="P795" t="n">
        <v>0.0004654</v>
      </c>
      <c r="Q795" t="n">
        <v>-95</v>
      </c>
      <c r="R795" t="n">
        <v>0.02173</v>
      </c>
      <c r="S795">
        <f>IMAGE("https://mitra.stanford.edu/kundaje/oak/projects/neuro-variants/variant_position/credible/roussos_2024/variant_figures/roussos_2024.adolescence.GLU/rs61928076_count_position.png",4,220,900)</f>
        <v/>
      </c>
      <c r="T795">
        <f>IMAGE("https://mitra.stanford.edu/kundaje/oak/projects/neuro-variants/variant_position/credible/roussos_2024/variant_figures/roussos_2024.adolescence.GLU/rs61928076_profile_position.png",4,220,900)</f>
        <v/>
      </c>
    </row>
    <row r="796">
      <c r="A796" t="inlineStr">
        <is>
          <t>chr12</t>
        </is>
      </c>
      <c r="B796" t="n">
        <v>53471071</v>
      </c>
      <c r="C796" t="inlineStr">
        <is>
          <t>A</t>
        </is>
      </c>
      <c r="D796" t="inlineStr">
        <is>
          <t>G</t>
        </is>
      </c>
      <c r="E796" t="inlineStr">
        <is>
          <t>rs11170562</t>
        </is>
      </c>
      <c r="F796" t="n">
        <v>0.0511187025999999</v>
      </c>
      <c r="G796" t="n">
        <v>0.060896791379282</v>
      </c>
      <c r="H796" t="n">
        <v>0.0119370645287058</v>
      </c>
      <c r="I796" t="n">
        <v>0.3453325742727091</v>
      </c>
      <c r="J796" t="n">
        <v>0.202756285230512</v>
      </c>
      <c r="K796" t="n">
        <v>0.397868398510911</v>
      </c>
      <c r="L796" t="b">
        <v>0</v>
      </c>
      <c r="M796" t="b">
        <v>0</v>
      </c>
      <c r="N796" t="inlineStr">
        <is>
          <t>alt</t>
        </is>
      </c>
      <c r="O796" t="n">
        <v>85</v>
      </c>
      <c r="P796" t="n">
        <v>0.00201</v>
      </c>
      <c r="Q796" t="n">
        <v>95</v>
      </c>
      <c r="R796" t="n">
        <v>0.07290000000000001</v>
      </c>
      <c r="S796">
        <f>IMAGE("https://mitra.stanford.edu/kundaje/oak/projects/neuro-variants/variant_position/credible/roussos_2024/variant_figures/roussos_2024.adolescence.GLU/rs11170562_count_position.png",4,220,900)</f>
        <v/>
      </c>
      <c r="T796">
        <f>IMAGE("https://mitra.stanford.edu/kundaje/oak/projects/neuro-variants/variant_position/credible/roussos_2024/variant_figures/roussos_2024.adolescence.GLU/rs11170562_profile_position.png",4,220,900)</f>
        <v/>
      </c>
    </row>
    <row r="797">
      <c r="A797" t="inlineStr">
        <is>
          <t>chr12</t>
        </is>
      </c>
      <c r="B797" t="n">
        <v>53555002</v>
      </c>
      <c r="C797" t="inlineStr">
        <is>
          <t>A</t>
        </is>
      </c>
      <c r="D797" t="inlineStr">
        <is>
          <t>G</t>
        </is>
      </c>
      <c r="E797" t="inlineStr">
        <is>
          <t>rs7307025</t>
        </is>
      </c>
      <c r="F797" t="n">
        <v>0.0661690768</v>
      </c>
      <c r="G797" t="n">
        <v>0.0266720730402837</v>
      </c>
      <c r="H797" t="n">
        <v>0.0113147590079967</v>
      </c>
      <c r="I797" t="n">
        <v>0.3956412692798981</v>
      </c>
      <c r="J797" t="n">
        <v>0.1241042787434539</v>
      </c>
      <c r="K797" t="n">
        <v>0.5331620054383535</v>
      </c>
      <c r="L797" t="b">
        <v>0</v>
      </c>
      <c r="M797" t="b">
        <v>0</v>
      </c>
      <c r="N797" t="inlineStr">
        <is>
          <t>alt</t>
        </is>
      </c>
      <c r="O797" t="n">
        <v>-75</v>
      </c>
      <c r="P797" t="n">
        <v>0.01343</v>
      </c>
      <c r="Q797" t="n">
        <v>-80</v>
      </c>
      <c r="R797" t="n">
        <v>0.07969999999999999</v>
      </c>
      <c r="S797">
        <f>IMAGE("https://mitra.stanford.edu/kundaje/oak/projects/neuro-variants/variant_position/credible/roussos_2024/variant_figures/roussos_2024.adolescence.GLU/rs7307025_count_position.png",4,220,900)</f>
        <v/>
      </c>
      <c r="T797">
        <f>IMAGE("https://mitra.stanford.edu/kundaje/oak/projects/neuro-variants/variant_position/credible/roussos_2024/variant_figures/roussos_2024.adolescence.GLU/rs7307025_profile_position.png",4,220,900)</f>
        <v/>
      </c>
    </row>
    <row r="798">
      <c r="A798" t="inlineStr">
        <is>
          <t>chr12</t>
        </is>
      </c>
      <c r="B798" t="n">
        <v>53684303</v>
      </c>
      <c r="C798" t="inlineStr">
        <is>
          <t>A</t>
        </is>
      </c>
      <c r="D798" t="inlineStr">
        <is>
          <t>C</t>
        </is>
      </c>
      <c r="E798" t="inlineStr">
        <is>
          <t>rs55844955</t>
        </is>
      </c>
      <c r="F798" t="n">
        <v>0.291583588</v>
      </c>
      <c r="G798" t="n">
        <v>0.0002603846838178</v>
      </c>
      <c r="H798" t="n">
        <v>0.0860893308668163</v>
      </c>
      <c r="I798" t="n">
        <v>0.0003570033625857</v>
      </c>
      <c r="J798" t="n">
        <v>0.2790620914332254</v>
      </c>
      <c r="K798" t="n">
        <v>0.2907358015887548</v>
      </c>
      <c r="L798" t="b">
        <v>1</v>
      </c>
      <c r="M798" t="b">
        <v>1</v>
      </c>
      <c r="N798" t="inlineStr">
        <is>
          <t>alt</t>
        </is>
      </c>
      <c r="O798" t="n">
        <v>-30</v>
      </c>
      <c r="P798" t="n">
        <v>0.004272</v>
      </c>
      <c r="Q798" t="n">
        <v>55</v>
      </c>
      <c r="R798" t="n">
        <v>0.07764</v>
      </c>
      <c r="S798">
        <f>IMAGE("https://mitra.stanford.edu/kundaje/oak/projects/neuro-variants/variant_position/credible/roussos_2024/variant_figures/roussos_2024.adolescence.GLU/rs55844955_count_position.png",4,220,900)</f>
        <v/>
      </c>
      <c r="T798">
        <f>IMAGE("https://mitra.stanford.edu/kundaje/oak/projects/neuro-variants/variant_position/credible/roussos_2024/variant_figures/roussos_2024.adolescence.GLU/rs55844955_profile_position.png",4,220,900)</f>
        <v/>
      </c>
    </row>
    <row r="799">
      <c r="A799" t="inlineStr">
        <is>
          <t>chr12</t>
        </is>
      </c>
      <c r="B799" t="n">
        <v>71867788</v>
      </c>
      <c r="C799" t="inlineStr">
        <is>
          <t>C</t>
        </is>
      </c>
      <c r="D799" t="inlineStr">
        <is>
          <t>T</t>
        </is>
      </c>
      <c r="E799" t="inlineStr">
        <is>
          <t>rs7973727</t>
        </is>
      </c>
      <c r="F799" t="n">
        <v>-0.0078682871799999</v>
      </c>
      <c r="G799" t="n">
        <v>0.579970874793569</v>
      </c>
      <c r="H799" t="n">
        <v>0.0070760580806563</v>
      </c>
      <c r="I799" t="n">
        <v>0.9059227955506568</v>
      </c>
      <c r="J799" t="n">
        <v>0.030397725243086</v>
      </c>
      <c r="K799" t="n">
        <v>0.7766123525803967</v>
      </c>
      <c r="L799" t="b">
        <v>0</v>
      </c>
      <c r="M799" t="b">
        <v>0</v>
      </c>
      <c r="N799" t="inlineStr">
        <is>
          <t>ref</t>
        </is>
      </c>
      <c r="O799" t="n">
        <v>-15</v>
      </c>
      <c r="P799" t="n">
        <v>0.004097</v>
      </c>
      <c r="Q799" t="n">
        <v>45</v>
      </c>
      <c r="R799" t="n">
        <v>0.01831</v>
      </c>
      <c r="S799">
        <f>IMAGE("https://mitra.stanford.edu/kundaje/oak/projects/neuro-variants/variant_position/credible/roussos_2024/variant_figures/roussos_2024.adolescence.GLU/rs7973727_count_position.png",4,220,900)</f>
        <v/>
      </c>
      <c r="T799">
        <f>IMAGE("https://mitra.stanford.edu/kundaje/oak/projects/neuro-variants/variant_position/credible/roussos_2024/variant_figures/roussos_2024.adolescence.GLU/rs7973727_profile_position.png",4,220,900)</f>
        <v/>
      </c>
    </row>
    <row r="800">
      <c r="A800" t="inlineStr">
        <is>
          <t>chr12</t>
        </is>
      </c>
      <c r="B800" t="n">
        <v>71878892</v>
      </c>
      <c r="C800" t="inlineStr">
        <is>
          <t>A</t>
        </is>
      </c>
      <c r="D800" t="inlineStr">
        <is>
          <t>G</t>
        </is>
      </c>
      <c r="E800" t="inlineStr">
        <is>
          <t>rs61924145</t>
        </is>
      </c>
      <c r="F800" t="n">
        <v>0.0150897669999999</v>
      </c>
      <c r="G800" t="n">
        <v>0.364520607215033</v>
      </c>
      <c r="H800" t="n">
        <v>0.0137417614420157</v>
      </c>
      <c r="I800" t="n">
        <v>0.2083480356601391</v>
      </c>
      <c r="J800" t="n">
        <v>0.0559158682870022</v>
      </c>
      <c r="K800" t="n">
        <v>0.6886844667359986</v>
      </c>
      <c r="L800" t="b">
        <v>0</v>
      </c>
      <c r="M800" t="b">
        <v>0</v>
      </c>
      <c r="N800" t="inlineStr">
        <is>
          <t>alt</t>
        </is>
      </c>
      <c r="O800" t="n">
        <v>70</v>
      </c>
      <c r="P800" t="n">
        <v>0.009476</v>
      </c>
      <c r="Q800" t="n">
        <v>-100</v>
      </c>
      <c r="R800" t="n">
        <v>0.05396</v>
      </c>
      <c r="S800">
        <f>IMAGE("https://mitra.stanford.edu/kundaje/oak/projects/neuro-variants/variant_position/credible/roussos_2024/variant_figures/roussos_2024.adolescence.GLU/rs61924145_count_position.png",4,220,900)</f>
        <v/>
      </c>
      <c r="T800">
        <f>IMAGE("https://mitra.stanford.edu/kundaje/oak/projects/neuro-variants/variant_position/credible/roussos_2024/variant_figures/roussos_2024.adolescence.GLU/rs61924145_profile_position.png",4,220,900)</f>
        <v/>
      </c>
    </row>
    <row r="801">
      <c r="A801" t="inlineStr">
        <is>
          <t>chr12</t>
        </is>
      </c>
      <c r="B801" t="n">
        <v>71890721</v>
      </c>
      <c r="C801" t="inlineStr">
        <is>
          <t>G</t>
        </is>
      </c>
      <c r="D801" t="inlineStr">
        <is>
          <t>C</t>
        </is>
      </c>
      <c r="E801" t="inlineStr">
        <is>
          <t>rs12302711</t>
        </is>
      </c>
      <c r="F801" t="n">
        <v>0.0195186484</v>
      </c>
      <c r="G801" t="n">
        <v>0.2860194512312621</v>
      </c>
      <c r="H801" t="n">
        <v>0.0117571818872478</v>
      </c>
      <c r="I801" t="n">
        <v>0.3527054674261232</v>
      </c>
      <c r="J801" t="n">
        <v>0.0101935400904472</v>
      </c>
      <c r="K801" t="n">
        <v>0.8773956186615596</v>
      </c>
      <c r="L801" t="b">
        <v>0</v>
      </c>
      <c r="M801" t="b">
        <v>0</v>
      </c>
      <c r="N801" t="inlineStr">
        <is>
          <t>alt</t>
        </is>
      </c>
      <c r="O801" t="n">
        <v>15</v>
      </c>
      <c r="P801" t="n">
        <v>0.001694</v>
      </c>
      <c r="Q801" t="n">
        <v>-80</v>
      </c>
      <c r="R801" t="n">
        <v>0.04657</v>
      </c>
      <c r="S801">
        <f>IMAGE("https://mitra.stanford.edu/kundaje/oak/projects/neuro-variants/variant_position/credible/roussos_2024/variant_figures/roussos_2024.adolescence.GLU/rs12302711_count_position.png",4,220,900)</f>
        <v/>
      </c>
      <c r="T801">
        <f>IMAGE("https://mitra.stanford.edu/kundaje/oak/projects/neuro-variants/variant_position/credible/roussos_2024/variant_figures/roussos_2024.adolescence.GLU/rs12302711_profile_position.png",4,220,900)</f>
        <v/>
      </c>
    </row>
    <row r="802">
      <c r="A802" t="inlineStr">
        <is>
          <t>chr12</t>
        </is>
      </c>
      <c r="B802" t="n">
        <v>71912128</v>
      </c>
      <c r="C802" t="inlineStr">
        <is>
          <t>T</t>
        </is>
      </c>
      <c r="D802" t="inlineStr">
        <is>
          <t>A</t>
        </is>
      </c>
      <c r="E802" t="inlineStr">
        <is>
          <t>rs17110384</t>
        </is>
      </c>
      <c r="F802" t="n">
        <v>-0.0155353467999999</v>
      </c>
      <c r="G802" t="n">
        <v>0.392040067421694</v>
      </c>
      <c r="H802" t="n">
        <v>0.0238434366060939</v>
      </c>
      <c r="I802" t="n">
        <v>0.0252204536499435</v>
      </c>
      <c r="J802" t="n">
        <v>0.0481428295861285</v>
      </c>
      <c r="K802" t="n">
        <v>0.7072053744052833</v>
      </c>
      <c r="L802" t="b">
        <v>0</v>
      </c>
      <c r="M802" t="b">
        <v>0</v>
      </c>
      <c r="N802" t="inlineStr">
        <is>
          <t>ref</t>
        </is>
      </c>
      <c r="O802" t="n">
        <v>-75</v>
      </c>
      <c r="P802" t="n">
        <v>0.003012</v>
      </c>
      <c r="Q802" t="n">
        <v>-30</v>
      </c>
      <c r="R802" t="n">
        <v>0.03592</v>
      </c>
      <c r="S802">
        <f>IMAGE("https://mitra.stanford.edu/kundaje/oak/projects/neuro-variants/variant_position/credible/roussos_2024/variant_figures/roussos_2024.adolescence.GLU/rs17110384_count_position.png",4,220,900)</f>
        <v/>
      </c>
      <c r="T802">
        <f>IMAGE("https://mitra.stanford.edu/kundaje/oak/projects/neuro-variants/variant_position/credible/roussos_2024/variant_figures/roussos_2024.adolescence.GLU/rs17110384_profile_position.png",4,220,900)</f>
        <v/>
      </c>
    </row>
    <row r="803">
      <c r="A803" t="inlineStr">
        <is>
          <t>chr12</t>
        </is>
      </c>
      <c r="B803" t="n">
        <v>71912352</v>
      </c>
      <c r="C803" t="inlineStr">
        <is>
          <t>C</t>
        </is>
      </c>
      <c r="D803" t="inlineStr">
        <is>
          <t>G</t>
        </is>
      </c>
      <c r="E803" t="inlineStr">
        <is>
          <t>rs17110387</t>
        </is>
      </c>
      <c r="F803" t="n">
        <v>-0.0389761996</v>
      </c>
      <c r="G803" t="n">
        <v>0.1191250950710335</v>
      </c>
      <c r="H803" t="n">
        <v>0.0127752011086113</v>
      </c>
      <c r="I803" t="n">
        <v>0.2940737027429425</v>
      </c>
      <c r="J803" t="n">
        <v>0.0589793600102877</v>
      </c>
      <c r="K803" t="n">
        <v>0.6760633931184924</v>
      </c>
      <c r="L803" t="b">
        <v>0</v>
      </c>
      <c r="M803" t="b">
        <v>0</v>
      </c>
      <c r="N803" t="inlineStr">
        <is>
          <t>ref</t>
        </is>
      </c>
      <c r="O803" t="n">
        <v>100</v>
      </c>
      <c r="P803" t="n">
        <v>0.00306</v>
      </c>
      <c r="Q803" t="n">
        <v>0</v>
      </c>
      <c r="R803" t="n">
        <v>0</v>
      </c>
      <c r="S803">
        <f>IMAGE("https://mitra.stanford.edu/kundaje/oak/projects/neuro-variants/variant_position/credible/roussos_2024/variant_figures/roussos_2024.adolescence.GLU/rs17110387_count_position.png",4,220,900)</f>
        <v/>
      </c>
      <c r="T803">
        <f>IMAGE("https://mitra.stanford.edu/kundaje/oak/projects/neuro-variants/variant_position/credible/roussos_2024/variant_figures/roussos_2024.adolescence.GLU/rs17110387_profile_position.png",4,220,900)</f>
        <v/>
      </c>
    </row>
    <row r="804">
      <c r="A804" t="inlineStr">
        <is>
          <t>chr12</t>
        </is>
      </c>
      <c r="B804" t="n">
        <v>71918488</v>
      </c>
      <c r="C804" t="inlineStr">
        <is>
          <t>G</t>
        </is>
      </c>
      <c r="D804" t="inlineStr">
        <is>
          <t>A</t>
        </is>
      </c>
      <c r="E804" t="inlineStr">
        <is>
          <t>rs11178985</t>
        </is>
      </c>
      <c r="F804" t="n">
        <v>0.0080990112799999</v>
      </c>
      <c r="G804" t="n">
        <v>0.6001109063381941</v>
      </c>
      <c r="H804" t="n">
        <v>0.0138153709282375</v>
      </c>
      <c r="I804" t="n">
        <v>0.2240883562319581</v>
      </c>
      <c r="J804" t="n">
        <v>0.0479070664637674</v>
      </c>
      <c r="K804" t="n">
        <v>0.7055082185172373</v>
      </c>
      <c r="L804" t="b">
        <v>0</v>
      </c>
      <c r="M804" t="b">
        <v>0</v>
      </c>
      <c r="N804" t="inlineStr">
        <is>
          <t>alt</t>
        </is>
      </c>
      <c r="O804" t="n">
        <v>-100</v>
      </c>
      <c r="P804" t="n">
        <v>0.007965</v>
      </c>
      <c r="Q804" t="n">
        <v>-70</v>
      </c>
      <c r="R804" t="n">
        <v>0.05634</v>
      </c>
      <c r="S804">
        <f>IMAGE("https://mitra.stanford.edu/kundaje/oak/projects/neuro-variants/variant_position/credible/roussos_2024/variant_figures/roussos_2024.adolescence.GLU/rs11178985_count_position.png",4,220,900)</f>
        <v/>
      </c>
      <c r="T804">
        <f>IMAGE("https://mitra.stanford.edu/kundaje/oak/projects/neuro-variants/variant_position/credible/roussos_2024/variant_figures/roussos_2024.adolescence.GLU/rs11178985_profile_position.png",4,220,900)</f>
        <v/>
      </c>
    </row>
    <row r="805">
      <c r="A805" t="inlineStr">
        <is>
          <t>chr12</t>
        </is>
      </c>
      <c r="B805" t="n">
        <v>71927834</v>
      </c>
      <c r="C805" t="inlineStr">
        <is>
          <t>A</t>
        </is>
      </c>
      <c r="D805" t="inlineStr">
        <is>
          <t>G</t>
        </is>
      </c>
      <c r="E805" t="inlineStr">
        <is>
          <t>rs10506643</t>
        </is>
      </c>
      <c r="F805" t="n">
        <v>0.00053164454</v>
      </c>
      <c r="G805" t="n">
        <v>0.5504393791621657</v>
      </c>
      <c r="H805" t="n">
        <v>0.0137731699269244</v>
      </c>
      <c r="I805" t="n">
        <v>0.2127626075937841</v>
      </c>
      <c r="J805" t="n">
        <v>0.1080823884947596</v>
      </c>
      <c r="K805" t="n">
        <v>0.555123648456908</v>
      </c>
      <c r="L805" t="b">
        <v>0</v>
      </c>
      <c r="M805" t="b">
        <v>0</v>
      </c>
      <c r="N805" t="inlineStr">
        <is>
          <t>alt</t>
        </is>
      </c>
      <c r="O805" t="n">
        <v>-65</v>
      </c>
      <c r="P805" t="n">
        <v>0.002687</v>
      </c>
      <c r="Q805" t="n">
        <v>-65</v>
      </c>
      <c r="R805" t="n">
        <v>0.0576</v>
      </c>
      <c r="S805">
        <f>IMAGE("https://mitra.stanford.edu/kundaje/oak/projects/neuro-variants/variant_position/credible/roussos_2024/variant_figures/roussos_2024.adolescence.GLU/rs10506643_count_position.png",4,220,900)</f>
        <v/>
      </c>
      <c r="T805">
        <f>IMAGE("https://mitra.stanford.edu/kundaje/oak/projects/neuro-variants/variant_position/credible/roussos_2024/variant_figures/roussos_2024.adolescence.GLU/rs10506643_profile_position.png",4,220,900)</f>
        <v/>
      </c>
    </row>
    <row r="806">
      <c r="A806" t="inlineStr">
        <is>
          <t>chr12</t>
        </is>
      </c>
      <c r="B806" t="n">
        <v>74908804</v>
      </c>
      <c r="C806" t="inlineStr">
        <is>
          <t>G</t>
        </is>
      </c>
      <c r="D806" t="inlineStr">
        <is>
          <t>A</t>
        </is>
      </c>
      <c r="E806" t="inlineStr">
        <is>
          <t>rs7955462</t>
        </is>
      </c>
      <c r="F806" t="n">
        <v>-0.0012038772139999</v>
      </c>
      <c r="G806" t="n">
        <v>0.8615413794410134</v>
      </c>
      <c r="H806" t="n">
        <v>0.006451496914423</v>
      </c>
      <c r="I806" t="n">
        <v>0.950271878354104</v>
      </c>
      <c r="J806" t="n">
        <v>0.0020547113330618</v>
      </c>
      <c r="K806" t="n">
        <v>0.9575794440527938</v>
      </c>
      <c r="L806" t="b">
        <v>0</v>
      </c>
      <c r="M806" t="b">
        <v>0</v>
      </c>
      <c r="N806" t="inlineStr">
        <is>
          <t>ref</t>
        </is>
      </c>
      <c r="O806" t="n">
        <v>65</v>
      </c>
      <c r="P806" t="n">
        <v>0.001504</v>
      </c>
      <c r="Q806" t="n">
        <v>40</v>
      </c>
      <c r="R806" t="n">
        <v>0.05197</v>
      </c>
      <c r="S806">
        <f>IMAGE("https://mitra.stanford.edu/kundaje/oak/projects/neuro-variants/variant_position/credible/roussos_2024/variant_figures/roussos_2024.adolescence.GLU/rs7955462_count_position.png",4,220,900)</f>
        <v/>
      </c>
      <c r="T806">
        <f>IMAGE("https://mitra.stanford.edu/kundaje/oak/projects/neuro-variants/variant_position/credible/roussos_2024/variant_figures/roussos_2024.adolescence.GLU/rs7955462_profile_position.png",4,220,900)</f>
        <v/>
      </c>
    </row>
    <row r="807">
      <c r="A807" t="inlineStr">
        <is>
          <t>chr12</t>
        </is>
      </c>
      <c r="B807" t="n">
        <v>74910078</v>
      </c>
      <c r="C807" t="inlineStr">
        <is>
          <t>G</t>
        </is>
      </c>
      <c r="D807" t="inlineStr">
        <is>
          <t>T</t>
        </is>
      </c>
      <c r="E807" t="inlineStr">
        <is>
          <t>rs6582256</t>
        </is>
      </c>
      <c r="F807" t="n">
        <v>0.003501032734</v>
      </c>
      <c r="G807" t="n">
        <v>0.7816086681101296</v>
      </c>
      <c r="H807" t="n">
        <v>0.0307333656956104</v>
      </c>
      <c r="I807" t="n">
        <v>0.007866379729975</v>
      </c>
      <c r="J807" t="n">
        <v>0.011122303905809</v>
      </c>
      <c r="K807" t="n">
        <v>0.8681572196468135</v>
      </c>
      <c r="L807" t="b">
        <v>1</v>
      </c>
      <c r="M807" t="b">
        <v>0</v>
      </c>
      <c r="N807" t="inlineStr">
        <is>
          <t>alt</t>
        </is>
      </c>
      <c r="O807" t="n">
        <v>50</v>
      </c>
      <c r="P807" t="n">
        <v>0.004913</v>
      </c>
      <c r="Q807" t="n">
        <v>-100</v>
      </c>
      <c r="R807" t="n">
        <v>0.1194</v>
      </c>
      <c r="S807">
        <f>IMAGE("https://mitra.stanford.edu/kundaje/oak/projects/neuro-variants/variant_position/credible/roussos_2024/variant_figures/roussos_2024.adolescence.GLU/rs6582256_count_position.png",4,220,900)</f>
        <v/>
      </c>
      <c r="T807">
        <f>IMAGE("https://mitra.stanford.edu/kundaje/oak/projects/neuro-variants/variant_position/credible/roussos_2024/variant_figures/roussos_2024.adolescence.GLU/rs6582256_profile_position.png",4,220,900)</f>
        <v/>
      </c>
    </row>
    <row r="808">
      <c r="A808" t="inlineStr">
        <is>
          <t>chr12</t>
        </is>
      </c>
      <c r="B808" t="n">
        <v>74916655</v>
      </c>
      <c r="C808" t="inlineStr">
        <is>
          <t>T</t>
        </is>
      </c>
      <c r="D808" t="inlineStr">
        <is>
          <t>C</t>
        </is>
      </c>
      <c r="E808" t="inlineStr">
        <is>
          <t>rs6582260</t>
        </is>
      </c>
      <c r="F808" t="n">
        <v>0.00687407271</v>
      </c>
      <c r="G808" t="n">
        <v>0.6422706720541173</v>
      </c>
      <c r="H808" t="n">
        <v>0.019640408648679</v>
      </c>
      <c r="I808" t="n">
        <v>0.0590659727902057</v>
      </c>
      <c r="J808" t="n">
        <v>0.0055139993284322</v>
      </c>
      <c r="K808" t="n">
        <v>0.9132197443398572</v>
      </c>
      <c r="L808" t="b">
        <v>0</v>
      </c>
      <c r="M808" t="b">
        <v>0</v>
      </c>
      <c r="N808" t="inlineStr">
        <is>
          <t>alt</t>
        </is>
      </c>
      <c r="O808" t="n">
        <v>-10</v>
      </c>
      <c r="P808" t="n">
        <v>0.0001526</v>
      </c>
      <c r="Q808" t="n">
        <v>100</v>
      </c>
      <c r="R808" t="n">
        <v>0.07874</v>
      </c>
      <c r="S808">
        <f>IMAGE("https://mitra.stanford.edu/kundaje/oak/projects/neuro-variants/variant_position/credible/roussos_2024/variant_figures/roussos_2024.adolescence.GLU/rs6582260_count_position.png",4,220,900)</f>
        <v/>
      </c>
      <c r="T808">
        <f>IMAGE("https://mitra.stanford.edu/kundaje/oak/projects/neuro-variants/variant_position/credible/roussos_2024/variant_figures/roussos_2024.adolescence.GLU/rs6582260_profile_position.png",4,220,900)</f>
        <v/>
      </c>
    </row>
    <row r="809">
      <c r="A809" t="inlineStr">
        <is>
          <t>chr12</t>
        </is>
      </c>
      <c r="B809" t="n">
        <v>74943371</v>
      </c>
      <c r="C809" t="inlineStr">
        <is>
          <t>T</t>
        </is>
      </c>
      <c r="D809" t="inlineStr">
        <is>
          <t>C</t>
        </is>
      </c>
      <c r="E809" t="inlineStr">
        <is>
          <t>rs12316904</t>
        </is>
      </c>
      <c r="F809" t="n">
        <v>-0.0252443034</v>
      </c>
      <c r="G809" t="n">
        <v>0.2329040009254229</v>
      </c>
      <c r="H809" t="n">
        <v>0.0211257552514034</v>
      </c>
      <c r="I809" t="n">
        <v>0.0460377334228562</v>
      </c>
      <c r="J809" t="n">
        <v>0.0240664137571353</v>
      </c>
      <c r="K809" t="n">
        <v>0.8000168979439209</v>
      </c>
      <c r="L809" t="b">
        <v>0</v>
      </c>
      <c r="M809" t="b">
        <v>0</v>
      </c>
      <c r="N809" t="inlineStr">
        <is>
          <t>ref</t>
        </is>
      </c>
      <c r="O809" t="n">
        <v>-100</v>
      </c>
      <c r="P809" t="n">
        <v>0.0376</v>
      </c>
      <c r="Q809" t="n">
        <v>-10</v>
      </c>
      <c r="R809" t="n">
        <v>0.00177</v>
      </c>
      <c r="S809">
        <f>IMAGE("https://mitra.stanford.edu/kundaje/oak/projects/neuro-variants/variant_position/credible/roussos_2024/variant_figures/roussos_2024.adolescence.GLU/rs12316904_count_position.png",4,220,900)</f>
        <v/>
      </c>
      <c r="T809">
        <f>IMAGE("https://mitra.stanford.edu/kundaje/oak/projects/neuro-variants/variant_position/credible/roussos_2024/variant_figures/roussos_2024.adolescence.GLU/rs12316904_profile_position.png",4,220,900)</f>
        <v/>
      </c>
    </row>
    <row r="810">
      <c r="A810" t="inlineStr">
        <is>
          <t>chr12</t>
        </is>
      </c>
      <c r="B810" t="n">
        <v>74945510</v>
      </c>
      <c r="C810" t="inlineStr">
        <is>
          <t>A</t>
        </is>
      </c>
      <c r="D810" t="inlineStr">
        <is>
          <t>G</t>
        </is>
      </c>
      <c r="E810" t="inlineStr">
        <is>
          <t>rs1526821</t>
        </is>
      </c>
      <c r="F810" t="n">
        <v>0.002940601204</v>
      </c>
      <c r="G810" t="n">
        <v>0.8215977782378697</v>
      </c>
      <c r="H810" t="n">
        <v>0.017803749055636</v>
      </c>
      <c r="I810" t="n">
        <v>0.08542594390249091</v>
      </c>
      <c r="J810" t="n">
        <v>0.0130541326417614</v>
      </c>
      <c r="K810" t="n">
        <v>0.8545003699264705</v>
      </c>
      <c r="L810" t="b">
        <v>0</v>
      </c>
      <c r="M810" t="b">
        <v>0</v>
      </c>
      <c r="N810" t="inlineStr">
        <is>
          <t>alt</t>
        </is>
      </c>
      <c r="O810" t="n">
        <v>-100</v>
      </c>
      <c r="P810" t="n">
        <v>0.008803999999999999</v>
      </c>
      <c r="Q810" t="n">
        <v>100</v>
      </c>
      <c r="R810" t="n">
        <v>0.03107</v>
      </c>
      <c r="S810">
        <f>IMAGE("https://mitra.stanford.edu/kundaje/oak/projects/neuro-variants/variant_position/credible/roussos_2024/variant_figures/roussos_2024.adolescence.GLU/rs1526821_count_position.png",4,220,900)</f>
        <v/>
      </c>
      <c r="T810">
        <f>IMAGE("https://mitra.stanford.edu/kundaje/oak/projects/neuro-variants/variant_position/credible/roussos_2024/variant_figures/roussos_2024.adolescence.GLU/rs1526821_profile_position.png",4,220,900)</f>
        <v/>
      </c>
    </row>
    <row r="811">
      <c r="A811" t="inlineStr">
        <is>
          <t>chr12</t>
        </is>
      </c>
      <c r="B811" t="n">
        <v>74946622</v>
      </c>
      <c r="C811" t="inlineStr">
        <is>
          <t>C</t>
        </is>
      </c>
      <c r="D811" t="inlineStr">
        <is>
          <t>T</t>
        </is>
      </c>
      <c r="E811" t="inlineStr">
        <is>
          <t>rs12315638</t>
        </is>
      </c>
      <c r="F811" t="n">
        <v>-0.006278872648</v>
      </c>
      <c r="G811" t="n">
        <v>0.6383245770718945</v>
      </c>
      <c r="H811" t="n">
        <v>0.0160959644869899</v>
      </c>
      <c r="I811" t="n">
        <v>0.1200451007782629</v>
      </c>
      <c r="J811" t="n">
        <v>0.0373748847975651</v>
      </c>
      <c r="K811" t="n">
        <v>0.7416834995646713</v>
      </c>
      <c r="L811" t="b">
        <v>0</v>
      </c>
      <c r="M811" t="b">
        <v>0</v>
      </c>
      <c r="N811" t="inlineStr">
        <is>
          <t>ref</t>
        </is>
      </c>
      <c r="O811" t="n">
        <v>100</v>
      </c>
      <c r="P811" t="n">
        <v>0.002747</v>
      </c>
      <c r="Q811" t="n">
        <v>-75</v>
      </c>
      <c r="R811" t="n">
        <v>0.0974</v>
      </c>
      <c r="S811">
        <f>IMAGE("https://mitra.stanford.edu/kundaje/oak/projects/neuro-variants/variant_position/credible/roussos_2024/variant_figures/roussos_2024.adolescence.GLU/rs12315638_count_position.png",4,220,900)</f>
        <v/>
      </c>
      <c r="T811">
        <f>IMAGE("https://mitra.stanford.edu/kundaje/oak/projects/neuro-variants/variant_position/credible/roussos_2024/variant_figures/roussos_2024.adolescence.GLU/rs12315638_profile_position.png",4,220,900)</f>
        <v/>
      </c>
    </row>
    <row r="812">
      <c r="A812" t="inlineStr">
        <is>
          <t>chr12</t>
        </is>
      </c>
      <c r="B812" t="n">
        <v>74951873</v>
      </c>
      <c r="C812" t="inlineStr">
        <is>
          <t>G</t>
        </is>
      </c>
      <c r="D812" t="inlineStr">
        <is>
          <t>C</t>
        </is>
      </c>
      <c r="E812" t="inlineStr">
        <is>
          <t>rs11180302</t>
        </is>
      </c>
      <c r="F812" t="n">
        <v>-0.0850495778</v>
      </c>
      <c r="G812" t="n">
        <v>0.0145032540286289</v>
      </c>
      <c r="H812" t="n">
        <v>0.0239715443848199</v>
      </c>
      <c r="I812" t="n">
        <v>0.0326435738264782</v>
      </c>
      <c r="J812" t="n">
        <v>0.0274585449843181</v>
      </c>
      <c r="K812" t="n">
        <v>0.783428462262588</v>
      </c>
      <c r="L812" t="b">
        <v>1</v>
      </c>
      <c r="M812" t="b">
        <v>0</v>
      </c>
      <c r="N812" t="inlineStr">
        <is>
          <t>ref</t>
        </is>
      </c>
      <c r="O812" t="n">
        <v>85</v>
      </c>
      <c r="P812" t="n">
        <v>0.00639</v>
      </c>
      <c r="Q812" t="n">
        <v>-40</v>
      </c>
      <c r="R812" t="n">
        <v>0.0464</v>
      </c>
      <c r="S812">
        <f>IMAGE("https://mitra.stanford.edu/kundaje/oak/projects/neuro-variants/variant_position/credible/roussos_2024/variant_figures/roussos_2024.adolescence.GLU/rs11180302_count_position.png",4,220,900)</f>
        <v/>
      </c>
      <c r="T812">
        <f>IMAGE("https://mitra.stanford.edu/kundaje/oak/projects/neuro-variants/variant_position/credible/roussos_2024/variant_figures/roussos_2024.adolescence.GLU/rs11180302_profile_position.png",4,220,900)</f>
        <v/>
      </c>
    </row>
    <row r="813">
      <c r="A813" t="inlineStr">
        <is>
          <t>chr12</t>
        </is>
      </c>
      <c r="B813" t="n">
        <v>74954419</v>
      </c>
      <c r="C813" t="inlineStr">
        <is>
          <t>C</t>
        </is>
      </c>
      <c r="D813" t="inlineStr">
        <is>
          <t>G</t>
        </is>
      </c>
      <c r="E813" t="inlineStr">
        <is>
          <t>rs1526803</t>
        </is>
      </c>
      <c r="F813" t="n">
        <v>-0.0220497846</v>
      </c>
      <c r="G813" t="n">
        <v>0.2787756232162962</v>
      </c>
      <c r="H813" t="n">
        <v>0.008897324322761</v>
      </c>
      <c r="I813" t="n">
        <v>0.6484678644917243</v>
      </c>
      <c r="J813" t="n">
        <v>0.0016617727957933</v>
      </c>
      <c r="K813" t="n">
        <v>0.9615397075436088</v>
      </c>
      <c r="L813" t="b">
        <v>0</v>
      </c>
      <c r="M813" t="b">
        <v>0</v>
      </c>
      <c r="N813" t="inlineStr">
        <is>
          <t>ref</t>
        </is>
      </c>
      <c r="O813" t="n">
        <v>90</v>
      </c>
      <c r="P813" t="n">
        <v>0.01688</v>
      </c>
      <c r="Q813" t="n">
        <v>90</v>
      </c>
      <c r="R813" t="n">
        <v>0.01012</v>
      </c>
      <c r="S813">
        <f>IMAGE("https://mitra.stanford.edu/kundaje/oak/projects/neuro-variants/variant_position/credible/roussos_2024/variant_figures/roussos_2024.adolescence.GLU/rs1526803_count_position.png",4,220,900)</f>
        <v/>
      </c>
      <c r="T813">
        <f>IMAGE("https://mitra.stanford.edu/kundaje/oak/projects/neuro-variants/variant_position/credible/roussos_2024/variant_figures/roussos_2024.adolescence.GLU/rs1526803_profile_position.png",4,220,900)</f>
        <v/>
      </c>
    </row>
    <row r="814">
      <c r="A814" t="inlineStr">
        <is>
          <t>chr12</t>
        </is>
      </c>
      <c r="B814" t="n">
        <v>74959499</v>
      </c>
      <c r="C814" t="inlineStr">
        <is>
          <t>A</t>
        </is>
      </c>
      <c r="D814" t="inlineStr">
        <is>
          <t>G</t>
        </is>
      </c>
      <c r="E814" t="inlineStr">
        <is>
          <t>rs952408</t>
        </is>
      </c>
      <c r="F814" t="n">
        <v>0.00358374126</v>
      </c>
      <c r="G814" t="n">
        <v>0.7775651431410543</v>
      </c>
      <c r="H814" t="n">
        <v>0.0216092229225973</v>
      </c>
      <c r="I814" t="n">
        <v>0.0384127990000789</v>
      </c>
      <c r="J814" t="n">
        <v>0.0698016017603645</v>
      </c>
      <c r="K814" t="n">
        <v>0.6461597736231312</v>
      </c>
      <c r="L814" t="b">
        <v>0</v>
      </c>
      <c r="M814" t="b">
        <v>0</v>
      </c>
      <c r="N814" t="inlineStr">
        <is>
          <t>alt</t>
        </is>
      </c>
      <c r="O814" t="n">
        <v>-85</v>
      </c>
      <c r="P814" t="n">
        <v>0.005047</v>
      </c>
      <c r="Q814" t="n">
        <v>-100</v>
      </c>
      <c r="R814" t="n">
        <v>0.08740000000000001</v>
      </c>
      <c r="S814">
        <f>IMAGE("https://mitra.stanford.edu/kundaje/oak/projects/neuro-variants/variant_position/credible/roussos_2024/variant_figures/roussos_2024.adolescence.GLU/rs952408_count_position.png",4,220,900)</f>
        <v/>
      </c>
      <c r="T814">
        <f>IMAGE("https://mitra.stanford.edu/kundaje/oak/projects/neuro-variants/variant_position/credible/roussos_2024/variant_figures/roussos_2024.adolescence.GLU/rs952408_profile_position.png",4,220,900)</f>
        <v/>
      </c>
    </row>
    <row r="815">
      <c r="A815" t="inlineStr">
        <is>
          <t>chr12</t>
        </is>
      </c>
      <c r="B815" t="n">
        <v>74973452</v>
      </c>
      <c r="C815" t="inlineStr">
        <is>
          <t>G</t>
        </is>
      </c>
      <c r="D815" t="inlineStr">
        <is>
          <t>T</t>
        </is>
      </c>
      <c r="E815" t="inlineStr">
        <is>
          <t>rs12300503</t>
        </is>
      </c>
      <c r="F815" t="n">
        <v>-0.13983289</v>
      </c>
      <c r="G815" t="n">
        <v>0.0040001860173338</v>
      </c>
      <c r="H815" t="n">
        <v>0.0349667369794681</v>
      </c>
      <c r="I815" t="n">
        <v>0.008423968708270099</v>
      </c>
      <c r="J815" t="n">
        <v>0.1143808360303205</v>
      </c>
      <c r="K815" t="n">
        <v>0.541739803331353</v>
      </c>
      <c r="L815" t="b">
        <v>1</v>
      </c>
      <c r="M815" t="b">
        <v>1</v>
      </c>
      <c r="N815" t="inlineStr">
        <is>
          <t>ref</t>
        </is>
      </c>
      <c r="O815" t="n">
        <v>-50</v>
      </c>
      <c r="P815" t="n">
        <v>0.009795999999999999</v>
      </c>
      <c r="Q815" t="n">
        <v>-85</v>
      </c>
      <c r="R815" t="n">
        <v>0.02869</v>
      </c>
      <c r="S815">
        <f>IMAGE("https://mitra.stanford.edu/kundaje/oak/projects/neuro-variants/variant_position/credible/roussos_2024/variant_figures/roussos_2024.adolescence.GLU/rs12300503_count_position.png",4,220,900)</f>
        <v/>
      </c>
      <c r="T815">
        <f>IMAGE("https://mitra.stanford.edu/kundaje/oak/projects/neuro-variants/variant_position/credible/roussos_2024/variant_figures/roussos_2024.adolescence.GLU/rs12300503_profile_position.png",4,220,900)</f>
        <v/>
      </c>
    </row>
    <row r="816">
      <c r="A816" t="inlineStr">
        <is>
          <t>chr12</t>
        </is>
      </c>
      <c r="B816" t="n">
        <v>87265073</v>
      </c>
      <c r="C816" t="inlineStr">
        <is>
          <t>G</t>
        </is>
      </c>
      <c r="D816" t="inlineStr">
        <is>
          <t>A</t>
        </is>
      </c>
      <c r="E816" t="inlineStr">
        <is>
          <t>rs17014518</t>
        </is>
      </c>
      <c r="F816" t="n">
        <v>-0.04469402</v>
      </c>
      <c r="G816" t="n">
        <v>0.0852461961366756</v>
      </c>
      <c r="H816" t="n">
        <v>0.0107975609234982</v>
      </c>
      <c r="I816" t="n">
        <v>0.4211346065024279</v>
      </c>
      <c r="J816" t="n">
        <v>0.0139914696615727</v>
      </c>
      <c r="K816" t="n">
        <v>0.8571177989356755</v>
      </c>
      <c r="L816" t="b">
        <v>0</v>
      </c>
      <c r="M816" t="b">
        <v>0</v>
      </c>
      <c r="N816" t="inlineStr">
        <is>
          <t>ref</t>
        </is>
      </c>
      <c r="O816" t="n">
        <v>65</v>
      </c>
      <c r="P816" t="n">
        <v>0.001587</v>
      </c>
      <c r="Q816" t="n">
        <v>-5</v>
      </c>
      <c r="R816" t="n">
        <v>0.00479</v>
      </c>
      <c r="S816">
        <f>IMAGE("https://mitra.stanford.edu/kundaje/oak/projects/neuro-variants/variant_position/credible/roussos_2024/variant_figures/roussos_2024.adolescence.GLU/rs17014518_count_position.png",4,220,900)</f>
        <v/>
      </c>
      <c r="T816">
        <f>IMAGE("https://mitra.stanford.edu/kundaje/oak/projects/neuro-variants/variant_position/credible/roussos_2024/variant_figures/roussos_2024.adolescence.GLU/rs17014518_profile_position.png",4,220,900)</f>
        <v/>
      </c>
    </row>
    <row r="817">
      <c r="A817" t="inlineStr">
        <is>
          <t>chr12</t>
        </is>
      </c>
      <c r="B817" t="n">
        <v>87287207</v>
      </c>
      <c r="C817" t="inlineStr">
        <is>
          <t>T</t>
        </is>
      </c>
      <c r="D817" t="inlineStr">
        <is>
          <t>G</t>
        </is>
      </c>
      <c r="E817" t="inlineStr">
        <is>
          <t>rs66619626</t>
        </is>
      </c>
      <c r="F817" t="n">
        <v>0.0225352632</v>
      </c>
      <c r="G817" t="n">
        <v>0.2425732103001723</v>
      </c>
      <c r="H817" t="n">
        <v>0.0110471925184718</v>
      </c>
      <c r="I817" t="n">
        <v>0.3984817097137623</v>
      </c>
      <c r="J817" t="n">
        <v>0.0994305963378128</v>
      </c>
      <c r="K817" t="n">
        <v>0.5830375451028809</v>
      </c>
      <c r="L817" t="b">
        <v>0</v>
      </c>
      <c r="M817" t="b">
        <v>0</v>
      </c>
      <c r="N817" t="inlineStr">
        <is>
          <t>alt</t>
        </is>
      </c>
      <c r="O817" t="n">
        <v>95</v>
      </c>
      <c r="P817" t="n">
        <v>0.00173</v>
      </c>
      <c r="Q817" t="n">
        <v>-100</v>
      </c>
      <c r="R817" t="n">
        <v>0.07764</v>
      </c>
      <c r="S817">
        <f>IMAGE("https://mitra.stanford.edu/kundaje/oak/projects/neuro-variants/variant_position/credible/roussos_2024/variant_figures/roussos_2024.adolescence.GLU/rs66619626_count_position.png",4,220,900)</f>
        <v/>
      </c>
      <c r="T817">
        <f>IMAGE("https://mitra.stanford.edu/kundaje/oak/projects/neuro-variants/variant_position/credible/roussos_2024/variant_figures/roussos_2024.adolescence.GLU/rs66619626_profile_position.png",4,220,900)</f>
        <v/>
      </c>
    </row>
    <row r="818">
      <c r="A818" t="inlineStr">
        <is>
          <t>chr12</t>
        </is>
      </c>
      <c r="B818" t="n">
        <v>87294412</v>
      </c>
      <c r="C818" t="inlineStr">
        <is>
          <t>T</t>
        </is>
      </c>
      <c r="D818" t="inlineStr">
        <is>
          <t>C</t>
        </is>
      </c>
      <c r="E818" t="inlineStr">
        <is>
          <t>rs11104403</t>
        </is>
      </c>
      <c r="F818" t="n">
        <v>-0.00529219074</v>
      </c>
      <c r="G818" t="n">
        <v>0.7210306630785301</v>
      </c>
      <c r="H818" t="n">
        <v>0.024904565146556</v>
      </c>
      <c r="I818" t="n">
        <v>0.0215197862369078</v>
      </c>
      <c r="J818" t="n">
        <v>0.0178422673268033</v>
      </c>
      <c r="K818" t="n">
        <v>0.8321700521733636</v>
      </c>
      <c r="L818" t="b">
        <v>0</v>
      </c>
      <c r="M818" t="b">
        <v>0</v>
      </c>
      <c r="N818" t="inlineStr">
        <is>
          <t>ref</t>
        </is>
      </c>
      <c r="O818" t="n">
        <v>-90</v>
      </c>
      <c r="P818" t="n">
        <v>0.006073</v>
      </c>
      <c r="Q818" t="n">
        <v>-85</v>
      </c>
      <c r="R818" t="n">
        <v>0.02768</v>
      </c>
      <c r="S818">
        <f>IMAGE("https://mitra.stanford.edu/kundaje/oak/projects/neuro-variants/variant_position/credible/roussos_2024/variant_figures/roussos_2024.adolescence.GLU/rs11104403_count_position.png",4,220,900)</f>
        <v/>
      </c>
      <c r="T818">
        <f>IMAGE("https://mitra.stanford.edu/kundaje/oak/projects/neuro-variants/variant_position/credible/roussos_2024/variant_figures/roussos_2024.adolescence.GLU/rs11104403_profile_position.png",4,220,900)</f>
        <v/>
      </c>
    </row>
    <row r="819">
      <c r="A819" t="inlineStr">
        <is>
          <t>chr12</t>
        </is>
      </c>
      <c r="B819" t="n">
        <v>87295117</v>
      </c>
      <c r="C819" t="inlineStr">
        <is>
          <t>C</t>
        </is>
      </c>
      <c r="D819" t="inlineStr">
        <is>
          <t>A</t>
        </is>
      </c>
      <c r="E819" t="inlineStr">
        <is>
          <t>rs12815820</t>
        </is>
      </c>
      <c r="F819" t="n">
        <v>-0.0357076412</v>
      </c>
      <c r="G819" t="n">
        <v>0.1487142581107245</v>
      </c>
      <c r="H819" t="n">
        <v>0.018318430172433</v>
      </c>
      <c r="I819" t="n">
        <v>0.0924236124907992</v>
      </c>
      <c r="J819" t="n">
        <v>0.0469825892506304</v>
      </c>
      <c r="K819" t="n">
        <v>0.7098284451843017</v>
      </c>
      <c r="L819" t="b">
        <v>0</v>
      </c>
      <c r="M819" t="b">
        <v>0</v>
      </c>
      <c r="N819" t="inlineStr">
        <is>
          <t>ref</t>
        </is>
      </c>
      <c r="O819" t="n">
        <v>-35</v>
      </c>
      <c r="P819" t="n">
        <v>0.00058</v>
      </c>
      <c r="Q819" t="n">
        <v>85</v>
      </c>
      <c r="R819" t="n">
        <v>0.05634</v>
      </c>
      <c r="S819">
        <f>IMAGE("https://mitra.stanford.edu/kundaje/oak/projects/neuro-variants/variant_position/credible/roussos_2024/variant_figures/roussos_2024.adolescence.GLU/rs12815820_count_position.png",4,220,900)</f>
        <v/>
      </c>
      <c r="T819">
        <f>IMAGE("https://mitra.stanford.edu/kundaje/oak/projects/neuro-variants/variant_position/credible/roussos_2024/variant_figures/roussos_2024.adolescence.GLU/rs12815820_profile_position.png",4,220,900)</f>
        <v/>
      </c>
    </row>
    <row r="820">
      <c r="A820" t="inlineStr">
        <is>
          <t>chr12</t>
        </is>
      </c>
      <c r="B820" t="n">
        <v>87302883</v>
      </c>
      <c r="C820" t="inlineStr">
        <is>
          <t>T</t>
        </is>
      </c>
      <c r="D820" t="inlineStr">
        <is>
          <t>A</t>
        </is>
      </c>
      <c r="E820" t="inlineStr">
        <is>
          <t>rs725421</t>
        </is>
      </c>
      <c r="F820" t="n">
        <v>0.018137987</v>
      </c>
      <c r="G820" t="n">
        <v>0.3078456563796019</v>
      </c>
      <c r="H820" t="n">
        <v>0.0216691806907836</v>
      </c>
      <c r="I820" t="n">
        <v>0.0399301354537605</v>
      </c>
      <c r="J820" t="n">
        <v>0.0728365161354851</v>
      </c>
      <c r="K820" t="n">
        <v>0.635682613359731</v>
      </c>
      <c r="L820" t="b">
        <v>0</v>
      </c>
      <c r="M820" t="b">
        <v>0</v>
      </c>
      <c r="N820" t="inlineStr">
        <is>
          <t>alt</t>
        </is>
      </c>
      <c r="O820" t="n">
        <v>-60</v>
      </c>
      <c r="P820" t="n">
        <v>0.00664</v>
      </c>
      <c r="Q820" t="n">
        <v>10</v>
      </c>
      <c r="R820" t="n">
        <v>0.01001</v>
      </c>
      <c r="S820">
        <f>IMAGE("https://mitra.stanford.edu/kundaje/oak/projects/neuro-variants/variant_position/credible/roussos_2024/variant_figures/roussos_2024.adolescence.GLU/rs725421_count_position.png",4,220,900)</f>
        <v/>
      </c>
      <c r="T820">
        <f>IMAGE("https://mitra.stanford.edu/kundaje/oak/projects/neuro-variants/variant_position/credible/roussos_2024/variant_figures/roussos_2024.adolescence.GLU/rs725421_profile_position.png",4,220,900)</f>
        <v/>
      </c>
    </row>
    <row r="821">
      <c r="A821" t="inlineStr">
        <is>
          <t>chr12</t>
        </is>
      </c>
      <c r="B821" t="n">
        <v>87311437</v>
      </c>
      <c r="C821" t="inlineStr">
        <is>
          <t>G</t>
        </is>
      </c>
      <c r="D821" t="inlineStr">
        <is>
          <t>A</t>
        </is>
      </c>
      <c r="E821" t="inlineStr">
        <is>
          <t>rs7972062</t>
        </is>
      </c>
      <c r="F821" t="n">
        <v>-0.0189853577</v>
      </c>
      <c r="G821" t="n">
        <v>0.3172977044554466</v>
      </c>
      <c r="H821" t="n">
        <v>0.0112370803904711</v>
      </c>
      <c r="I821" t="n">
        <v>0.3904069720019331</v>
      </c>
      <c r="J821" t="n">
        <v>0.1321816662022847</v>
      </c>
      <c r="K821" t="n">
        <v>0.5078418150718197</v>
      </c>
      <c r="L821" t="b">
        <v>0</v>
      </c>
      <c r="M821" t="b">
        <v>0</v>
      </c>
      <c r="N821" t="inlineStr">
        <is>
          <t>ref</t>
        </is>
      </c>
      <c r="O821" t="n">
        <v>10</v>
      </c>
      <c r="P821" t="n">
        <v>0.000702</v>
      </c>
      <c r="Q821" t="n">
        <v>-60</v>
      </c>
      <c r="R821" t="n">
        <v>0.0332</v>
      </c>
      <c r="S821">
        <f>IMAGE("https://mitra.stanford.edu/kundaje/oak/projects/neuro-variants/variant_position/credible/roussos_2024/variant_figures/roussos_2024.adolescence.GLU/rs7972062_count_position.png",4,220,900)</f>
        <v/>
      </c>
      <c r="T821">
        <f>IMAGE("https://mitra.stanford.edu/kundaje/oak/projects/neuro-variants/variant_position/credible/roussos_2024/variant_figures/roussos_2024.adolescence.GLU/rs7972062_profile_position.png",4,220,900)</f>
        <v/>
      </c>
    </row>
    <row r="822">
      <c r="A822" t="inlineStr">
        <is>
          <t>chr12</t>
        </is>
      </c>
      <c r="B822" t="n">
        <v>87318399</v>
      </c>
      <c r="C822" t="inlineStr">
        <is>
          <t>T</t>
        </is>
      </c>
      <c r="D822" t="inlineStr">
        <is>
          <t>A</t>
        </is>
      </c>
      <c r="E822" t="inlineStr">
        <is>
          <t>rs10858579</t>
        </is>
      </c>
      <c r="F822" t="n">
        <v>0.01254722292</v>
      </c>
      <c r="G822" t="n">
        <v>0.4224656346724799</v>
      </c>
      <c r="H822" t="n">
        <v>0.007497528549388</v>
      </c>
      <c r="I822" t="n">
        <v>0.836852569401262</v>
      </c>
      <c r="J822" t="n">
        <v>0.0883825935372326</v>
      </c>
      <c r="K822" t="n">
        <v>0.598084435273618</v>
      </c>
      <c r="L822" t="b">
        <v>0</v>
      </c>
      <c r="M822" t="b">
        <v>0</v>
      </c>
      <c r="N822" t="inlineStr">
        <is>
          <t>alt</t>
        </is>
      </c>
      <c r="O822" t="n">
        <v>95</v>
      </c>
      <c r="P822" t="n">
        <v>0.01253</v>
      </c>
      <c r="Q822" t="n">
        <v>95</v>
      </c>
      <c r="R822" t="n">
        <v>0.06244</v>
      </c>
      <c r="S822">
        <f>IMAGE("https://mitra.stanford.edu/kundaje/oak/projects/neuro-variants/variant_position/credible/roussos_2024/variant_figures/roussos_2024.adolescence.GLU/rs10858579_count_position.png",4,220,900)</f>
        <v/>
      </c>
      <c r="T822">
        <f>IMAGE("https://mitra.stanford.edu/kundaje/oak/projects/neuro-variants/variant_position/credible/roussos_2024/variant_figures/roussos_2024.adolescence.GLU/rs10858579_profile_position.png",4,220,900)</f>
        <v/>
      </c>
    </row>
    <row r="823">
      <c r="A823" t="inlineStr">
        <is>
          <t>chr12</t>
        </is>
      </c>
      <c r="B823" t="n">
        <v>89434954</v>
      </c>
      <c r="C823" t="inlineStr">
        <is>
          <t>C</t>
        </is>
      </c>
      <c r="D823" t="inlineStr">
        <is>
          <t>T</t>
        </is>
      </c>
      <c r="E823" t="inlineStr">
        <is>
          <t>rs1845141</t>
        </is>
      </c>
      <c r="F823" t="n">
        <v>-0.006918617454</v>
      </c>
      <c r="G823" t="n">
        <v>0.6362704200943428</v>
      </c>
      <c r="H823" t="n">
        <v>0.0270712868255673</v>
      </c>
      <c r="I823" t="n">
        <v>0.0153698294452442</v>
      </c>
      <c r="J823" t="n">
        <v>0.0114795207578712</v>
      </c>
      <c r="K823" t="n">
        <v>0.8663607769049048</v>
      </c>
      <c r="L823" t="b">
        <v>1</v>
      </c>
      <c r="M823" t="b">
        <v>0</v>
      </c>
      <c r="N823" t="inlineStr">
        <is>
          <t>ref</t>
        </is>
      </c>
      <c r="O823" t="n">
        <v>100</v>
      </c>
      <c r="P823" t="n">
        <v>0.00357</v>
      </c>
      <c r="Q823" t="n">
        <v>-55</v>
      </c>
      <c r="R823" t="n">
        <v>0.03214</v>
      </c>
      <c r="S823">
        <f>IMAGE("https://mitra.stanford.edu/kundaje/oak/projects/neuro-variants/variant_position/credible/roussos_2024/variant_figures/roussos_2024.adolescence.GLU/rs1845141_count_position.png",4,220,900)</f>
        <v/>
      </c>
      <c r="T823">
        <f>IMAGE("https://mitra.stanford.edu/kundaje/oak/projects/neuro-variants/variant_position/credible/roussos_2024/variant_figures/roussos_2024.adolescence.GLU/rs1845141_profile_position.png",4,220,900)</f>
        <v/>
      </c>
    </row>
    <row r="824">
      <c r="A824" t="inlineStr">
        <is>
          <t>chr12</t>
        </is>
      </c>
      <c r="B824" t="n">
        <v>89457189</v>
      </c>
      <c r="C824" t="inlineStr">
        <is>
          <t>A</t>
        </is>
      </c>
      <c r="D824" t="inlineStr">
        <is>
          <t>C</t>
        </is>
      </c>
      <c r="E824" t="inlineStr">
        <is>
          <t>rs7308051</t>
        </is>
      </c>
      <c r="F824" t="n">
        <v>0.027819914</v>
      </c>
      <c r="G824" t="n">
        <v>0.1850875360818031</v>
      </c>
      <c r="H824" t="n">
        <v>0.0116742200102058</v>
      </c>
      <c r="I824" t="n">
        <v>0.3539147793185979</v>
      </c>
      <c r="J824" t="n">
        <v>0.0025876788763386</v>
      </c>
      <c r="K824" t="n">
        <v>0.9454873458318906</v>
      </c>
      <c r="L824" t="b">
        <v>0</v>
      </c>
      <c r="M824" t="b">
        <v>0</v>
      </c>
      <c r="N824" t="inlineStr">
        <is>
          <t>alt</t>
        </is>
      </c>
      <c r="O824" t="n">
        <v>-60</v>
      </c>
      <c r="P824" t="n">
        <v>0.00915</v>
      </c>
      <c r="Q824" t="n">
        <v>-35</v>
      </c>
      <c r="R824" t="n">
        <v>0.01993</v>
      </c>
      <c r="S824">
        <f>IMAGE("https://mitra.stanford.edu/kundaje/oak/projects/neuro-variants/variant_position/credible/roussos_2024/variant_figures/roussos_2024.adolescence.GLU/rs7308051_count_position.png",4,220,900)</f>
        <v/>
      </c>
      <c r="T824">
        <f>IMAGE("https://mitra.stanford.edu/kundaje/oak/projects/neuro-variants/variant_position/credible/roussos_2024/variant_figures/roussos_2024.adolescence.GLU/rs7308051_profile_position.png",4,220,900)</f>
        <v/>
      </c>
    </row>
    <row r="825">
      <c r="A825" t="inlineStr">
        <is>
          <t>chr12</t>
        </is>
      </c>
      <c r="B825" t="n">
        <v>89463361</v>
      </c>
      <c r="C825" t="inlineStr">
        <is>
          <t>G</t>
        </is>
      </c>
      <c r="D825" t="inlineStr">
        <is>
          <t>A</t>
        </is>
      </c>
      <c r="E825" t="inlineStr">
        <is>
          <t>rs6538188</t>
        </is>
      </c>
      <c r="F825" t="n">
        <v>0.0153306363</v>
      </c>
      <c r="G825" t="n">
        <v>0.4006814504818908</v>
      </c>
      <c r="H825" t="n">
        <v>0.0135829939123692</v>
      </c>
      <c r="I825" t="n">
        <v>0.2522641217304482</v>
      </c>
      <c r="J825" t="n">
        <v>0.0665380685999242</v>
      </c>
      <c r="K825" t="n">
        <v>0.6471065063833795</v>
      </c>
      <c r="L825" t="b">
        <v>0</v>
      </c>
      <c r="M825" t="b">
        <v>0</v>
      </c>
      <c r="N825" t="inlineStr">
        <is>
          <t>alt</t>
        </is>
      </c>
      <c r="O825" t="n">
        <v>15</v>
      </c>
      <c r="P825" t="n">
        <v>0.001251</v>
      </c>
      <c r="Q825" t="n">
        <v>50</v>
      </c>
      <c r="R825" t="n">
        <v>0.02222</v>
      </c>
      <c r="S825">
        <f>IMAGE("https://mitra.stanford.edu/kundaje/oak/projects/neuro-variants/variant_position/credible/roussos_2024/variant_figures/roussos_2024.adolescence.GLU/rs6538188_count_position.png",4,220,900)</f>
        <v/>
      </c>
      <c r="T825">
        <f>IMAGE("https://mitra.stanford.edu/kundaje/oak/projects/neuro-variants/variant_position/credible/roussos_2024/variant_figures/roussos_2024.adolescence.GLU/rs6538188_profile_position.png",4,220,900)</f>
        <v/>
      </c>
    </row>
    <row r="826">
      <c r="A826" t="inlineStr">
        <is>
          <t>chr12</t>
        </is>
      </c>
      <c r="B826" t="n">
        <v>89488768</v>
      </c>
      <c r="C826" t="inlineStr">
        <is>
          <t>T</t>
        </is>
      </c>
      <c r="D826" t="inlineStr">
        <is>
          <t>C</t>
        </is>
      </c>
      <c r="E826" t="inlineStr">
        <is>
          <t>rs9634199</t>
        </is>
      </c>
      <c r="F826" t="n">
        <v>-0.024709774612</v>
      </c>
      <c r="G826" t="n">
        <v>0.1977518638609388</v>
      </c>
      <c r="H826" t="n">
        <v>0.014091896839036</v>
      </c>
      <c r="I826" t="n">
        <v>0.2567476599288082</v>
      </c>
      <c r="J826" t="n">
        <v>0.0984946881854098</v>
      </c>
      <c r="K826" t="n">
        <v>0.5777549974498947</v>
      </c>
      <c r="L826" t="b">
        <v>0</v>
      </c>
      <c r="M826" t="b">
        <v>0</v>
      </c>
      <c r="N826" t="inlineStr">
        <is>
          <t>ref</t>
        </is>
      </c>
      <c r="O826" t="n">
        <v>-40</v>
      </c>
      <c r="P826" t="n">
        <v>0.00203</v>
      </c>
      <c r="Q826" t="n">
        <v>95</v>
      </c>
      <c r="R826" t="n">
        <v>0.0838</v>
      </c>
      <c r="S826">
        <f>IMAGE("https://mitra.stanford.edu/kundaje/oak/projects/neuro-variants/variant_position/credible/roussos_2024/variant_figures/roussos_2024.adolescence.GLU/rs9634199_count_position.png",4,220,900)</f>
        <v/>
      </c>
      <c r="T826">
        <f>IMAGE("https://mitra.stanford.edu/kundaje/oak/projects/neuro-variants/variant_position/credible/roussos_2024/variant_figures/roussos_2024.adolescence.GLU/rs9634199_profile_position.png",4,220,900)</f>
        <v/>
      </c>
    </row>
    <row r="827">
      <c r="A827" t="inlineStr">
        <is>
          <t>chr12</t>
        </is>
      </c>
      <c r="B827" t="n">
        <v>89499935</v>
      </c>
      <c r="C827" t="inlineStr">
        <is>
          <t>A</t>
        </is>
      </c>
      <c r="D827" t="inlineStr">
        <is>
          <t>G</t>
        </is>
      </c>
      <c r="E827" t="inlineStr">
        <is>
          <t>rs10858884</t>
        </is>
      </c>
      <c r="F827" t="n">
        <v>0.092948818</v>
      </c>
      <c r="G827" t="n">
        <v>0.0110338651303356</v>
      </c>
      <c r="H827" t="n">
        <v>0.0180132528777879</v>
      </c>
      <c r="I827" t="n">
        <v>0.0840657810513306</v>
      </c>
      <c r="J827" t="n">
        <v>0.5147623436283231</v>
      </c>
      <c r="K827" t="n">
        <v>0.08024100033615481</v>
      </c>
      <c r="L827" t="b">
        <v>1</v>
      </c>
      <c r="M827" t="b">
        <v>0</v>
      </c>
      <c r="N827" t="inlineStr">
        <is>
          <t>alt</t>
        </is>
      </c>
      <c r="O827" t="n">
        <v>100</v>
      </c>
      <c r="P827" t="n">
        <v>0.003521</v>
      </c>
      <c r="Q827" t="n">
        <v>50</v>
      </c>
      <c r="R827" t="n">
        <v>0.1562</v>
      </c>
      <c r="S827">
        <f>IMAGE("https://mitra.stanford.edu/kundaje/oak/projects/neuro-variants/variant_position/credible/roussos_2024/variant_figures/roussos_2024.adolescence.GLU/rs10858884_count_position.png",4,220,900)</f>
        <v/>
      </c>
      <c r="T827">
        <f>IMAGE("https://mitra.stanford.edu/kundaje/oak/projects/neuro-variants/variant_position/credible/roussos_2024/variant_figures/roussos_2024.adolescence.GLU/rs10858884_profile_position.png",4,220,900)</f>
        <v/>
      </c>
    </row>
    <row r="828">
      <c r="A828" t="inlineStr">
        <is>
          <t>chr12</t>
        </is>
      </c>
      <c r="B828" t="n">
        <v>89503226</v>
      </c>
      <c r="C828" t="inlineStr">
        <is>
          <t>T</t>
        </is>
      </c>
      <c r="D828" t="inlineStr">
        <is>
          <t>C</t>
        </is>
      </c>
      <c r="E828" t="inlineStr">
        <is>
          <t>rs10777173</t>
        </is>
      </c>
      <c r="F828" t="n">
        <v>0.0515257978</v>
      </c>
      <c r="G828" t="n">
        <v>0.06279580516677009</v>
      </c>
      <c r="H828" t="n">
        <v>0.0129916845637115</v>
      </c>
      <c r="I828" t="n">
        <v>0.2750378532286627</v>
      </c>
      <c r="J828" t="n">
        <v>0.468718520264912</v>
      </c>
      <c r="K828" t="n">
        <v>0.1109345421978573</v>
      </c>
      <c r="L828" t="b">
        <v>0</v>
      </c>
      <c r="M828" t="b">
        <v>0</v>
      </c>
      <c r="N828" t="inlineStr">
        <is>
          <t>alt</t>
        </is>
      </c>
      <c r="O828" t="n">
        <v>-55</v>
      </c>
      <c r="P828" t="n">
        <v>0.04053</v>
      </c>
      <c r="Q828" t="n">
        <v>45</v>
      </c>
      <c r="R828" t="n">
        <v>0.01007</v>
      </c>
      <c r="S828">
        <f>IMAGE("https://mitra.stanford.edu/kundaje/oak/projects/neuro-variants/variant_position/credible/roussos_2024/variant_figures/roussos_2024.adolescence.GLU/rs10777173_count_position.png",4,220,900)</f>
        <v/>
      </c>
      <c r="T828">
        <f>IMAGE("https://mitra.stanford.edu/kundaje/oak/projects/neuro-variants/variant_position/credible/roussos_2024/variant_figures/roussos_2024.adolescence.GLU/rs10777173_profile_position.png",4,220,900)</f>
        <v/>
      </c>
    </row>
    <row r="829">
      <c r="A829" t="inlineStr">
        <is>
          <t>chr12</t>
        </is>
      </c>
      <c r="B829" t="n">
        <v>89545558</v>
      </c>
      <c r="C829" t="inlineStr">
        <is>
          <t>G</t>
        </is>
      </c>
      <c r="D829" t="inlineStr">
        <is>
          <t>A</t>
        </is>
      </c>
      <c r="E829" t="inlineStr">
        <is>
          <t>rs11105326</t>
        </is>
      </c>
      <c r="F829" t="n">
        <v>-0.181480862</v>
      </c>
      <c r="G829" t="n">
        <v>0.0012283216840093</v>
      </c>
      <c r="H829" t="n">
        <v>0.0458082906269018</v>
      </c>
      <c r="I829" t="n">
        <v>0.0020225097326811</v>
      </c>
      <c r="J829" t="n">
        <v>0.3071693422208886</v>
      </c>
      <c r="K829" t="n">
        <v>0.2633398521373868</v>
      </c>
      <c r="L829" t="b">
        <v>1</v>
      </c>
      <c r="M829" t="b">
        <v>1</v>
      </c>
      <c r="N829" t="inlineStr">
        <is>
          <t>ref</t>
        </is>
      </c>
      <c r="O829" t="n">
        <v>15</v>
      </c>
      <c r="P829" t="n">
        <v>0.000237</v>
      </c>
      <c r="Q829" t="n">
        <v>85</v>
      </c>
      <c r="R829" t="n">
        <v>0.05408</v>
      </c>
      <c r="S829">
        <f>IMAGE("https://mitra.stanford.edu/kundaje/oak/projects/neuro-variants/variant_position/credible/roussos_2024/variant_figures/roussos_2024.adolescence.GLU/rs11105326_count_position.png",4,220,900)</f>
        <v/>
      </c>
      <c r="T829">
        <f>IMAGE("https://mitra.stanford.edu/kundaje/oak/projects/neuro-variants/variant_position/credible/roussos_2024/variant_figures/roussos_2024.adolescence.GLU/rs11105326_profile_position.png",4,220,900)</f>
        <v/>
      </c>
    </row>
    <row r="830">
      <c r="A830" t="inlineStr">
        <is>
          <t>chr12</t>
        </is>
      </c>
      <c r="B830" t="n">
        <v>89576410</v>
      </c>
      <c r="C830" t="inlineStr">
        <is>
          <t>T</t>
        </is>
      </c>
      <c r="D830" t="inlineStr">
        <is>
          <t>C</t>
        </is>
      </c>
      <c r="E830" t="inlineStr">
        <is>
          <t>rs77966649</t>
        </is>
      </c>
      <c r="F830" t="n">
        <v>0.0393649332</v>
      </c>
      <c r="G830" t="n">
        <v>0.1053158040060318</v>
      </c>
      <c r="H830" t="n">
        <v>0.0097676512011655</v>
      </c>
      <c r="I830" t="n">
        <v>0.5661830085687075</v>
      </c>
      <c r="J830" t="n">
        <v>0.06549785312671901</v>
      </c>
      <c r="K830" t="n">
        <v>0.6529191295758909</v>
      </c>
      <c r="L830" t="b">
        <v>0</v>
      </c>
      <c r="M830" t="b">
        <v>0</v>
      </c>
      <c r="N830" t="inlineStr">
        <is>
          <t>alt</t>
        </is>
      </c>
      <c r="O830" t="n">
        <v>-10</v>
      </c>
      <c r="P830" t="n">
        <v>0.00116</v>
      </c>
      <c r="Q830" t="n">
        <v>100</v>
      </c>
      <c r="R830" t="n">
        <v>0.06042</v>
      </c>
      <c r="S830">
        <f>IMAGE("https://mitra.stanford.edu/kundaje/oak/projects/neuro-variants/variant_position/credible/roussos_2024/variant_figures/roussos_2024.adolescence.GLU/rs77966649_count_position.png",4,220,900)</f>
        <v/>
      </c>
      <c r="T830">
        <f>IMAGE("https://mitra.stanford.edu/kundaje/oak/projects/neuro-variants/variant_position/credible/roussos_2024/variant_figures/roussos_2024.adolescence.GLU/rs77966649_profile_position.png",4,220,900)</f>
        <v/>
      </c>
    </row>
    <row r="831">
      <c r="A831" t="inlineStr">
        <is>
          <t>chr12</t>
        </is>
      </c>
      <c r="B831" t="n">
        <v>91853010</v>
      </c>
      <c r="C831" t="inlineStr">
        <is>
          <t>C</t>
        </is>
      </c>
      <c r="D831" t="inlineStr">
        <is>
          <t>G</t>
        </is>
      </c>
      <c r="E831" t="inlineStr">
        <is>
          <t>rs4240748</t>
        </is>
      </c>
      <c r="F831" t="n">
        <v>-0.0548026307999999</v>
      </c>
      <c r="G831" t="n">
        <v>0.060755923051513</v>
      </c>
      <c r="H831" t="n">
        <v>0.0449038474739315</v>
      </c>
      <c r="I831" t="n">
        <v>0.0021927340711591</v>
      </c>
      <c r="J831" t="n">
        <v>0.0376535139421737</v>
      </c>
      <c r="K831" t="n">
        <v>0.7418696351620031</v>
      </c>
      <c r="L831" t="b">
        <v>1</v>
      </c>
      <c r="M831" t="b">
        <v>0</v>
      </c>
      <c r="N831" t="inlineStr">
        <is>
          <t>ref</t>
        </is>
      </c>
      <c r="O831" t="n">
        <v>100</v>
      </c>
      <c r="P831" t="n">
        <v>0.006287</v>
      </c>
      <c r="Q831" t="n">
        <v>100</v>
      </c>
      <c r="R831" t="n">
        <v>0.0789</v>
      </c>
      <c r="S831">
        <f>IMAGE("https://mitra.stanford.edu/kundaje/oak/projects/neuro-variants/variant_position/credible/roussos_2024/variant_figures/roussos_2024.adolescence.GLU/rs4240748_count_position.png",4,220,900)</f>
        <v/>
      </c>
      <c r="T831">
        <f>IMAGE("https://mitra.stanford.edu/kundaje/oak/projects/neuro-variants/variant_position/credible/roussos_2024/variant_figures/roussos_2024.adolescence.GLU/rs4240748_profile_position.png",4,220,900)</f>
        <v/>
      </c>
    </row>
    <row r="832">
      <c r="A832" t="inlineStr">
        <is>
          <t>chr12</t>
        </is>
      </c>
      <c r="B832" t="n">
        <v>91948482</v>
      </c>
      <c r="C832" t="inlineStr">
        <is>
          <t>T</t>
        </is>
      </c>
      <c r="D832" t="inlineStr">
        <is>
          <t>C</t>
        </is>
      </c>
      <c r="E832" t="inlineStr">
        <is>
          <t>rs63482062</t>
        </is>
      </c>
      <c r="F832" t="n">
        <v>0.0016585808399999</v>
      </c>
      <c r="G832" t="n">
        <v>0.7948832767549059</v>
      </c>
      <c r="H832" t="n">
        <v>0.0254026325361003</v>
      </c>
      <c r="I832" t="n">
        <v>0.0201375776324467</v>
      </c>
      <c r="J832" t="n">
        <v>0.1032128083674475</v>
      </c>
      <c r="K832" t="n">
        <v>0.5638021733212322</v>
      </c>
      <c r="L832" t="b">
        <v>0</v>
      </c>
      <c r="M832" t="b">
        <v>0</v>
      </c>
      <c r="N832" t="inlineStr">
        <is>
          <t>alt</t>
        </is>
      </c>
      <c r="O832" t="n">
        <v>90</v>
      </c>
      <c r="P832" t="n">
        <v>0.02</v>
      </c>
      <c r="Q832" t="n">
        <v>100</v>
      </c>
      <c r="R832" t="n">
        <v>0.163</v>
      </c>
      <c r="S832">
        <f>IMAGE("https://mitra.stanford.edu/kundaje/oak/projects/neuro-variants/variant_position/credible/roussos_2024/variant_figures/roussos_2024.adolescence.GLU/rs63482062_count_position.png",4,220,900)</f>
        <v/>
      </c>
      <c r="T832">
        <f>IMAGE("https://mitra.stanford.edu/kundaje/oak/projects/neuro-variants/variant_position/credible/roussos_2024/variant_figures/roussos_2024.adolescence.GLU/rs63482062_profile_position.png",4,220,900)</f>
        <v/>
      </c>
    </row>
    <row r="833">
      <c r="A833" t="inlineStr">
        <is>
          <t>chr12</t>
        </is>
      </c>
      <c r="B833" t="n">
        <v>94783625</v>
      </c>
      <c r="C833" t="inlineStr">
        <is>
          <t>G</t>
        </is>
      </c>
      <c r="D833" t="inlineStr">
        <is>
          <t>T</t>
        </is>
      </c>
      <c r="E833" t="inlineStr">
        <is>
          <t>rs10777617</t>
        </is>
      </c>
      <c r="F833" t="n">
        <v>-0.0266830782</v>
      </c>
      <c r="G833" t="n">
        <v>0.2123871338478396</v>
      </c>
      <c r="H833" t="n">
        <v>0.0107350382266794</v>
      </c>
      <c r="I833" t="n">
        <v>0.4173775579899792</v>
      </c>
      <c r="J833" t="n">
        <v>0.1635081552607325</v>
      </c>
      <c r="K833" t="n">
        <v>0.4542190201595608</v>
      </c>
      <c r="L833" t="b">
        <v>0</v>
      </c>
      <c r="M833" t="b">
        <v>0</v>
      </c>
      <c r="N833" t="inlineStr">
        <is>
          <t>ref</t>
        </is>
      </c>
      <c r="O833" t="n">
        <v>-25</v>
      </c>
      <c r="P833" t="n">
        <v>0.005733</v>
      </c>
      <c r="Q833" t="n">
        <v>95</v>
      </c>
      <c r="R833" t="n">
        <v>0.0675</v>
      </c>
      <c r="S833">
        <f>IMAGE("https://mitra.stanford.edu/kundaje/oak/projects/neuro-variants/variant_position/credible/roussos_2024/variant_figures/roussos_2024.adolescence.GLU/rs10777617_count_position.png",4,220,900)</f>
        <v/>
      </c>
      <c r="T833">
        <f>IMAGE("https://mitra.stanford.edu/kundaje/oak/projects/neuro-variants/variant_position/credible/roussos_2024/variant_figures/roussos_2024.adolescence.GLU/rs10777617_profile_position.png",4,220,900)</f>
        <v/>
      </c>
    </row>
    <row r="834">
      <c r="A834" t="inlineStr">
        <is>
          <t>chr12</t>
        </is>
      </c>
      <c r="B834" t="n">
        <v>94797338</v>
      </c>
      <c r="C834" t="inlineStr">
        <is>
          <t>C</t>
        </is>
      </c>
      <c r="D834" t="inlineStr">
        <is>
          <t>T</t>
        </is>
      </c>
      <c r="E834" t="inlineStr">
        <is>
          <t>rs7311279</t>
        </is>
      </c>
      <c r="F834" t="n">
        <v>-0.0533699335999999</v>
      </c>
      <c r="G834" t="n">
        <v>0.0575855690448243</v>
      </c>
      <c r="H834" t="n">
        <v>0.01423344984151</v>
      </c>
      <c r="I834" t="n">
        <v>0.201867209588832</v>
      </c>
      <c r="J834" t="n">
        <v>0.038132184523937</v>
      </c>
      <c r="K834" t="n">
        <v>0.7529398593219896</v>
      </c>
      <c r="L834" t="b">
        <v>0</v>
      </c>
      <c r="M834" t="b">
        <v>0</v>
      </c>
      <c r="N834" t="inlineStr">
        <is>
          <t>ref</t>
        </is>
      </c>
      <c r="O834" t="n">
        <v>-80</v>
      </c>
      <c r="P834" t="n">
        <v>0.00169</v>
      </c>
      <c r="Q834" t="n">
        <v>-5</v>
      </c>
      <c r="R834" t="n">
        <v>0.004456</v>
      </c>
      <c r="S834">
        <f>IMAGE("https://mitra.stanford.edu/kundaje/oak/projects/neuro-variants/variant_position/credible/roussos_2024/variant_figures/roussos_2024.adolescence.GLU/rs7311279_count_position.png",4,220,900)</f>
        <v/>
      </c>
      <c r="T834">
        <f>IMAGE("https://mitra.stanford.edu/kundaje/oak/projects/neuro-variants/variant_position/credible/roussos_2024/variant_figures/roussos_2024.adolescence.GLU/rs7311279_profile_position.png",4,220,900)</f>
        <v/>
      </c>
    </row>
    <row r="835">
      <c r="A835" t="inlineStr">
        <is>
          <t>chr12</t>
        </is>
      </c>
      <c r="B835" t="n">
        <v>94797413</v>
      </c>
      <c r="C835" t="inlineStr">
        <is>
          <t>A</t>
        </is>
      </c>
      <c r="D835" t="inlineStr">
        <is>
          <t>C</t>
        </is>
      </c>
      <c r="E835" t="inlineStr">
        <is>
          <t>rs7311211</t>
        </is>
      </c>
      <c r="F835" t="n">
        <v>0.0203838936</v>
      </c>
      <c r="G835" t="n">
        <v>0.2754275276606165</v>
      </c>
      <c r="H835" t="n">
        <v>0.0097057062794461</v>
      </c>
      <c r="I835" t="n">
        <v>0.5830643197133639</v>
      </c>
      <c r="J835" t="n">
        <v>0.0409942059426595</v>
      </c>
      <c r="K835" t="n">
        <v>0.7411166900436644</v>
      </c>
      <c r="L835" t="b">
        <v>0</v>
      </c>
      <c r="M835" t="b">
        <v>0</v>
      </c>
      <c r="N835" t="inlineStr">
        <is>
          <t>alt</t>
        </is>
      </c>
      <c r="O835" t="n">
        <v>-80</v>
      </c>
      <c r="P835" t="n">
        <v>0.01014</v>
      </c>
      <c r="Q835" t="n">
        <v>-80</v>
      </c>
      <c r="R835" t="n">
        <v>0.05493</v>
      </c>
      <c r="S835">
        <f>IMAGE("https://mitra.stanford.edu/kundaje/oak/projects/neuro-variants/variant_position/credible/roussos_2024/variant_figures/roussos_2024.adolescence.GLU/rs7311211_count_position.png",4,220,900)</f>
        <v/>
      </c>
      <c r="T835">
        <f>IMAGE("https://mitra.stanford.edu/kundaje/oak/projects/neuro-variants/variant_position/credible/roussos_2024/variant_figures/roussos_2024.adolescence.GLU/rs7311211_profile_position.png",4,220,900)</f>
        <v/>
      </c>
    </row>
    <row r="836">
      <c r="A836" t="inlineStr">
        <is>
          <t>chr12</t>
        </is>
      </c>
      <c r="B836" t="n">
        <v>94801919</v>
      </c>
      <c r="C836" t="inlineStr">
        <is>
          <t>G</t>
        </is>
      </c>
      <c r="D836" t="inlineStr">
        <is>
          <t>A</t>
        </is>
      </c>
      <c r="E836" t="inlineStr">
        <is>
          <t>rs11835590</t>
        </is>
      </c>
      <c r="F836" t="n">
        <v>0.01881181974</v>
      </c>
      <c r="G836" t="n">
        <v>0.2522119943938813</v>
      </c>
      <c r="H836" t="n">
        <v>0.0141906231464187</v>
      </c>
      <c r="I836" t="n">
        <v>0.2108742385850226</v>
      </c>
      <c r="J836" t="n">
        <v>0.1965007037171985</v>
      </c>
      <c r="K836" t="n">
        <v>0.4024876865781177</v>
      </c>
      <c r="L836" t="b">
        <v>0</v>
      </c>
      <c r="M836" t="b">
        <v>0</v>
      </c>
      <c r="N836" t="inlineStr">
        <is>
          <t>alt</t>
        </is>
      </c>
      <c r="O836" t="n">
        <v>80</v>
      </c>
      <c r="P836" t="n">
        <v>0.01221</v>
      </c>
      <c r="Q836" t="n">
        <v>5</v>
      </c>
      <c r="R836" t="n">
        <v>0.003906</v>
      </c>
      <c r="S836">
        <f>IMAGE("https://mitra.stanford.edu/kundaje/oak/projects/neuro-variants/variant_position/credible/roussos_2024/variant_figures/roussos_2024.adolescence.GLU/rs11835590_count_position.png",4,220,900)</f>
        <v/>
      </c>
      <c r="T836">
        <f>IMAGE("https://mitra.stanford.edu/kundaje/oak/projects/neuro-variants/variant_position/credible/roussos_2024/variant_figures/roussos_2024.adolescence.GLU/rs11835590_profile_position.png",4,220,900)</f>
        <v/>
      </c>
    </row>
    <row r="837">
      <c r="A837" t="inlineStr">
        <is>
          <t>chr12</t>
        </is>
      </c>
      <c r="B837" t="n">
        <v>99042804</v>
      </c>
      <c r="C837" t="inlineStr">
        <is>
          <t>T</t>
        </is>
      </c>
      <c r="D837" t="inlineStr">
        <is>
          <t>G</t>
        </is>
      </c>
      <c r="E837" t="inlineStr">
        <is>
          <t>rs1319893</t>
        </is>
      </c>
      <c r="F837" t="n">
        <v>-0.01245730906</v>
      </c>
      <c r="G837" t="n">
        <v>0.4785332123216769</v>
      </c>
      <c r="H837" t="n">
        <v>0.0237278012683026</v>
      </c>
      <c r="I837" t="n">
        <v>0.0245914232242726</v>
      </c>
      <c r="J837" t="n">
        <v>0.231563681048217</v>
      </c>
      <c r="K837" t="n">
        <v>0.3551322044344225</v>
      </c>
      <c r="L837" t="b">
        <v>0</v>
      </c>
      <c r="M837" t="b">
        <v>0</v>
      </c>
      <c r="N837" t="inlineStr">
        <is>
          <t>ref</t>
        </is>
      </c>
      <c r="O837" t="n">
        <v>-100</v>
      </c>
      <c r="P837" t="n">
        <v>0.012146</v>
      </c>
      <c r="Q837" t="n">
        <v>-15</v>
      </c>
      <c r="R837" t="n">
        <v>0.01259</v>
      </c>
      <c r="S837">
        <f>IMAGE("https://mitra.stanford.edu/kundaje/oak/projects/neuro-variants/variant_position/credible/roussos_2024/variant_figures/roussos_2024.adolescence.GLU/rs1319893_count_position.png",4,220,900)</f>
        <v/>
      </c>
      <c r="T837">
        <f>IMAGE("https://mitra.stanford.edu/kundaje/oak/projects/neuro-variants/variant_position/credible/roussos_2024/variant_figures/roussos_2024.adolescence.GLU/rs1319893_profile_position.png",4,220,900)</f>
        <v/>
      </c>
    </row>
    <row r="838">
      <c r="A838" t="inlineStr">
        <is>
          <t>chr12</t>
        </is>
      </c>
      <c r="B838" t="n">
        <v>99044685</v>
      </c>
      <c r="C838" t="inlineStr">
        <is>
          <t>C</t>
        </is>
      </c>
      <c r="D838" t="inlineStr">
        <is>
          <t>T</t>
        </is>
      </c>
      <c r="E838" t="inlineStr">
        <is>
          <t>rs7311721</t>
        </is>
      </c>
      <c r="F838" t="n">
        <v>-0.078934166</v>
      </c>
      <c r="G838" t="n">
        <v>0.0199793899306199</v>
      </c>
      <c r="H838" t="n">
        <v>0.015837297476874</v>
      </c>
      <c r="I838" t="n">
        <v>0.1585034024244175</v>
      </c>
      <c r="J838" t="n">
        <v>0.2507705167498981</v>
      </c>
      <c r="K838" t="n">
        <v>0.3305441537541907</v>
      </c>
      <c r="L838" t="b">
        <v>1</v>
      </c>
      <c r="M838" t="b">
        <v>0</v>
      </c>
      <c r="N838" t="inlineStr">
        <is>
          <t>ref</t>
        </is>
      </c>
      <c r="O838" t="n">
        <v>90</v>
      </c>
      <c r="P838" t="n">
        <v>0.005943</v>
      </c>
      <c r="Q838" t="n">
        <v>-30</v>
      </c>
      <c r="R838" t="n">
        <v>0.01636</v>
      </c>
      <c r="S838">
        <f>IMAGE("https://mitra.stanford.edu/kundaje/oak/projects/neuro-variants/variant_position/credible/roussos_2024/variant_figures/roussos_2024.adolescence.GLU/rs7311721_count_position.png",4,220,900)</f>
        <v/>
      </c>
      <c r="T838">
        <f>IMAGE("https://mitra.stanford.edu/kundaje/oak/projects/neuro-variants/variant_position/credible/roussos_2024/variant_figures/roussos_2024.adolescence.GLU/rs7311721_profile_position.png",4,220,900)</f>
        <v/>
      </c>
    </row>
    <row r="839">
      <c r="A839" t="inlineStr">
        <is>
          <t>chr12</t>
        </is>
      </c>
      <c r="B839" t="n">
        <v>99046453</v>
      </c>
      <c r="C839" t="inlineStr">
        <is>
          <t>G</t>
        </is>
      </c>
      <c r="D839" t="inlineStr">
        <is>
          <t>A</t>
        </is>
      </c>
      <c r="E839" t="inlineStr">
        <is>
          <t>rs7955942</t>
        </is>
      </c>
      <c r="F839" t="n">
        <v>0.00542649788</v>
      </c>
      <c r="G839" t="n">
        <v>0.6928663862375418</v>
      </c>
      <c r="H839" t="n">
        <v>0.007934756699328799</v>
      </c>
      <c r="I839" t="n">
        <v>0.7676871001513554</v>
      </c>
      <c r="J839" t="n">
        <v>0.0461924255738688</v>
      </c>
      <c r="K839" t="n">
        <v>0.7185744579535084</v>
      </c>
      <c r="L839" t="b">
        <v>0</v>
      </c>
      <c r="M839" t="b">
        <v>0</v>
      </c>
      <c r="N839" t="inlineStr">
        <is>
          <t>alt</t>
        </is>
      </c>
      <c r="O839" t="n">
        <v>-95</v>
      </c>
      <c r="P839" t="n">
        <v>0.02148</v>
      </c>
      <c r="Q839" t="n">
        <v>-5</v>
      </c>
      <c r="R839" t="n">
        <v>0.01514</v>
      </c>
      <c r="S839">
        <f>IMAGE("https://mitra.stanford.edu/kundaje/oak/projects/neuro-variants/variant_position/credible/roussos_2024/variant_figures/roussos_2024.adolescence.GLU/rs7955942_count_position.png",4,220,900)</f>
        <v/>
      </c>
      <c r="T839">
        <f>IMAGE("https://mitra.stanford.edu/kundaje/oak/projects/neuro-variants/variant_position/credible/roussos_2024/variant_figures/roussos_2024.adolescence.GLU/rs7955942_profile_position.png",4,220,900)</f>
        <v/>
      </c>
    </row>
    <row r="840">
      <c r="A840" t="inlineStr">
        <is>
          <t>chr12</t>
        </is>
      </c>
      <c r="B840" t="n">
        <v>99050654</v>
      </c>
      <c r="C840" t="inlineStr">
        <is>
          <t>A</t>
        </is>
      </c>
      <c r="D840" t="inlineStr">
        <is>
          <t>G</t>
        </is>
      </c>
      <c r="E840" t="inlineStr">
        <is>
          <t>rs1814453</t>
        </is>
      </c>
      <c r="F840" t="n">
        <v>0.07035808740000001</v>
      </c>
      <c r="G840" t="n">
        <v>0.0288896420570877</v>
      </c>
      <c r="H840" t="n">
        <v>0.0186496543779173</v>
      </c>
      <c r="I840" t="n">
        <v>0.0926566707174266</v>
      </c>
      <c r="J840" t="n">
        <v>0.123088354016189</v>
      </c>
      <c r="K840" t="n">
        <v>0.5297657146033067</v>
      </c>
      <c r="L840" t="b">
        <v>0</v>
      </c>
      <c r="M840" t="b">
        <v>0</v>
      </c>
      <c r="N840" t="inlineStr">
        <is>
          <t>alt</t>
        </is>
      </c>
      <c r="O840" t="n">
        <v>90</v>
      </c>
      <c r="P840" t="n">
        <v>0.03632</v>
      </c>
      <c r="Q840" t="n">
        <v>80</v>
      </c>
      <c r="R840" t="n">
        <v>0.03412</v>
      </c>
      <c r="S840">
        <f>IMAGE("https://mitra.stanford.edu/kundaje/oak/projects/neuro-variants/variant_position/credible/roussos_2024/variant_figures/roussos_2024.adolescence.GLU/rs1814453_count_position.png",4,220,900)</f>
        <v/>
      </c>
      <c r="T840">
        <f>IMAGE("https://mitra.stanford.edu/kundaje/oak/projects/neuro-variants/variant_position/credible/roussos_2024/variant_figures/roussos_2024.adolescence.GLU/rs1814453_profile_position.png",4,220,900)</f>
        <v/>
      </c>
    </row>
    <row r="841">
      <c r="A841" t="inlineStr">
        <is>
          <t>chr12</t>
        </is>
      </c>
      <c r="B841" t="n">
        <v>99053361</v>
      </c>
      <c r="C841" t="inlineStr">
        <is>
          <t>C</t>
        </is>
      </c>
      <c r="D841" t="inlineStr">
        <is>
          <t>A</t>
        </is>
      </c>
      <c r="E841" t="inlineStr">
        <is>
          <t>rs3794799</t>
        </is>
      </c>
      <c r="F841" t="n">
        <v>0.01041156982</v>
      </c>
      <c r="G841" t="n">
        <v>0.5010870508789338</v>
      </c>
      <c r="H841" t="n">
        <v>0.0188617738136735</v>
      </c>
      <c r="I841" t="n">
        <v>0.0693631626498902</v>
      </c>
      <c r="J841" t="n">
        <v>0.1576040751298482</v>
      </c>
      <c r="K841" t="n">
        <v>0.4624429431971246</v>
      </c>
      <c r="L841" t="b">
        <v>0</v>
      </c>
      <c r="M841" t="b">
        <v>0</v>
      </c>
      <c r="N841" t="inlineStr">
        <is>
          <t>alt</t>
        </is>
      </c>
      <c r="O841" t="n">
        <v>45</v>
      </c>
      <c r="P841" t="n">
        <v>0.0101</v>
      </c>
      <c r="Q841" t="n">
        <v>0</v>
      </c>
      <c r="R841" t="n">
        <v>0</v>
      </c>
      <c r="S841">
        <f>IMAGE("https://mitra.stanford.edu/kundaje/oak/projects/neuro-variants/variant_position/credible/roussos_2024/variant_figures/roussos_2024.adolescence.GLU/rs3794799_count_position.png",4,220,900)</f>
        <v/>
      </c>
      <c r="T841">
        <f>IMAGE("https://mitra.stanford.edu/kundaje/oak/projects/neuro-variants/variant_position/credible/roussos_2024/variant_figures/roussos_2024.adolescence.GLU/rs3794799_profile_position.png",4,220,900)</f>
        <v/>
      </c>
    </row>
    <row r="842">
      <c r="A842" t="inlineStr">
        <is>
          <t>chr12</t>
        </is>
      </c>
      <c r="B842" t="n">
        <v>99068591</v>
      </c>
      <c r="C842" t="inlineStr">
        <is>
          <t>A</t>
        </is>
      </c>
      <c r="D842" t="inlineStr">
        <is>
          <t>G</t>
        </is>
      </c>
      <c r="E842" t="inlineStr">
        <is>
          <t>rs6419378</t>
        </is>
      </c>
      <c r="F842" t="n">
        <v>0.0095353288799999</v>
      </c>
      <c r="G842" t="n">
        <v>0.527529616720243</v>
      </c>
      <c r="H842" t="n">
        <v>0.0187326672214751</v>
      </c>
      <c r="I842" t="n">
        <v>0.0753710104976032</v>
      </c>
      <c r="J842" t="n">
        <v>0.0647891348922276</v>
      </c>
      <c r="K842" t="n">
        <v>0.6571128427440776</v>
      </c>
      <c r="L842" t="b">
        <v>0</v>
      </c>
      <c r="M842" t="b">
        <v>0</v>
      </c>
      <c r="N842" t="inlineStr">
        <is>
          <t>alt</t>
        </is>
      </c>
      <c r="O842" t="n">
        <v>0</v>
      </c>
      <c r="P842" t="n">
        <v>0</v>
      </c>
      <c r="Q842" t="n">
        <v>100</v>
      </c>
      <c r="R842" t="n">
        <v>0.06006</v>
      </c>
      <c r="S842">
        <f>IMAGE("https://mitra.stanford.edu/kundaje/oak/projects/neuro-variants/variant_position/credible/roussos_2024/variant_figures/roussos_2024.adolescence.GLU/rs6419378_count_position.png",4,220,900)</f>
        <v/>
      </c>
      <c r="T842">
        <f>IMAGE("https://mitra.stanford.edu/kundaje/oak/projects/neuro-variants/variant_position/credible/roussos_2024/variant_figures/roussos_2024.adolescence.GLU/rs6419378_profile_position.png",4,220,900)</f>
        <v/>
      </c>
    </row>
    <row r="843">
      <c r="A843" t="inlineStr">
        <is>
          <t>chr12</t>
        </is>
      </c>
      <c r="B843" t="n">
        <v>99073457</v>
      </c>
      <c r="C843" t="inlineStr">
        <is>
          <t>T</t>
        </is>
      </c>
      <c r="D843" t="inlineStr">
        <is>
          <t>C</t>
        </is>
      </c>
      <c r="E843" t="inlineStr">
        <is>
          <t>rs2372634</t>
        </is>
      </c>
      <c r="F843" t="n">
        <v>0.009097961539999999</v>
      </c>
      <c r="G843" t="n">
        <v>0.527375688670458</v>
      </c>
      <c r="H843" t="n">
        <v>0.0162890352736901</v>
      </c>
      <c r="I843" t="n">
        <v>0.1169595109022071</v>
      </c>
      <c r="J843" t="n">
        <v>0.0606382750712647</v>
      </c>
      <c r="K843" t="n">
        <v>0.6821418924140998</v>
      </c>
      <c r="L843" t="b">
        <v>0</v>
      </c>
      <c r="M843" t="b">
        <v>0</v>
      </c>
      <c r="N843" t="inlineStr">
        <is>
          <t>alt</t>
        </is>
      </c>
      <c r="O843" t="n">
        <v>-95</v>
      </c>
      <c r="P843" t="n">
        <v>0.00124</v>
      </c>
      <c r="Q843" t="n">
        <v>-80</v>
      </c>
      <c r="R843" t="n">
        <v>0.0352</v>
      </c>
      <c r="S843">
        <f>IMAGE("https://mitra.stanford.edu/kundaje/oak/projects/neuro-variants/variant_position/credible/roussos_2024/variant_figures/roussos_2024.adolescence.GLU/rs2372634_count_position.png",4,220,900)</f>
        <v/>
      </c>
      <c r="T843">
        <f>IMAGE("https://mitra.stanford.edu/kundaje/oak/projects/neuro-variants/variant_position/credible/roussos_2024/variant_figures/roussos_2024.adolescence.GLU/rs2372634_profile_position.png",4,220,900)</f>
        <v/>
      </c>
    </row>
    <row r="844">
      <c r="A844" t="inlineStr">
        <is>
          <t>chr12</t>
        </is>
      </c>
      <c r="B844" t="n">
        <v>99074034</v>
      </c>
      <c r="C844" t="inlineStr">
        <is>
          <t>C</t>
        </is>
      </c>
      <c r="D844" t="inlineStr">
        <is>
          <t>T</t>
        </is>
      </c>
      <c r="E844" t="inlineStr">
        <is>
          <t>rs7975384</t>
        </is>
      </c>
      <c r="F844" t="n">
        <v>-0.0112581667599999</v>
      </c>
      <c r="G844" t="n">
        <v>0.4903622419949997</v>
      </c>
      <c r="H844" t="n">
        <v>0.0145905681903698</v>
      </c>
      <c r="I844" t="n">
        <v>0.1744262680968407</v>
      </c>
      <c r="J844" t="n">
        <v>0.2108250994848933</v>
      </c>
      <c r="K844" t="n">
        <v>0.386174737477842</v>
      </c>
      <c r="L844" t="b">
        <v>0</v>
      </c>
      <c r="M844" t="b">
        <v>0</v>
      </c>
      <c r="N844" t="inlineStr">
        <is>
          <t>ref</t>
        </is>
      </c>
      <c r="O844" t="n">
        <v>30</v>
      </c>
      <c r="P844" t="n">
        <v>0.002922</v>
      </c>
      <c r="Q844" t="n">
        <v>80</v>
      </c>
      <c r="R844" t="n">
        <v>0.0584</v>
      </c>
      <c r="S844">
        <f>IMAGE("https://mitra.stanford.edu/kundaje/oak/projects/neuro-variants/variant_position/credible/roussos_2024/variant_figures/roussos_2024.adolescence.GLU/rs7975384_count_position.png",4,220,900)</f>
        <v/>
      </c>
      <c r="T844">
        <f>IMAGE("https://mitra.stanford.edu/kundaje/oak/projects/neuro-variants/variant_position/credible/roussos_2024/variant_figures/roussos_2024.adolescence.GLU/rs7975384_profile_position.png",4,220,900)</f>
        <v/>
      </c>
    </row>
    <row r="845">
      <c r="A845" t="inlineStr">
        <is>
          <t>chr12</t>
        </is>
      </c>
      <c r="B845" t="n">
        <v>99075330</v>
      </c>
      <c r="C845" t="inlineStr">
        <is>
          <t>A</t>
        </is>
      </c>
      <c r="D845" t="inlineStr">
        <is>
          <t>G</t>
        </is>
      </c>
      <c r="E845" t="inlineStr">
        <is>
          <t>rs2372636</t>
        </is>
      </c>
      <c r="F845" t="n">
        <v>0.0613869915999999</v>
      </c>
      <c r="G845" t="n">
        <v>0.0346364155260639</v>
      </c>
      <c r="H845" t="n">
        <v>0.0147284929171151</v>
      </c>
      <c r="I845" t="n">
        <v>0.1738559616189771</v>
      </c>
      <c r="J845" t="n">
        <v>0.0094162362203598</v>
      </c>
      <c r="K845" t="n">
        <v>0.8821856080936662</v>
      </c>
      <c r="L845" t="b">
        <v>0</v>
      </c>
      <c r="M845" t="b">
        <v>0</v>
      </c>
      <c r="N845" t="inlineStr">
        <is>
          <t>alt</t>
        </is>
      </c>
      <c r="O845" t="n">
        <v>10</v>
      </c>
      <c r="P845" t="n">
        <v>0.003223</v>
      </c>
      <c r="Q845" t="n">
        <v>10</v>
      </c>
      <c r="R845" t="n">
        <v>0.01172</v>
      </c>
      <c r="S845">
        <f>IMAGE("https://mitra.stanford.edu/kundaje/oak/projects/neuro-variants/variant_position/credible/roussos_2024/variant_figures/roussos_2024.adolescence.GLU/rs2372636_count_position.png",4,220,900)</f>
        <v/>
      </c>
      <c r="T845">
        <f>IMAGE("https://mitra.stanford.edu/kundaje/oak/projects/neuro-variants/variant_position/credible/roussos_2024/variant_figures/roussos_2024.adolescence.GLU/rs2372636_profile_position.png",4,220,900)</f>
        <v/>
      </c>
    </row>
    <row r="846">
      <c r="A846" t="inlineStr">
        <is>
          <t>chr12</t>
        </is>
      </c>
      <c r="B846" t="n">
        <v>99077062</v>
      </c>
      <c r="C846" t="inlineStr">
        <is>
          <t>G</t>
        </is>
      </c>
      <c r="D846" t="inlineStr">
        <is>
          <t>A</t>
        </is>
      </c>
      <c r="E846" t="inlineStr">
        <is>
          <t>rs2372638</t>
        </is>
      </c>
      <c r="F846" t="n">
        <v>-0.0156845831999999</v>
      </c>
      <c r="G846" t="n">
        <v>0.3809402521490862</v>
      </c>
      <c r="H846" t="n">
        <v>0.0218722978192928</v>
      </c>
      <c r="I846" t="n">
        <v>0.0403122964912406</v>
      </c>
      <c r="J846" t="n">
        <v>0.1598845475134134</v>
      </c>
      <c r="K846" t="n">
        <v>0.462539777463016</v>
      </c>
      <c r="L846" t="b">
        <v>0</v>
      </c>
      <c r="M846" t="b">
        <v>0</v>
      </c>
      <c r="N846" t="inlineStr">
        <is>
          <t>ref</t>
        </is>
      </c>
      <c r="O846" t="n">
        <v>5</v>
      </c>
      <c r="P846" t="n">
        <v>0.000977</v>
      </c>
      <c r="Q846" t="n">
        <v>15</v>
      </c>
      <c r="R846" t="n">
        <v>0.0318</v>
      </c>
      <c r="S846">
        <f>IMAGE("https://mitra.stanford.edu/kundaje/oak/projects/neuro-variants/variant_position/credible/roussos_2024/variant_figures/roussos_2024.adolescence.GLU/rs2372638_count_position.png",4,220,900)</f>
        <v/>
      </c>
      <c r="T846">
        <f>IMAGE("https://mitra.stanford.edu/kundaje/oak/projects/neuro-variants/variant_position/credible/roussos_2024/variant_figures/roussos_2024.adolescence.GLU/rs2372638_profile_position.png",4,220,900)</f>
        <v/>
      </c>
    </row>
    <row r="847">
      <c r="A847" t="inlineStr">
        <is>
          <t>chr12</t>
        </is>
      </c>
      <c r="B847" t="n">
        <v>99080758</v>
      </c>
      <c r="C847" t="inlineStr">
        <is>
          <t>T</t>
        </is>
      </c>
      <c r="D847" t="inlineStr">
        <is>
          <t>G</t>
        </is>
      </c>
      <c r="E847" t="inlineStr">
        <is>
          <t>rs7137868</t>
        </is>
      </c>
      <c r="F847" t="n">
        <v>0.0018394184</v>
      </c>
      <c r="G847" t="n">
        <v>0.8030254370946307</v>
      </c>
      <c r="H847" t="n">
        <v>0.0233968285853907</v>
      </c>
      <c r="I847" t="n">
        <v>0.0284808076564189</v>
      </c>
      <c r="J847" t="n">
        <v>0.2408098820469954</v>
      </c>
      <c r="K847" t="n">
        <v>0.3430655644316696</v>
      </c>
      <c r="L847" t="b">
        <v>0</v>
      </c>
      <c r="M847" t="b">
        <v>0</v>
      </c>
      <c r="N847" t="inlineStr">
        <is>
          <t>alt</t>
        </is>
      </c>
      <c r="O847" t="n">
        <v>15</v>
      </c>
      <c r="P847" t="n">
        <v>0.000862</v>
      </c>
      <c r="Q847" t="n">
        <v>100</v>
      </c>
      <c r="R847" t="n">
        <v>0.04462</v>
      </c>
      <c r="S847">
        <f>IMAGE("https://mitra.stanford.edu/kundaje/oak/projects/neuro-variants/variant_position/credible/roussos_2024/variant_figures/roussos_2024.adolescence.GLU/rs7137868_count_position.png",4,220,900)</f>
        <v/>
      </c>
      <c r="T847">
        <f>IMAGE("https://mitra.stanford.edu/kundaje/oak/projects/neuro-variants/variant_position/credible/roussos_2024/variant_figures/roussos_2024.adolescence.GLU/rs7137868_profile_position.png",4,220,900)</f>
        <v/>
      </c>
    </row>
    <row r="848">
      <c r="A848" t="inlineStr">
        <is>
          <t>chr12</t>
        </is>
      </c>
      <c r="B848" t="n">
        <v>99087094</v>
      </c>
      <c r="C848" t="inlineStr">
        <is>
          <t>A</t>
        </is>
      </c>
      <c r="D848" t="inlineStr">
        <is>
          <t>C</t>
        </is>
      </c>
      <c r="E848" t="inlineStr">
        <is>
          <t>rs6538897</t>
        </is>
      </c>
      <c r="F848" t="n">
        <v>-0.001344498334</v>
      </c>
      <c r="G848" t="n">
        <v>0.7562156075297092</v>
      </c>
      <c r="H848" t="n">
        <v>0.0220312871392785</v>
      </c>
      <c r="I848" t="n">
        <v>0.0379696404666621</v>
      </c>
      <c r="J848" t="n">
        <v>0.257521915253874</v>
      </c>
      <c r="K848" t="n">
        <v>0.3211863636127805</v>
      </c>
      <c r="L848" t="b">
        <v>0</v>
      </c>
      <c r="M848" t="b">
        <v>0</v>
      </c>
      <c r="N848" t="inlineStr">
        <is>
          <t>ref</t>
        </is>
      </c>
      <c r="O848" t="n">
        <v>100</v>
      </c>
      <c r="P848" t="n">
        <v>0.00656</v>
      </c>
      <c r="Q848" t="n">
        <v>-5</v>
      </c>
      <c r="R848" t="n">
        <v>0.00537</v>
      </c>
      <c r="S848">
        <f>IMAGE("https://mitra.stanford.edu/kundaje/oak/projects/neuro-variants/variant_position/credible/roussos_2024/variant_figures/roussos_2024.adolescence.GLU/rs6538897_count_position.png",4,220,900)</f>
        <v/>
      </c>
      <c r="T848">
        <f>IMAGE("https://mitra.stanford.edu/kundaje/oak/projects/neuro-variants/variant_position/credible/roussos_2024/variant_figures/roussos_2024.adolescence.GLU/rs6538897_profile_position.png",4,220,900)</f>
        <v/>
      </c>
    </row>
    <row r="849">
      <c r="A849" t="inlineStr">
        <is>
          <t>chr12</t>
        </is>
      </c>
      <c r="B849" t="n">
        <v>99087253</v>
      </c>
      <c r="C849" t="inlineStr">
        <is>
          <t>T</t>
        </is>
      </c>
      <c r="D849" t="inlineStr">
        <is>
          <t>A</t>
        </is>
      </c>
      <c r="E849" t="inlineStr">
        <is>
          <t>rs7299393</t>
        </is>
      </c>
      <c r="F849" t="n">
        <v>-0.007830492759999899</v>
      </c>
      <c r="G849" t="n">
        <v>0.5818455732011835</v>
      </c>
      <c r="H849" t="n">
        <v>0.007891916776394</v>
      </c>
      <c r="I849" t="n">
        <v>0.7945752593316383</v>
      </c>
      <c r="J849" t="n">
        <v>0.2811825306670667</v>
      </c>
      <c r="K849" t="n">
        <v>0.2914202323374328</v>
      </c>
      <c r="L849" t="b">
        <v>0</v>
      </c>
      <c r="M849" t="b">
        <v>0</v>
      </c>
      <c r="N849" t="inlineStr">
        <is>
          <t>ref</t>
        </is>
      </c>
      <c r="O849" t="n">
        <v>100</v>
      </c>
      <c r="P849" t="n">
        <v>0.01974</v>
      </c>
      <c r="Q849" t="n">
        <v>20</v>
      </c>
      <c r="R849" t="n">
        <v>0.04163</v>
      </c>
      <c r="S849">
        <f>IMAGE("https://mitra.stanford.edu/kundaje/oak/projects/neuro-variants/variant_position/credible/roussos_2024/variant_figures/roussos_2024.adolescence.GLU/rs7299393_count_position.png",4,220,900)</f>
        <v/>
      </c>
      <c r="T849">
        <f>IMAGE("https://mitra.stanford.edu/kundaje/oak/projects/neuro-variants/variant_position/credible/roussos_2024/variant_figures/roussos_2024.adolescence.GLU/rs7299393_profile_position.png",4,220,900)</f>
        <v/>
      </c>
    </row>
    <row r="850">
      <c r="A850" t="inlineStr">
        <is>
          <t>chr12</t>
        </is>
      </c>
      <c r="B850" t="n">
        <v>99098767</v>
      </c>
      <c r="C850" t="inlineStr">
        <is>
          <t>C</t>
        </is>
      </c>
      <c r="D850" t="inlineStr">
        <is>
          <t>T</t>
        </is>
      </c>
      <c r="E850" t="inlineStr">
        <is>
          <t>rs10860390</t>
        </is>
      </c>
      <c r="F850" t="n">
        <v>-0.0367629886</v>
      </c>
      <c r="G850" t="n">
        <v>0.1277258584081859</v>
      </c>
      <c r="H850" t="n">
        <v>0.0115964533665388</v>
      </c>
      <c r="I850" t="n">
        <v>0.3644911316093749</v>
      </c>
      <c r="J850" t="n">
        <v>0.3448142829586128</v>
      </c>
      <c r="K850" t="n">
        <v>0.2213007476639142</v>
      </c>
      <c r="L850" t="b">
        <v>0</v>
      </c>
      <c r="M850" t="b">
        <v>0</v>
      </c>
      <c r="N850" t="inlineStr">
        <is>
          <t>ref</t>
        </is>
      </c>
      <c r="O850" t="n">
        <v>-50</v>
      </c>
      <c r="P850" t="n">
        <v>0.05127</v>
      </c>
      <c r="Q850" t="n">
        <v>70</v>
      </c>
      <c r="R850" t="n">
        <v>0.1594</v>
      </c>
      <c r="S850">
        <f>IMAGE("https://mitra.stanford.edu/kundaje/oak/projects/neuro-variants/variant_position/credible/roussos_2024/variant_figures/roussos_2024.adolescence.GLU/rs10860390_count_position.png",4,220,900)</f>
        <v/>
      </c>
      <c r="T850">
        <f>IMAGE("https://mitra.stanford.edu/kundaje/oak/projects/neuro-variants/variant_position/credible/roussos_2024/variant_figures/roussos_2024.adolescence.GLU/rs10860390_profile_position.png",4,220,900)</f>
        <v/>
      </c>
    </row>
    <row r="851">
      <c r="A851" t="inlineStr">
        <is>
          <t>chr12</t>
        </is>
      </c>
      <c r="B851" t="n">
        <v>99099957</v>
      </c>
      <c r="C851" t="inlineStr">
        <is>
          <t>G</t>
        </is>
      </c>
      <c r="D851" t="inlineStr">
        <is>
          <t>C</t>
        </is>
      </c>
      <c r="E851" t="inlineStr">
        <is>
          <t>rs10745841</t>
        </is>
      </c>
      <c r="F851" t="n">
        <v>-0.0054335014</v>
      </c>
      <c r="G851" t="n">
        <v>0.6130592469389141</v>
      </c>
      <c r="H851" t="n">
        <v>0.006702530638184</v>
      </c>
      <c r="I851" t="n">
        <v>0.9230812930184158</v>
      </c>
      <c r="J851" t="n">
        <v>0.0955726543355408</v>
      </c>
      <c r="K851" t="n">
        <v>0.5851480914821124</v>
      </c>
      <c r="L851" t="b">
        <v>0</v>
      </c>
      <c r="M851" t="b">
        <v>0</v>
      </c>
      <c r="N851" t="inlineStr">
        <is>
          <t>ref</t>
        </is>
      </c>
      <c r="O851" t="n">
        <v>-85</v>
      </c>
      <c r="P851" t="n">
        <v>0.02528</v>
      </c>
      <c r="Q851" t="n">
        <v>25</v>
      </c>
      <c r="R851" t="n">
        <v>0.0117</v>
      </c>
      <c r="S851">
        <f>IMAGE("https://mitra.stanford.edu/kundaje/oak/projects/neuro-variants/variant_position/credible/roussos_2024/variant_figures/roussos_2024.adolescence.GLU/rs10745841_count_position.png",4,220,900)</f>
        <v/>
      </c>
      <c r="T851">
        <f>IMAGE("https://mitra.stanford.edu/kundaje/oak/projects/neuro-variants/variant_position/credible/roussos_2024/variant_figures/roussos_2024.adolescence.GLU/rs10745841_profile_position.png",4,220,900)</f>
        <v/>
      </c>
    </row>
    <row r="852">
      <c r="A852" t="inlineStr">
        <is>
          <t>chr12</t>
        </is>
      </c>
      <c r="B852" t="n">
        <v>103913338</v>
      </c>
      <c r="C852" t="inlineStr">
        <is>
          <t>A</t>
        </is>
      </c>
      <c r="D852" t="inlineStr">
        <is>
          <t>C</t>
        </is>
      </c>
      <c r="E852" t="inlineStr">
        <is>
          <t>rs80096598</t>
        </is>
      </c>
      <c r="F852" t="n">
        <v>0.1168324364</v>
      </c>
      <c r="G852" t="n">
        <v>0.0070534641538766</v>
      </c>
      <c r="H852" t="n">
        <v>0.0352742075668229</v>
      </c>
      <c r="I852" t="n">
        <v>0.0066316335823391</v>
      </c>
      <c r="J852" t="n">
        <v>0.3164141143522587</v>
      </c>
      <c r="K852" t="n">
        <v>0.2480447953279849</v>
      </c>
      <c r="L852" t="b">
        <v>1</v>
      </c>
      <c r="M852" t="b">
        <v>1</v>
      </c>
      <c r="N852" t="inlineStr">
        <is>
          <t>alt</t>
        </is>
      </c>
      <c r="O852" t="n">
        <v>80</v>
      </c>
      <c r="P852" t="n">
        <v>0.006897</v>
      </c>
      <c r="Q852" t="n">
        <v>70</v>
      </c>
      <c r="R852" t="n">
        <v>0.0559</v>
      </c>
      <c r="S852">
        <f>IMAGE("https://mitra.stanford.edu/kundaje/oak/projects/neuro-variants/variant_position/credible/roussos_2024/variant_figures/roussos_2024.adolescence.GLU/rs80096598_count_position.png",4,220,900)</f>
        <v/>
      </c>
      <c r="T852">
        <f>IMAGE("https://mitra.stanford.edu/kundaje/oak/projects/neuro-variants/variant_position/credible/roussos_2024/variant_figures/roussos_2024.adolescence.GLU/rs80096598_profile_position.png",4,220,900)</f>
        <v/>
      </c>
    </row>
    <row r="853">
      <c r="A853" t="inlineStr">
        <is>
          <t>chr12</t>
        </is>
      </c>
      <c r="B853" t="n">
        <v>103948094</v>
      </c>
      <c r="C853" t="inlineStr">
        <is>
          <t>G</t>
        </is>
      </c>
      <c r="D853" t="inlineStr">
        <is>
          <t>A</t>
        </is>
      </c>
      <c r="E853" t="inlineStr">
        <is>
          <t>rs117856328</t>
        </is>
      </c>
      <c r="F853" t="n">
        <v>-0.0535995437999999</v>
      </c>
      <c r="G853" t="n">
        <v>0.0570214345751611</v>
      </c>
      <c r="H853" t="n">
        <v>0.0090292487158959</v>
      </c>
      <c r="I853" t="n">
        <v>0.6602220151254424</v>
      </c>
      <c r="J853" t="n">
        <v>0.09912481871244749</v>
      </c>
      <c r="K853" t="n">
        <v>0.5722047621510096</v>
      </c>
      <c r="L853" t="b">
        <v>0</v>
      </c>
      <c r="M853" t="b">
        <v>0</v>
      </c>
      <c r="N853" t="inlineStr">
        <is>
          <t>ref</t>
        </is>
      </c>
      <c r="O853" t="n">
        <v>85</v>
      </c>
      <c r="P853" t="n">
        <v>0.004498</v>
      </c>
      <c r="Q853" t="n">
        <v>100</v>
      </c>
      <c r="R853" t="n">
        <v>0.04895</v>
      </c>
      <c r="S853">
        <f>IMAGE("https://mitra.stanford.edu/kundaje/oak/projects/neuro-variants/variant_position/credible/roussos_2024/variant_figures/roussos_2024.adolescence.GLU/rs117856328_count_position.png",4,220,900)</f>
        <v/>
      </c>
      <c r="T853">
        <f>IMAGE("https://mitra.stanford.edu/kundaje/oak/projects/neuro-variants/variant_position/credible/roussos_2024/variant_figures/roussos_2024.adolescence.GLU/rs117856328_profile_position.png",4,220,900)</f>
        <v/>
      </c>
    </row>
    <row r="854">
      <c r="A854" t="inlineStr">
        <is>
          <t>chr12</t>
        </is>
      </c>
      <c r="B854" t="n">
        <v>103962513</v>
      </c>
      <c r="C854" t="inlineStr">
        <is>
          <t>T</t>
        </is>
      </c>
      <c r="D854" t="inlineStr">
        <is>
          <t>C</t>
        </is>
      </c>
      <c r="E854" t="inlineStr">
        <is>
          <t>rs77165492</t>
        </is>
      </c>
      <c r="F854" t="n">
        <v>0.0073103636</v>
      </c>
      <c r="G854" t="n">
        <v>0.60285417405049</v>
      </c>
      <c r="H854" t="n">
        <v>0.007932682497871799</v>
      </c>
      <c r="I854" t="n">
        <v>0.7801827683592865</v>
      </c>
      <c r="J854" t="n">
        <v>0.2182623543448285</v>
      </c>
      <c r="K854" t="n">
        <v>0.3638550319791764</v>
      </c>
      <c r="L854" t="b">
        <v>0</v>
      </c>
      <c r="M854" t="b">
        <v>0</v>
      </c>
      <c r="N854" t="inlineStr">
        <is>
          <t>alt</t>
        </is>
      </c>
      <c r="O854" t="n">
        <v>100</v>
      </c>
      <c r="P854" t="n">
        <v>0.02322</v>
      </c>
      <c r="Q854" t="n">
        <v>100</v>
      </c>
      <c r="R854" t="n">
        <v>0.06419999999999999</v>
      </c>
      <c r="S854">
        <f>IMAGE("https://mitra.stanford.edu/kundaje/oak/projects/neuro-variants/variant_position/credible/roussos_2024/variant_figures/roussos_2024.adolescence.GLU/rs77165492_count_position.png",4,220,900)</f>
        <v/>
      </c>
      <c r="T854">
        <f>IMAGE("https://mitra.stanford.edu/kundaje/oak/projects/neuro-variants/variant_position/credible/roussos_2024/variant_figures/roussos_2024.adolescence.GLU/rs77165492_profile_position.png",4,220,900)</f>
        <v/>
      </c>
    </row>
    <row r="855">
      <c r="A855" t="inlineStr">
        <is>
          <t>chr12</t>
        </is>
      </c>
      <c r="B855" t="n">
        <v>103964469</v>
      </c>
      <c r="C855" t="inlineStr">
        <is>
          <t>C</t>
        </is>
      </c>
      <c r="D855" t="inlineStr">
        <is>
          <t>A</t>
        </is>
      </c>
      <c r="E855" t="inlineStr">
        <is>
          <t>rs76093694</t>
        </is>
      </c>
      <c r="F855" t="n">
        <v>0.0025271460999999</v>
      </c>
      <c r="G855" t="n">
        <v>0.7741779788025506</v>
      </c>
      <c r="H855" t="n">
        <v>0.009926690007083501</v>
      </c>
      <c r="I855" t="n">
        <v>0.5377925343598764</v>
      </c>
      <c r="J855" t="n">
        <v>0.1860028148687942</v>
      </c>
      <c r="K855" t="n">
        <v>0.4260794831610293</v>
      </c>
      <c r="L855" t="b">
        <v>0</v>
      </c>
      <c r="M855" t="b">
        <v>0</v>
      </c>
      <c r="N855" t="inlineStr">
        <is>
          <t>alt</t>
        </is>
      </c>
      <c r="O855" t="n">
        <v>95</v>
      </c>
      <c r="P855" t="n">
        <v>0.006516</v>
      </c>
      <c r="Q855" t="n">
        <v>30</v>
      </c>
      <c r="R855" t="n">
        <v>0.0532</v>
      </c>
      <c r="S855">
        <f>IMAGE("https://mitra.stanford.edu/kundaje/oak/projects/neuro-variants/variant_position/credible/roussos_2024/variant_figures/roussos_2024.adolescence.GLU/rs76093694_count_position.png",4,220,900)</f>
        <v/>
      </c>
      <c r="T855">
        <f>IMAGE("https://mitra.stanford.edu/kundaje/oak/projects/neuro-variants/variant_position/credible/roussos_2024/variant_figures/roussos_2024.adolescence.GLU/rs76093694_profile_position.png",4,220,900)</f>
        <v/>
      </c>
    </row>
    <row r="856">
      <c r="A856" t="inlineStr">
        <is>
          <t>chr12</t>
        </is>
      </c>
      <c r="B856" t="n">
        <v>104158934</v>
      </c>
      <c r="C856" t="inlineStr">
        <is>
          <t>G</t>
        </is>
      </c>
      <c r="D856" t="inlineStr">
        <is>
          <t>T</t>
        </is>
      </c>
      <c r="E856" t="inlineStr">
        <is>
          <t>rs12582033</t>
        </is>
      </c>
      <c r="F856" t="n">
        <v>0.0038986820639999</v>
      </c>
      <c r="G856" t="n">
        <v>0.7499166575323308</v>
      </c>
      <c r="H856" t="n">
        <v>0.0292769750976415</v>
      </c>
      <c r="I856" t="n">
        <v>0.009541048715422801</v>
      </c>
      <c r="J856" t="n">
        <v>0.0041465732187381</v>
      </c>
      <c r="K856" t="n">
        <v>0.9298736937322706</v>
      </c>
      <c r="L856" t="b">
        <v>0</v>
      </c>
      <c r="M856" t="b">
        <v>0</v>
      </c>
      <c r="N856" t="inlineStr">
        <is>
          <t>alt</t>
        </is>
      </c>
      <c r="O856" t="n">
        <v>80</v>
      </c>
      <c r="P856" t="n">
        <v>0.01563</v>
      </c>
      <c r="Q856" t="n">
        <v>65</v>
      </c>
      <c r="R856" t="n">
        <v>0.008149999999999999</v>
      </c>
      <c r="S856">
        <f>IMAGE("https://mitra.stanford.edu/kundaje/oak/projects/neuro-variants/variant_position/credible/roussos_2024/variant_figures/roussos_2024.adolescence.GLU/rs12582033_count_position.png",4,220,900)</f>
        <v/>
      </c>
      <c r="T856">
        <f>IMAGE("https://mitra.stanford.edu/kundaje/oak/projects/neuro-variants/variant_position/credible/roussos_2024/variant_figures/roussos_2024.adolescence.GLU/rs12582033_profile_position.png",4,220,900)</f>
        <v/>
      </c>
    </row>
    <row r="857">
      <c r="A857" t="inlineStr">
        <is>
          <t>chr12</t>
        </is>
      </c>
      <c r="B857" t="n">
        <v>104165950</v>
      </c>
      <c r="C857" t="inlineStr">
        <is>
          <t>G</t>
        </is>
      </c>
      <c r="D857" t="inlineStr">
        <is>
          <t>A</t>
        </is>
      </c>
      <c r="E857" t="inlineStr">
        <is>
          <t>rs77743764</t>
        </is>
      </c>
      <c r="F857" t="n">
        <v>-0.145800718</v>
      </c>
      <c r="G857" t="n">
        <v>0.002694382016527</v>
      </c>
      <c r="H857" t="n">
        <v>0.0335169852034794</v>
      </c>
      <c r="I857" t="n">
        <v>0.0072238589158497</v>
      </c>
      <c r="J857" t="n">
        <v>0.1727915068121253</v>
      </c>
      <c r="K857" t="n">
        <v>0.4460426926697137</v>
      </c>
      <c r="L857" t="b">
        <v>1</v>
      </c>
      <c r="M857" t="b">
        <v>1</v>
      </c>
      <c r="N857" t="inlineStr">
        <is>
          <t>ref</t>
        </is>
      </c>
      <c r="O857" t="n">
        <v>-100</v>
      </c>
      <c r="P857" t="n">
        <v>0.007362</v>
      </c>
      <c r="Q857" t="n">
        <v>50</v>
      </c>
      <c r="R857" t="n">
        <v>0.04022</v>
      </c>
      <c r="S857">
        <f>IMAGE("https://mitra.stanford.edu/kundaje/oak/projects/neuro-variants/variant_position/credible/roussos_2024/variant_figures/roussos_2024.adolescence.GLU/rs77743764_count_position.png",4,220,900)</f>
        <v/>
      </c>
      <c r="T857">
        <f>IMAGE("https://mitra.stanford.edu/kundaje/oak/projects/neuro-variants/variant_position/credible/roussos_2024/variant_figures/roussos_2024.adolescence.GLU/rs77743764_profile_position.png",4,220,900)</f>
        <v/>
      </c>
    </row>
    <row r="858">
      <c r="A858" t="inlineStr">
        <is>
          <t>chr12</t>
        </is>
      </c>
      <c r="B858" t="n">
        <v>104172873</v>
      </c>
      <c r="C858" t="inlineStr">
        <is>
          <t>G</t>
        </is>
      </c>
      <c r="D858" t="inlineStr">
        <is>
          <t>A</t>
        </is>
      </c>
      <c r="E858" t="inlineStr">
        <is>
          <t>rs61939221</t>
        </is>
      </c>
      <c r="F858" t="n">
        <v>0.0212300322599999</v>
      </c>
      <c r="G858" t="n">
        <v>0.2707264849528568</v>
      </c>
      <c r="H858" t="n">
        <v>0.0207400173718335</v>
      </c>
      <c r="I858" t="n">
        <v>0.0509121194070409</v>
      </c>
      <c r="J858" t="n">
        <v>0.5416079044945024</v>
      </c>
      <c r="K858" t="n">
        <v>0.0643193373718229</v>
      </c>
      <c r="L858" t="b">
        <v>0</v>
      </c>
      <c r="M858" t="b">
        <v>0</v>
      </c>
      <c r="N858" t="inlineStr">
        <is>
          <t>alt</t>
        </is>
      </c>
      <c r="O858" t="n">
        <v>-100</v>
      </c>
      <c r="P858" t="n">
        <v>0.01765</v>
      </c>
      <c r="Q858" t="n">
        <v>-45</v>
      </c>
      <c r="R858" t="n">
        <v>0.03815</v>
      </c>
      <c r="S858">
        <f>IMAGE("https://mitra.stanford.edu/kundaje/oak/projects/neuro-variants/variant_position/credible/roussos_2024/variant_figures/roussos_2024.adolescence.GLU/rs61939221_count_position.png",4,220,900)</f>
        <v/>
      </c>
      <c r="T858">
        <f>IMAGE("https://mitra.stanford.edu/kundaje/oak/projects/neuro-variants/variant_position/credible/roussos_2024/variant_figures/roussos_2024.adolescence.GLU/rs61939221_profile_position.png",4,220,900)</f>
        <v/>
      </c>
    </row>
    <row r="859">
      <c r="A859" t="inlineStr">
        <is>
          <t>chr12</t>
        </is>
      </c>
      <c r="B859" t="n">
        <v>104238026</v>
      </c>
      <c r="C859" t="inlineStr">
        <is>
          <t>A</t>
        </is>
      </c>
      <c r="D859" t="inlineStr">
        <is>
          <t>G</t>
        </is>
      </c>
      <c r="E859" t="inlineStr">
        <is>
          <t>rs4609668</t>
        </is>
      </c>
      <c r="F859" t="n">
        <v>0.003825247964</v>
      </c>
      <c r="G859" t="n">
        <v>0.7505105788302542</v>
      </c>
      <c r="H859" t="n">
        <v>0.0284308114222698</v>
      </c>
      <c r="I859" t="n">
        <v>0.0123681600948629</v>
      </c>
      <c r="J859" t="n">
        <v>0.1014481571182601</v>
      </c>
      <c r="K859" t="n">
        <v>0.5817339781909941</v>
      </c>
      <c r="L859" t="b">
        <v>1</v>
      </c>
      <c r="M859" t="b">
        <v>0</v>
      </c>
      <c r="N859" t="inlineStr">
        <is>
          <t>alt</t>
        </is>
      </c>
      <c r="O859" t="n">
        <v>-35</v>
      </c>
      <c r="P859" t="n">
        <v>0.002686</v>
      </c>
      <c r="Q859" t="n">
        <v>-35</v>
      </c>
      <c r="R859" t="n">
        <v>0.03552</v>
      </c>
      <c r="S859">
        <f>IMAGE("https://mitra.stanford.edu/kundaje/oak/projects/neuro-variants/variant_position/credible/roussos_2024/variant_figures/roussos_2024.adolescence.GLU/rs4609668_count_position.png",4,220,900)</f>
        <v/>
      </c>
      <c r="T859">
        <f>IMAGE("https://mitra.stanford.edu/kundaje/oak/projects/neuro-variants/variant_position/credible/roussos_2024/variant_figures/roussos_2024.adolescence.GLU/rs4609668_profile_position.png",4,220,900)</f>
        <v/>
      </c>
    </row>
    <row r="860">
      <c r="A860" t="inlineStr">
        <is>
          <t>chr12</t>
        </is>
      </c>
      <c r="B860" t="n">
        <v>104242823</v>
      </c>
      <c r="C860" t="inlineStr">
        <is>
          <t>G</t>
        </is>
      </c>
      <c r="D860" t="inlineStr">
        <is>
          <t>A</t>
        </is>
      </c>
      <c r="E860" t="inlineStr">
        <is>
          <t>rs4445711</t>
        </is>
      </c>
      <c r="F860" t="n">
        <v>-0.0613232999999999</v>
      </c>
      <c r="G860" t="n">
        <v>0.0400077355635376</v>
      </c>
      <c r="H860" t="n">
        <v>0.0130186113654835</v>
      </c>
      <c r="I860" t="n">
        <v>0.2587218969145967</v>
      </c>
      <c r="J860" t="n">
        <v>0.0880310921548034</v>
      </c>
      <c r="K860" t="n">
        <v>0.6045497084523846</v>
      </c>
      <c r="L860" t="b">
        <v>0</v>
      </c>
      <c r="M860" t="b">
        <v>0</v>
      </c>
      <c r="N860" t="inlineStr">
        <is>
          <t>ref</t>
        </is>
      </c>
      <c r="O860" t="n">
        <v>-100</v>
      </c>
      <c r="P860" t="n">
        <v>0.008255</v>
      </c>
      <c r="Q860" t="n">
        <v>-35</v>
      </c>
      <c r="R860" t="n">
        <v>0.02405</v>
      </c>
      <c r="S860">
        <f>IMAGE("https://mitra.stanford.edu/kundaje/oak/projects/neuro-variants/variant_position/credible/roussos_2024/variant_figures/roussos_2024.adolescence.GLU/rs4445711_count_position.png",4,220,900)</f>
        <v/>
      </c>
      <c r="T860">
        <f>IMAGE("https://mitra.stanford.edu/kundaje/oak/projects/neuro-variants/variant_position/credible/roussos_2024/variant_figures/roussos_2024.adolescence.GLU/rs4445711_profile_position.png",4,220,900)</f>
        <v/>
      </c>
    </row>
    <row r="861">
      <c r="A861" t="inlineStr">
        <is>
          <t>chr12</t>
        </is>
      </c>
      <c r="B861" t="n">
        <v>108148814</v>
      </c>
      <c r="C861" t="inlineStr">
        <is>
          <t>C</t>
        </is>
      </c>
      <c r="D861" t="inlineStr">
        <is>
          <t>A</t>
        </is>
      </c>
      <c r="E861" t="inlineStr">
        <is>
          <t>rs1981936</t>
        </is>
      </c>
      <c r="F861" t="n">
        <v>0.01067494726</v>
      </c>
      <c r="G861" t="n">
        <v>0.4928748708986785</v>
      </c>
      <c r="H861" t="n">
        <v>0.0119022412565512</v>
      </c>
      <c r="I861" t="n">
        <v>0.3295974180119452</v>
      </c>
      <c r="J861" t="n">
        <v>0.2269141465017753</v>
      </c>
      <c r="K861" t="n">
        <v>0.3658298031111177</v>
      </c>
      <c r="L861" t="b">
        <v>0</v>
      </c>
      <c r="M861" t="b">
        <v>0</v>
      </c>
      <c r="N861" t="inlineStr">
        <is>
          <t>alt</t>
        </is>
      </c>
      <c r="O861" t="n">
        <v>100</v>
      </c>
      <c r="P861" t="n">
        <v>0.006874</v>
      </c>
      <c r="Q861" t="n">
        <v>15</v>
      </c>
      <c r="R861" t="n">
        <v>0.005188</v>
      </c>
      <c r="S861">
        <f>IMAGE("https://mitra.stanford.edu/kundaje/oak/projects/neuro-variants/variant_position/credible/roussos_2024/variant_figures/roussos_2024.adolescence.GLU/rs1981936_count_position.png",4,220,900)</f>
        <v/>
      </c>
      <c r="T861">
        <f>IMAGE("https://mitra.stanford.edu/kundaje/oak/projects/neuro-variants/variant_position/credible/roussos_2024/variant_figures/roussos_2024.adolescence.GLU/rs1981936_profile_position.png",4,220,900)</f>
        <v/>
      </c>
    </row>
    <row r="862">
      <c r="A862" t="inlineStr">
        <is>
          <t>chr12</t>
        </is>
      </c>
      <c r="B862" t="n">
        <v>108166550</v>
      </c>
      <c r="C862" t="inlineStr">
        <is>
          <t>G</t>
        </is>
      </c>
      <c r="D862" t="inlineStr">
        <is>
          <t>A</t>
        </is>
      </c>
      <c r="E862" t="inlineStr">
        <is>
          <t>rs7976025</t>
        </is>
      </c>
      <c r="F862" t="n">
        <v>-0.0768287668</v>
      </c>
      <c r="G862" t="n">
        <v>0.0206826120929486</v>
      </c>
      <c r="H862" t="n">
        <v>0.0162326207307273</v>
      </c>
      <c r="I862" t="n">
        <v>0.1408006274580241</v>
      </c>
      <c r="J862" t="n">
        <v>0.1988897700237906</v>
      </c>
      <c r="K862" t="n">
        <v>0.4046049482732052</v>
      </c>
      <c r="L862" t="b">
        <v>1</v>
      </c>
      <c r="M862" t="b">
        <v>0</v>
      </c>
      <c r="N862" t="inlineStr">
        <is>
          <t>ref</t>
        </is>
      </c>
      <c r="O862" t="n">
        <v>100</v>
      </c>
      <c r="P862" t="n">
        <v>0.012596</v>
      </c>
      <c r="Q862" t="n">
        <v>-65</v>
      </c>
      <c r="R862" t="n">
        <v>0.05212</v>
      </c>
      <c r="S862">
        <f>IMAGE("https://mitra.stanford.edu/kundaje/oak/projects/neuro-variants/variant_position/credible/roussos_2024/variant_figures/roussos_2024.adolescence.GLU/rs7976025_count_position.png",4,220,900)</f>
        <v/>
      </c>
      <c r="T862">
        <f>IMAGE("https://mitra.stanford.edu/kundaje/oak/projects/neuro-variants/variant_position/credible/roussos_2024/variant_figures/roussos_2024.adolescence.GLU/rs7976025_profile_position.png",4,220,900)</f>
        <v/>
      </c>
    </row>
    <row r="863">
      <c r="A863" t="inlineStr">
        <is>
          <t>chr12</t>
        </is>
      </c>
      <c r="B863" t="n">
        <v>108166873</v>
      </c>
      <c r="C863" t="inlineStr">
        <is>
          <t>A</t>
        </is>
      </c>
      <c r="D863" t="inlineStr">
        <is>
          <t>G</t>
        </is>
      </c>
      <c r="E863" t="inlineStr">
        <is>
          <t>rs10778611</t>
        </is>
      </c>
      <c r="F863" t="n">
        <v>0.065233864</v>
      </c>
      <c r="G863" t="n">
        <v>0.0258702189765729</v>
      </c>
      <c r="H863" t="n">
        <v>0.011834583509561</v>
      </c>
      <c r="I863" t="n">
        <v>0.3300841244474118</v>
      </c>
      <c r="J863" t="n">
        <v>0.2266040822741853</v>
      </c>
      <c r="K863" t="n">
        <v>0.3657982974721698</v>
      </c>
      <c r="L863" t="b">
        <v>0</v>
      </c>
      <c r="M863" t="b">
        <v>0</v>
      </c>
      <c r="N863" t="inlineStr">
        <is>
          <t>alt</t>
        </is>
      </c>
      <c r="O863" t="n">
        <v>-100</v>
      </c>
      <c r="P863" t="n">
        <v>0.00421</v>
      </c>
      <c r="Q863" t="n">
        <v>100</v>
      </c>
      <c r="R863" t="n">
        <v>0.05475</v>
      </c>
      <c r="S863">
        <f>IMAGE("https://mitra.stanford.edu/kundaje/oak/projects/neuro-variants/variant_position/credible/roussos_2024/variant_figures/roussos_2024.adolescence.GLU/rs10778611_count_position.png",4,220,900)</f>
        <v/>
      </c>
      <c r="T863">
        <f>IMAGE("https://mitra.stanford.edu/kundaje/oak/projects/neuro-variants/variant_position/credible/roussos_2024/variant_figures/roussos_2024.adolescence.GLU/rs10778611_profile_position.png",4,220,900)</f>
        <v/>
      </c>
    </row>
    <row r="864">
      <c r="A864" t="inlineStr">
        <is>
          <t>chr12</t>
        </is>
      </c>
      <c r="B864" t="n">
        <v>108174245</v>
      </c>
      <c r="C864" t="inlineStr">
        <is>
          <t>A</t>
        </is>
      </c>
      <c r="D864" t="inlineStr">
        <is>
          <t>G</t>
        </is>
      </c>
      <c r="E864" t="inlineStr">
        <is>
          <t>rs4964233</t>
        </is>
      </c>
      <c r="F864" t="n">
        <v>0.0379747408</v>
      </c>
      <c r="G864" t="n">
        <v>0.1091419028754338</v>
      </c>
      <c r="H864" t="n">
        <v>0.0101798500423051</v>
      </c>
      <c r="I864" t="n">
        <v>0.5169788810422669</v>
      </c>
      <c r="J864" t="n">
        <v>0.4287831050717648</v>
      </c>
      <c r="K864" t="n">
        <v>0.1429261383658343</v>
      </c>
      <c r="L864" t="b">
        <v>0</v>
      </c>
      <c r="M864" t="b">
        <v>0</v>
      </c>
      <c r="N864" t="inlineStr">
        <is>
          <t>alt</t>
        </is>
      </c>
      <c r="O864" t="n">
        <v>-65</v>
      </c>
      <c r="P864" t="n">
        <v>0.001781</v>
      </c>
      <c r="Q864" t="n">
        <v>-90</v>
      </c>
      <c r="R864" t="n">
        <v>0.02411</v>
      </c>
      <c r="S864">
        <f>IMAGE("https://mitra.stanford.edu/kundaje/oak/projects/neuro-variants/variant_position/credible/roussos_2024/variant_figures/roussos_2024.adolescence.GLU/rs4964233_count_position.png",4,220,900)</f>
        <v/>
      </c>
      <c r="T864">
        <f>IMAGE("https://mitra.stanford.edu/kundaje/oak/projects/neuro-variants/variant_position/credible/roussos_2024/variant_figures/roussos_2024.adolescence.GLU/rs4964233_profile_position.png",4,220,900)</f>
        <v/>
      </c>
    </row>
    <row r="865">
      <c r="A865" t="inlineStr">
        <is>
          <t>chr12</t>
        </is>
      </c>
      <c r="B865" t="n">
        <v>108181786</v>
      </c>
      <c r="C865" t="inlineStr">
        <is>
          <t>A</t>
        </is>
      </c>
      <c r="D865" t="inlineStr">
        <is>
          <t>G</t>
        </is>
      </c>
      <c r="E865" t="inlineStr">
        <is>
          <t>rs2374969</t>
        </is>
      </c>
      <c r="F865" t="n">
        <v>0.0571017856</v>
      </c>
      <c r="G865" t="n">
        <v>0.0430141433659621</v>
      </c>
      <c r="H865" t="n">
        <v>0.009060066651494199</v>
      </c>
      <c r="I865" t="n">
        <v>0.6622443253644426</v>
      </c>
      <c r="J865" t="n">
        <v>0.2850276128626643</v>
      </c>
      <c r="K865" t="n">
        <v>0.2893962451888486</v>
      </c>
      <c r="L865" t="b">
        <v>0</v>
      </c>
      <c r="M865" t="b">
        <v>0</v>
      </c>
      <c r="N865" t="inlineStr">
        <is>
          <t>alt</t>
        </is>
      </c>
      <c r="O865" t="n">
        <v>-50</v>
      </c>
      <c r="P865" t="n">
        <v>0.00463</v>
      </c>
      <c r="Q865" t="n">
        <v>95</v>
      </c>
      <c r="R865" t="n">
        <v>0.0558</v>
      </c>
      <c r="S865">
        <f>IMAGE("https://mitra.stanford.edu/kundaje/oak/projects/neuro-variants/variant_position/credible/roussos_2024/variant_figures/roussos_2024.adolescence.GLU/rs2374969_count_position.png",4,220,900)</f>
        <v/>
      </c>
      <c r="T865">
        <f>IMAGE("https://mitra.stanford.edu/kundaje/oak/projects/neuro-variants/variant_position/credible/roussos_2024/variant_figures/roussos_2024.adolescence.GLU/rs2374969_profile_position.png",4,220,900)</f>
        <v/>
      </c>
    </row>
    <row r="866">
      <c r="A866" t="inlineStr">
        <is>
          <t>chr12</t>
        </is>
      </c>
      <c r="B866" t="n">
        <v>108182784</v>
      </c>
      <c r="C866" t="inlineStr">
        <is>
          <t>G</t>
        </is>
      </c>
      <c r="D866" t="inlineStr">
        <is>
          <t>A</t>
        </is>
      </c>
      <c r="E866" t="inlineStr">
        <is>
          <t>rs10778612</t>
        </is>
      </c>
      <c r="F866" t="n">
        <v>-0.0034402465399999</v>
      </c>
      <c r="G866" t="n">
        <v>0.7216110252178406</v>
      </c>
      <c r="H866" t="n">
        <v>0.008705488978271199</v>
      </c>
      <c r="I866" t="n">
        <v>0.6904497005433219</v>
      </c>
      <c r="J866" t="n">
        <v>0.1940244764987032</v>
      </c>
      <c r="K866" t="n">
        <v>0.4122808554462049</v>
      </c>
      <c r="L866" t="b">
        <v>0</v>
      </c>
      <c r="M866" t="b">
        <v>0</v>
      </c>
      <c r="N866" t="inlineStr">
        <is>
          <t>ref</t>
        </is>
      </c>
      <c r="O866" t="n">
        <v>-55</v>
      </c>
      <c r="P866" t="n">
        <v>0.003532</v>
      </c>
      <c r="Q866" t="n">
        <v>-45</v>
      </c>
      <c r="R866" t="n">
        <v>0.0242</v>
      </c>
      <c r="S866">
        <f>IMAGE("https://mitra.stanford.edu/kundaje/oak/projects/neuro-variants/variant_position/credible/roussos_2024/variant_figures/roussos_2024.adolescence.GLU/rs10778612_count_position.png",4,220,900)</f>
        <v/>
      </c>
      <c r="T866">
        <f>IMAGE("https://mitra.stanford.edu/kundaje/oak/projects/neuro-variants/variant_position/credible/roussos_2024/variant_figures/roussos_2024.adolescence.GLU/rs10778612_profile_position.png",4,220,900)</f>
        <v/>
      </c>
    </row>
    <row r="867">
      <c r="A867" t="inlineStr">
        <is>
          <t>chr12</t>
        </is>
      </c>
      <c r="B867" t="n">
        <v>108183046</v>
      </c>
      <c r="C867" t="inlineStr">
        <is>
          <t>A</t>
        </is>
      </c>
      <c r="D867" t="inlineStr">
        <is>
          <t>G</t>
        </is>
      </c>
      <c r="E867" t="inlineStr">
        <is>
          <t>rs10778613</t>
        </is>
      </c>
      <c r="F867" t="n">
        <v>0.085906422</v>
      </c>
      <c r="G867" t="n">
        <v>0.011923276197033</v>
      </c>
      <c r="H867" t="n">
        <v>0.0140349151485055</v>
      </c>
      <c r="I867" t="n">
        <v>0.2177284982306656</v>
      </c>
      <c r="J867" t="n">
        <v>0.1874016760614698</v>
      </c>
      <c r="K867" t="n">
        <v>0.4237132995857224</v>
      </c>
      <c r="L867" t="b">
        <v>1</v>
      </c>
      <c r="M867" t="b">
        <v>0</v>
      </c>
      <c r="N867" t="inlineStr">
        <is>
          <t>alt</t>
        </is>
      </c>
      <c r="O867" t="n">
        <v>-100</v>
      </c>
      <c r="P867" t="n">
        <v>0.013596</v>
      </c>
      <c r="Q867" t="n">
        <v>-75</v>
      </c>
      <c r="R867" t="n">
        <v>0.04388</v>
      </c>
      <c r="S867">
        <f>IMAGE("https://mitra.stanford.edu/kundaje/oak/projects/neuro-variants/variant_position/credible/roussos_2024/variant_figures/roussos_2024.adolescence.GLU/rs10778613_count_position.png",4,220,900)</f>
        <v/>
      </c>
      <c r="T867">
        <f>IMAGE("https://mitra.stanford.edu/kundaje/oak/projects/neuro-variants/variant_position/credible/roussos_2024/variant_figures/roussos_2024.adolescence.GLU/rs10778613_profile_position.png",4,220,900)</f>
        <v/>
      </c>
    </row>
    <row r="868">
      <c r="A868" t="inlineStr">
        <is>
          <t>chr12</t>
        </is>
      </c>
      <c r="B868" t="n">
        <v>108187169</v>
      </c>
      <c r="C868" t="inlineStr">
        <is>
          <t>G</t>
        </is>
      </c>
      <c r="D868" t="inlineStr">
        <is>
          <t>A</t>
        </is>
      </c>
      <c r="E868" t="inlineStr">
        <is>
          <t>rs2162290</t>
        </is>
      </c>
      <c r="F868" t="n">
        <v>-0.077196087</v>
      </c>
      <c r="G868" t="n">
        <v>0.0200877310342211</v>
      </c>
      <c r="H868" t="n">
        <v>0.0134314661313132</v>
      </c>
      <c r="I868" t="n">
        <v>0.2362621540719474</v>
      </c>
      <c r="J868" t="n">
        <v>0.1345678747740603</v>
      </c>
      <c r="K868" t="n">
        <v>0.5121211880404926</v>
      </c>
      <c r="L868" t="b">
        <v>1</v>
      </c>
      <c r="M868" t="b">
        <v>0</v>
      </c>
      <c r="N868" t="inlineStr">
        <is>
          <t>ref</t>
        </is>
      </c>
      <c r="O868" t="n">
        <v>-75</v>
      </c>
      <c r="P868" t="n">
        <v>0.000839</v>
      </c>
      <c r="Q868" t="n">
        <v>-35</v>
      </c>
      <c r="R868" t="n">
        <v>0.01904</v>
      </c>
      <c r="S868">
        <f>IMAGE("https://mitra.stanford.edu/kundaje/oak/projects/neuro-variants/variant_position/credible/roussos_2024/variant_figures/roussos_2024.adolescence.GLU/rs2162290_count_position.png",4,220,900)</f>
        <v/>
      </c>
      <c r="T868">
        <f>IMAGE("https://mitra.stanford.edu/kundaje/oak/projects/neuro-variants/variant_position/credible/roussos_2024/variant_figures/roussos_2024.adolescence.GLU/rs2162290_profile_position.png",4,220,900)</f>
        <v/>
      </c>
    </row>
    <row r="869">
      <c r="A869" t="inlineStr">
        <is>
          <t>chr12</t>
        </is>
      </c>
      <c r="B869" t="n">
        <v>108192050</v>
      </c>
      <c r="C869" t="inlineStr">
        <is>
          <t>A</t>
        </is>
      </c>
      <c r="D869" t="inlineStr">
        <is>
          <t>G</t>
        </is>
      </c>
      <c r="E869" t="inlineStr">
        <is>
          <t>rs1365309</t>
        </is>
      </c>
      <c r="F869" t="n">
        <v>-0.0119972</v>
      </c>
      <c r="G869" t="n">
        <v>0.4670567735672677</v>
      </c>
      <c r="H869" t="n">
        <v>0.012853115710765</v>
      </c>
      <c r="I869" t="n">
        <v>0.2830318730010593</v>
      </c>
      <c r="J869" t="n">
        <v>0.3584313893592244</v>
      </c>
      <c r="K869" t="n">
        <v>0.2075187958518344</v>
      </c>
      <c r="L869" t="b">
        <v>0</v>
      </c>
      <c r="M869" t="b">
        <v>0</v>
      </c>
      <c r="N869" t="inlineStr">
        <is>
          <t>ref</t>
        </is>
      </c>
      <c r="O869" t="n">
        <v>-45</v>
      </c>
      <c r="P869" t="n">
        <v>0.000553</v>
      </c>
      <c r="Q869" t="n">
        <v>5</v>
      </c>
      <c r="R869" t="n">
        <v>0.0119</v>
      </c>
      <c r="S869">
        <f>IMAGE("https://mitra.stanford.edu/kundaje/oak/projects/neuro-variants/variant_position/credible/roussos_2024/variant_figures/roussos_2024.adolescence.GLU/rs1365309_count_position.png",4,220,900)</f>
        <v/>
      </c>
      <c r="T869">
        <f>IMAGE("https://mitra.stanford.edu/kundaje/oak/projects/neuro-variants/variant_position/credible/roussos_2024/variant_figures/roussos_2024.adolescence.GLU/rs1365309_profile_position.png",4,220,900)</f>
        <v/>
      </c>
    </row>
    <row r="870">
      <c r="A870" t="inlineStr">
        <is>
          <t>chr12</t>
        </is>
      </c>
      <c r="B870" t="n">
        <v>108206460</v>
      </c>
      <c r="C870" t="inlineStr">
        <is>
          <t>A</t>
        </is>
      </c>
      <c r="D870" t="inlineStr">
        <is>
          <t>G</t>
        </is>
      </c>
      <c r="E870" t="inlineStr">
        <is>
          <t>rs1106752</t>
        </is>
      </c>
      <c r="F870" t="n">
        <v>0.08921217519999999</v>
      </c>
      <c r="G870" t="n">
        <v>0.0110771744125405</v>
      </c>
      <c r="H870" t="n">
        <v>0.0199068711552491</v>
      </c>
      <c r="I870" t="n">
        <v>0.0593673622362904</v>
      </c>
      <c r="J870" t="n">
        <v>0.3995670531753005</v>
      </c>
      <c r="K870" t="n">
        <v>0.1672123477918494</v>
      </c>
      <c r="L870" t="b">
        <v>1</v>
      </c>
      <c r="M870" t="b">
        <v>0</v>
      </c>
      <c r="N870" t="inlineStr">
        <is>
          <t>alt</t>
        </is>
      </c>
      <c r="O870" t="n">
        <v>10</v>
      </c>
      <c r="P870" t="n">
        <v>0.0007477</v>
      </c>
      <c r="Q870" t="n">
        <v>-55</v>
      </c>
      <c r="R870" t="n">
        <v>0.01953</v>
      </c>
      <c r="S870">
        <f>IMAGE("https://mitra.stanford.edu/kundaje/oak/projects/neuro-variants/variant_position/credible/roussos_2024/variant_figures/roussos_2024.adolescence.GLU/rs1106752_count_position.png",4,220,900)</f>
        <v/>
      </c>
      <c r="T870">
        <f>IMAGE("https://mitra.stanford.edu/kundaje/oak/projects/neuro-variants/variant_position/credible/roussos_2024/variant_figures/roussos_2024.adolescence.GLU/rs1106752_profile_position.png",4,220,900)</f>
        <v/>
      </c>
    </row>
    <row r="871">
      <c r="A871" t="inlineStr">
        <is>
          <t>chr12</t>
        </is>
      </c>
      <c r="B871" t="n">
        <v>108208133</v>
      </c>
      <c r="C871" t="inlineStr">
        <is>
          <t>G</t>
        </is>
      </c>
      <c r="D871" t="inlineStr">
        <is>
          <t>A</t>
        </is>
      </c>
      <c r="E871" t="inlineStr">
        <is>
          <t>rs7973976</t>
        </is>
      </c>
      <c r="F871" t="n">
        <v>0.0109819559</v>
      </c>
      <c r="G871" t="n">
        <v>0.4833467467092512</v>
      </c>
      <c r="H871" t="n">
        <v>0.0136977855636232</v>
      </c>
      <c r="I871" t="n">
        <v>0.2335258416787931</v>
      </c>
      <c r="J871" t="n">
        <v>0.0937265576440833</v>
      </c>
      <c r="K871" t="n">
        <v>0.593393433554684</v>
      </c>
      <c r="L871" t="b">
        <v>0</v>
      </c>
      <c r="M871" t="b">
        <v>0</v>
      </c>
      <c r="N871" t="inlineStr">
        <is>
          <t>alt</t>
        </is>
      </c>
      <c r="O871" t="n">
        <v>20</v>
      </c>
      <c r="P871" t="n">
        <v>0.001165</v>
      </c>
      <c r="Q871" t="n">
        <v>-100</v>
      </c>
      <c r="R871" t="n">
        <v>0.06569999999999999</v>
      </c>
      <c r="S871">
        <f>IMAGE("https://mitra.stanford.edu/kundaje/oak/projects/neuro-variants/variant_position/credible/roussos_2024/variant_figures/roussos_2024.adolescence.GLU/rs7973976_count_position.png",4,220,900)</f>
        <v/>
      </c>
      <c r="T871">
        <f>IMAGE("https://mitra.stanford.edu/kundaje/oak/projects/neuro-variants/variant_position/credible/roussos_2024/variant_figures/roussos_2024.adolescence.GLU/rs7973976_profile_position.png",4,220,900)</f>
        <v/>
      </c>
    </row>
    <row r="872">
      <c r="A872" t="inlineStr">
        <is>
          <t>chr12</t>
        </is>
      </c>
      <c r="B872" t="n">
        <v>108209193</v>
      </c>
      <c r="C872" t="inlineStr">
        <is>
          <t>C</t>
        </is>
      </c>
      <c r="D872" t="inlineStr">
        <is>
          <t>A</t>
        </is>
      </c>
      <c r="E872" t="inlineStr">
        <is>
          <t>rs7313402</t>
        </is>
      </c>
      <c r="F872" t="n">
        <v>0.006091011426</v>
      </c>
      <c r="G872" t="n">
        <v>0.6376218973363418</v>
      </c>
      <c r="H872" t="n">
        <v>0.0235130826491357</v>
      </c>
      <c r="I872" t="n">
        <v>0.0262105295691987</v>
      </c>
      <c r="J872" t="n">
        <v>0.1203206378464109</v>
      </c>
      <c r="K872" t="n">
        <v>0.5317207561477076</v>
      </c>
      <c r="L872" t="b">
        <v>0</v>
      </c>
      <c r="M872" t="b">
        <v>0</v>
      </c>
      <c r="N872" t="inlineStr">
        <is>
          <t>alt</t>
        </is>
      </c>
      <c r="O872" t="n">
        <v>10</v>
      </c>
      <c r="P872" t="n">
        <v>0.001465</v>
      </c>
      <c r="Q872" t="n">
        <v>-30</v>
      </c>
      <c r="R872" t="n">
        <v>0.012695</v>
      </c>
      <c r="S872">
        <f>IMAGE("https://mitra.stanford.edu/kundaje/oak/projects/neuro-variants/variant_position/credible/roussos_2024/variant_figures/roussos_2024.adolescence.GLU/rs7313402_count_position.png",4,220,900)</f>
        <v/>
      </c>
      <c r="T872">
        <f>IMAGE("https://mitra.stanford.edu/kundaje/oak/projects/neuro-variants/variant_position/credible/roussos_2024/variant_figures/roussos_2024.adolescence.GLU/rs7313402_profile_position.png",4,220,900)</f>
        <v/>
      </c>
    </row>
    <row r="873">
      <c r="A873" t="inlineStr">
        <is>
          <t>chr12</t>
        </is>
      </c>
      <c r="B873" t="n">
        <v>108215857</v>
      </c>
      <c r="C873" t="inlineStr">
        <is>
          <t>G</t>
        </is>
      </c>
      <c r="D873" t="inlineStr">
        <is>
          <t>A</t>
        </is>
      </c>
      <c r="E873" t="inlineStr">
        <is>
          <t>rs10861879</t>
        </is>
      </c>
      <c r="F873" t="n">
        <v>-0.0433284699999999</v>
      </c>
      <c r="G873" t="n">
        <v>0.0928930484344158</v>
      </c>
      <c r="H873" t="n">
        <v>0.009952598741906101</v>
      </c>
      <c r="I873" t="n">
        <v>0.5347116164563017</v>
      </c>
      <c r="J873" t="n">
        <v>0.2455051403505011</v>
      </c>
      <c r="K873" t="n">
        <v>0.3396475778883967</v>
      </c>
      <c r="L873" t="b">
        <v>0</v>
      </c>
      <c r="M873" t="b">
        <v>0</v>
      </c>
      <c r="N873" t="inlineStr">
        <is>
          <t>ref</t>
        </is>
      </c>
      <c r="O873" t="n">
        <v>-90</v>
      </c>
      <c r="P873" t="n">
        <v>0.0023</v>
      </c>
      <c r="Q873" t="n">
        <v>-75</v>
      </c>
      <c r="R873" t="n">
        <v>0.01282</v>
      </c>
      <c r="S873">
        <f>IMAGE("https://mitra.stanford.edu/kundaje/oak/projects/neuro-variants/variant_position/credible/roussos_2024/variant_figures/roussos_2024.adolescence.GLU/rs10861879_count_position.png",4,220,900)</f>
        <v/>
      </c>
      <c r="T873">
        <f>IMAGE("https://mitra.stanford.edu/kundaje/oak/projects/neuro-variants/variant_position/credible/roussos_2024/variant_figures/roussos_2024.adolescence.GLU/rs10861879_profile_position.png",4,220,900)</f>
        <v/>
      </c>
    </row>
    <row r="874">
      <c r="A874" t="inlineStr">
        <is>
          <t>chr12</t>
        </is>
      </c>
      <c r="B874" t="n">
        <v>108216899</v>
      </c>
      <c r="C874" t="inlineStr">
        <is>
          <t>T</t>
        </is>
      </c>
      <c r="D874" t="inlineStr">
        <is>
          <t>C</t>
        </is>
      </c>
      <c r="E874" t="inlineStr">
        <is>
          <t>rs4964661</t>
        </is>
      </c>
      <c r="F874" t="n">
        <v>0.0245422414</v>
      </c>
      <c r="G874" t="n">
        <v>0.2241902931167077</v>
      </c>
      <c r="H874" t="n">
        <v>0.0090372336022212</v>
      </c>
      <c r="I874" t="n">
        <v>0.6516126652685884</v>
      </c>
      <c r="J874" t="n">
        <v>0.2786205714040765</v>
      </c>
      <c r="K874" t="n">
        <v>0.2976467608949524</v>
      </c>
      <c r="L874" t="b">
        <v>0</v>
      </c>
      <c r="M874" t="b">
        <v>0</v>
      </c>
      <c r="N874" t="inlineStr">
        <is>
          <t>alt</t>
        </is>
      </c>
      <c r="O874" t="n">
        <v>-100</v>
      </c>
      <c r="P874" t="n">
        <v>0.003067</v>
      </c>
      <c r="Q874" t="n">
        <v>-65</v>
      </c>
      <c r="R874" t="n">
        <v>0.00708</v>
      </c>
      <c r="S874">
        <f>IMAGE("https://mitra.stanford.edu/kundaje/oak/projects/neuro-variants/variant_position/credible/roussos_2024/variant_figures/roussos_2024.adolescence.GLU/rs4964661_count_position.png",4,220,900)</f>
        <v/>
      </c>
      <c r="T874">
        <f>IMAGE("https://mitra.stanford.edu/kundaje/oak/projects/neuro-variants/variant_position/credible/roussos_2024/variant_figures/roussos_2024.adolescence.GLU/rs4964661_profile_position.png",4,220,900)</f>
        <v/>
      </c>
    </row>
    <row r="875">
      <c r="A875" t="inlineStr">
        <is>
          <t>chr12</t>
        </is>
      </c>
      <c r="B875" t="n">
        <v>108224853</v>
      </c>
      <c r="C875" t="inlineStr">
        <is>
          <t>C</t>
        </is>
      </c>
      <c r="D875" t="inlineStr">
        <is>
          <t>T</t>
        </is>
      </c>
      <c r="E875" t="inlineStr">
        <is>
          <t>rs3764002</t>
        </is>
      </c>
      <c r="F875" t="n">
        <v>-0.008191660700000001</v>
      </c>
      <c r="G875" t="n">
        <v>0.6086797341822143</v>
      </c>
      <c r="H875" t="n">
        <v>0.007881506331691501</v>
      </c>
      <c r="I875" t="n">
        <v>0.8127090879139652</v>
      </c>
      <c r="J875" t="n">
        <v>0.3580427374241807</v>
      </c>
      <c r="K875" t="n">
        <v>0.2075166270057596</v>
      </c>
      <c r="L875" t="b">
        <v>0</v>
      </c>
      <c r="M875" t="b">
        <v>0</v>
      </c>
      <c r="N875" t="inlineStr">
        <is>
          <t>ref</t>
        </is>
      </c>
      <c r="O875" t="n">
        <v>100</v>
      </c>
      <c r="P875" t="n">
        <v>0.00716</v>
      </c>
      <c r="Q875" t="n">
        <v>20</v>
      </c>
      <c r="R875" t="n">
        <v>0.04346</v>
      </c>
      <c r="S875">
        <f>IMAGE("https://mitra.stanford.edu/kundaje/oak/projects/neuro-variants/variant_position/credible/roussos_2024/variant_figures/roussos_2024.adolescence.GLU/rs3764002_count_position.png",4,220,900)</f>
        <v/>
      </c>
      <c r="T875">
        <f>IMAGE("https://mitra.stanford.edu/kundaje/oak/projects/neuro-variants/variant_position/credible/roussos_2024/variant_figures/roussos_2024.adolescence.GLU/rs3764002_profile_position.png",4,220,900)</f>
        <v/>
      </c>
    </row>
    <row r="876">
      <c r="A876" t="inlineStr">
        <is>
          <t>chr12</t>
        </is>
      </c>
      <c r="B876" t="n">
        <v>108234290</v>
      </c>
      <c r="C876" t="inlineStr">
        <is>
          <t>T</t>
        </is>
      </c>
      <c r="D876" t="inlineStr">
        <is>
          <t>C</t>
        </is>
      </c>
      <c r="E876" t="inlineStr">
        <is>
          <t>rs4964665</t>
        </is>
      </c>
      <c r="F876" t="n">
        <v>0.00979032434</v>
      </c>
      <c r="G876" t="n">
        <v>0.5109339985293253</v>
      </c>
      <c r="H876" t="n">
        <v>0.009391787074280501</v>
      </c>
      <c r="I876" t="n">
        <v>0.6044816904837935</v>
      </c>
      <c r="J876" t="n">
        <v>0.2129183902379778</v>
      </c>
      <c r="K876" t="n">
        <v>0.3860863804062244</v>
      </c>
      <c r="L876" t="b">
        <v>0</v>
      </c>
      <c r="M876" t="b">
        <v>0</v>
      </c>
      <c r="N876" t="inlineStr">
        <is>
          <t>alt</t>
        </is>
      </c>
      <c r="O876" t="n">
        <v>-85</v>
      </c>
      <c r="P876" t="n">
        <v>0.03473</v>
      </c>
      <c r="Q876" t="n">
        <v>30</v>
      </c>
      <c r="R876" t="n">
        <v>0.06469999999999999</v>
      </c>
      <c r="S876">
        <f>IMAGE("https://mitra.stanford.edu/kundaje/oak/projects/neuro-variants/variant_position/credible/roussos_2024/variant_figures/roussos_2024.adolescence.GLU/rs4964665_count_position.png",4,220,900)</f>
        <v/>
      </c>
      <c r="T876">
        <f>IMAGE("https://mitra.stanford.edu/kundaje/oak/projects/neuro-variants/variant_position/credible/roussos_2024/variant_figures/roussos_2024.adolescence.GLU/rs4964665_profile_position.png",4,220,900)</f>
        <v/>
      </c>
    </row>
    <row r="877">
      <c r="A877" t="inlineStr">
        <is>
          <t>chr12</t>
        </is>
      </c>
      <c r="B877" t="n">
        <v>108413407</v>
      </c>
      <c r="C877" t="inlineStr">
        <is>
          <t>C</t>
        </is>
      </c>
      <c r="D877" t="inlineStr">
        <is>
          <t>T</t>
        </is>
      </c>
      <c r="E877" t="inlineStr">
        <is>
          <t>rs2559882</t>
        </is>
      </c>
      <c r="F877" t="n">
        <v>0.0219728751</v>
      </c>
      <c r="G877" t="n">
        <v>0.1950522523082946</v>
      </c>
      <c r="H877" t="n">
        <v>0.0179694381299492</v>
      </c>
      <c r="I877" t="n">
        <v>0.1300625221233615</v>
      </c>
      <c r="J877" t="n">
        <v>0.0465539290281558</v>
      </c>
      <c r="K877" t="n">
        <v>0.7081960801459494</v>
      </c>
      <c r="L877" t="b">
        <v>0</v>
      </c>
      <c r="M877" t="b">
        <v>0</v>
      </c>
      <c r="N877" t="inlineStr">
        <is>
          <t>alt</t>
        </is>
      </c>
      <c r="O877" t="n">
        <v>-65</v>
      </c>
      <c r="P877" t="n">
        <v>0.006176</v>
      </c>
      <c r="Q877" t="n">
        <v>30</v>
      </c>
      <c r="R877" t="n">
        <v>0.02261</v>
      </c>
      <c r="S877">
        <f>IMAGE("https://mitra.stanford.edu/kundaje/oak/projects/neuro-variants/variant_position/credible/roussos_2024/variant_figures/roussos_2024.adolescence.GLU/rs2559882_count_position.png",4,220,900)</f>
        <v/>
      </c>
      <c r="T877">
        <f>IMAGE("https://mitra.stanford.edu/kundaje/oak/projects/neuro-variants/variant_position/credible/roussos_2024/variant_figures/roussos_2024.adolescence.GLU/rs2559882_profile_position.png",4,220,900)</f>
        <v/>
      </c>
    </row>
    <row r="878">
      <c r="A878" t="inlineStr">
        <is>
          <t>chr12</t>
        </is>
      </c>
      <c r="B878" t="n">
        <v>108418329</v>
      </c>
      <c r="C878" t="inlineStr">
        <is>
          <t>C</t>
        </is>
      </c>
      <c r="D878" t="inlineStr">
        <is>
          <t>T</t>
        </is>
      </c>
      <c r="E878" t="inlineStr">
        <is>
          <t>rs2559875</t>
        </is>
      </c>
      <c r="F878" t="n">
        <v>-0.1272085959999999</v>
      </c>
      <c r="G878" t="n">
        <v>0.0038493212904414</v>
      </c>
      <c r="H878" t="n">
        <v>0.0224285932029484</v>
      </c>
      <c r="I878" t="n">
        <v>0.0388072164709335</v>
      </c>
      <c r="J878" t="n">
        <v>0.1726843417565066</v>
      </c>
      <c r="K878" t="n">
        <v>0.4415233722818131</v>
      </c>
      <c r="L878" t="b">
        <v>1</v>
      </c>
      <c r="M878" t="b">
        <v>1</v>
      </c>
      <c r="N878" t="inlineStr">
        <is>
          <t>ref</t>
        </is>
      </c>
      <c r="O878" t="n">
        <v>-95</v>
      </c>
      <c r="P878" t="n">
        <v>0.006012</v>
      </c>
      <c r="Q878" t="n">
        <v>-95</v>
      </c>
      <c r="R878" t="n">
        <v>0.06186</v>
      </c>
      <c r="S878">
        <f>IMAGE("https://mitra.stanford.edu/kundaje/oak/projects/neuro-variants/variant_position/credible/roussos_2024/variant_figures/roussos_2024.adolescence.GLU/rs2559875_count_position.png",4,220,900)</f>
        <v/>
      </c>
      <c r="T878">
        <f>IMAGE("https://mitra.stanford.edu/kundaje/oak/projects/neuro-variants/variant_position/credible/roussos_2024/variant_figures/roussos_2024.adolescence.GLU/rs2559875_profile_position.png",4,220,900)</f>
        <v/>
      </c>
    </row>
    <row r="879">
      <c r="A879" t="inlineStr">
        <is>
          <t>chr12</t>
        </is>
      </c>
      <c r="B879" t="n">
        <v>108460099</v>
      </c>
      <c r="C879" t="inlineStr">
        <is>
          <t>A</t>
        </is>
      </c>
      <c r="D879" t="inlineStr">
        <is>
          <t>G</t>
        </is>
      </c>
      <c r="E879" t="inlineStr">
        <is>
          <t>rs75306978</t>
        </is>
      </c>
      <c r="F879" t="n">
        <v>0.0014842980999999</v>
      </c>
      <c r="G879" t="n">
        <v>0.7383685611309492</v>
      </c>
      <c r="H879" t="n">
        <v>0.0114607523374962</v>
      </c>
      <c r="I879" t="n">
        <v>0.3833657547310242</v>
      </c>
      <c r="J879" t="n">
        <v>0.1239199548477898</v>
      </c>
      <c r="K879" t="n">
        <v>0.5178712830569704</v>
      </c>
      <c r="L879" t="b">
        <v>0</v>
      </c>
      <c r="M879" t="b">
        <v>0</v>
      </c>
      <c r="N879" t="inlineStr">
        <is>
          <t>alt</t>
        </is>
      </c>
      <c r="O879" t="n">
        <v>60</v>
      </c>
      <c r="P879" t="n">
        <v>0.00447</v>
      </c>
      <c r="Q879" t="n">
        <v>85</v>
      </c>
      <c r="R879" t="n">
        <v>0.0907</v>
      </c>
      <c r="S879">
        <f>IMAGE("https://mitra.stanford.edu/kundaje/oak/projects/neuro-variants/variant_position/credible/roussos_2024/variant_figures/roussos_2024.adolescence.GLU/rs75306978_count_position.png",4,220,900)</f>
        <v/>
      </c>
      <c r="T879">
        <f>IMAGE("https://mitra.stanford.edu/kundaje/oak/projects/neuro-variants/variant_position/credible/roussos_2024/variant_figures/roussos_2024.adolescence.GLU/rs75306978_profile_position.png",4,220,900)</f>
        <v/>
      </c>
    </row>
    <row r="880">
      <c r="A880" t="inlineStr">
        <is>
          <t>chr12</t>
        </is>
      </c>
      <c r="B880" t="n">
        <v>108461238</v>
      </c>
      <c r="C880" t="inlineStr">
        <is>
          <t>A</t>
        </is>
      </c>
      <c r="D880" t="inlineStr">
        <is>
          <t>G</t>
        </is>
      </c>
      <c r="E880" t="inlineStr">
        <is>
          <t>rs79715421</t>
        </is>
      </c>
      <c r="F880" t="n">
        <v>0.01151406014</v>
      </c>
      <c r="G880" t="n">
        <v>0.4521514782602721</v>
      </c>
      <c r="H880" t="n">
        <v>0.0114876010711327</v>
      </c>
      <c r="I880" t="n">
        <v>0.3804220259527442</v>
      </c>
      <c r="J880" t="n">
        <v>0.2484071700566546</v>
      </c>
      <c r="K880" t="n">
        <v>0.336782693165514</v>
      </c>
      <c r="L880" t="b">
        <v>0</v>
      </c>
      <c r="M880" t="b">
        <v>0</v>
      </c>
      <c r="N880" t="inlineStr">
        <is>
          <t>alt</t>
        </is>
      </c>
      <c r="O880" t="n">
        <v>-100</v>
      </c>
      <c r="P880" t="n">
        <v>0.003248</v>
      </c>
      <c r="Q880" t="n">
        <v>80</v>
      </c>
      <c r="R880" t="n">
        <v>0.01672</v>
      </c>
      <c r="S880">
        <f>IMAGE("https://mitra.stanford.edu/kundaje/oak/projects/neuro-variants/variant_position/credible/roussos_2024/variant_figures/roussos_2024.adolescence.GLU/rs79715421_count_position.png",4,220,900)</f>
        <v/>
      </c>
      <c r="T880">
        <f>IMAGE("https://mitra.stanford.edu/kundaje/oak/projects/neuro-variants/variant_position/credible/roussos_2024/variant_figures/roussos_2024.adolescence.GLU/rs79715421_profile_position.png",4,220,900)</f>
        <v/>
      </c>
    </row>
    <row r="881">
      <c r="A881" t="inlineStr">
        <is>
          <t>chr12</t>
        </is>
      </c>
      <c r="B881" t="n">
        <v>110117013</v>
      </c>
      <c r="C881" t="inlineStr">
        <is>
          <t>A</t>
        </is>
      </c>
      <c r="D881" t="inlineStr">
        <is>
          <t>G</t>
        </is>
      </c>
      <c r="E881" t="inlineStr">
        <is>
          <t>rs67917264</t>
        </is>
      </c>
      <c r="F881" t="n">
        <v>0.0099236311659999</v>
      </c>
      <c r="G881" t="n">
        <v>0.4982580589430752</v>
      </c>
      <c r="H881" t="n">
        <v>0.0091517225908124</v>
      </c>
      <c r="I881" t="n">
        <v>0.6073870150873952</v>
      </c>
      <c r="J881" t="n">
        <v>0.1321230826385465</v>
      </c>
      <c r="K881" t="n">
        <v>0.5103618543891232</v>
      </c>
      <c r="L881" t="b">
        <v>0</v>
      </c>
      <c r="M881" t="b">
        <v>0</v>
      </c>
      <c r="N881" t="inlineStr">
        <is>
          <t>alt</t>
        </is>
      </c>
      <c r="O881" t="n">
        <v>-80</v>
      </c>
      <c r="P881" t="n">
        <v>0.01265</v>
      </c>
      <c r="Q881" t="n">
        <v>-100</v>
      </c>
      <c r="R881" t="n">
        <v>0.009445</v>
      </c>
      <c r="S881">
        <f>IMAGE("https://mitra.stanford.edu/kundaje/oak/projects/neuro-variants/variant_position/credible/roussos_2024/variant_figures/roussos_2024.adolescence.GLU/rs67917264_count_position.png",4,220,900)</f>
        <v/>
      </c>
      <c r="T881">
        <f>IMAGE("https://mitra.stanford.edu/kundaje/oak/projects/neuro-variants/variant_position/credible/roussos_2024/variant_figures/roussos_2024.adolescence.GLU/rs67917264_profile_position.png",4,220,900)</f>
        <v/>
      </c>
    </row>
    <row r="882">
      <c r="A882" t="inlineStr">
        <is>
          <t>chr12</t>
        </is>
      </c>
      <c r="B882" t="n">
        <v>110451052</v>
      </c>
      <c r="C882" t="inlineStr">
        <is>
          <t>C</t>
        </is>
      </c>
      <c r="D882" t="inlineStr">
        <is>
          <t>T</t>
        </is>
      </c>
      <c r="E882" t="inlineStr">
        <is>
          <t>rs3759384</t>
        </is>
      </c>
      <c r="F882" t="n">
        <v>-0.0724771498</v>
      </c>
      <c r="G882" t="n">
        <v>0.0224090899639292</v>
      </c>
      <c r="H882" t="n">
        <v>0.0122242947900027</v>
      </c>
      <c r="I882" t="n">
        <v>0.290506022503717</v>
      </c>
      <c r="J882" t="n">
        <v>0.4893599388444749</v>
      </c>
      <c r="K882" t="n">
        <v>0.0960454583272398</v>
      </c>
      <c r="L882" t="b">
        <v>0</v>
      </c>
      <c r="M882" t="b">
        <v>0</v>
      </c>
      <c r="N882" t="inlineStr">
        <is>
          <t>ref</t>
        </is>
      </c>
      <c r="O882" t="n">
        <v>-95</v>
      </c>
      <c r="P882" t="n">
        <v>0.2625</v>
      </c>
      <c r="Q882" t="n">
        <v>-100</v>
      </c>
      <c r="R882" t="n">
        <v>0.02103</v>
      </c>
      <c r="S882">
        <f>IMAGE("https://mitra.stanford.edu/kundaje/oak/projects/neuro-variants/variant_position/credible/roussos_2024/variant_figures/roussos_2024.adolescence.GLU/rs3759384_count_position.png",4,220,900)</f>
        <v/>
      </c>
      <c r="T882">
        <f>IMAGE("https://mitra.stanford.edu/kundaje/oak/projects/neuro-variants/variant_position/credible/roussos_2024/variant_figures/roussos_2024.adolescence.GLU/rs3759384_profile_position.png",4,220,900)</f>
        <v/>
      </c>
    </row>
    <row r="883">
      <c r="A883" t="inlineStr">
        <is>
          <t>chr12</t>
        </is>
      </c>
      <c r="B883" t="n">
        <v>110456752</v>
      </c>
      <c r="C883" t="inlineStr">
        <is>
          <t>G</t>
        </is>
      </c>
      <c r="D883" t="inlineStr">
        <is>
          <t>A</t>
        </is>
      </c>
      <c r="E883" t="inlineStr">
        <is>
          <t>rs11065647</t>
        </is>
      </c>
      <c r="F883" t="n">
        <v>-0.0119832639399999</v>
      </c>
      <c r="G883" t="n">
        <v>0.4356166447171098</v>
      </c>
      <c r="H883" t="n">
        <v>0.009545397460919499</v>
      </c>
      <c r="I883" t="n">
        <v>0.5753481802146495</v>
      </c>
      <c r="J883" t="n">
        <v>0.0245993813004121</v>
      </c>
      <c r="K883" t="n">
        <v>0.7939342143786379</v>
      </c>
      <c r="L883" t="b">
        <v>0</v>
      </c>
      <c r="M883" t="b">
        <v>0</v>
      </c>
      <c r="N883" t="inlineStr">
        <is>
          <t>ref</t>
        </is>
      </c>
      <c r="O883" t="n">
        <v>75</v>
      </c>
      <c r="P883" t="n">
        <v>0.004944</v>
      </c>
      <c r="Q883" t="n">
        <v>35</v>
      </c>
      <c r="R883" t="n">
        <v>0.02057</v>
      </c>
      <c r="S883">
        <f>IMAGE("https://mitra.stanford.edu/kundaje/oak/projects/neuro-variants/variant_position/credible/roussos_2024/variant_figures/roussos_2024.adolescence.GLU/rs11065647_count_position.png",4,220,900)</f>
        <v/>
      </c>
      <c r="T883">
        <f>IMAGE("https://mitra.stanford.edu/kundaje/oak/projects/neuro-variants/variant_position/credible/roussos_2024/variant_figures/roussos_2024.adolescence.GLU/rs11065647_profile_position.png",4,220,900)</f>
        <v/>
      </c>
    </row>
    <row r="884">
      <c r="A884" t="inlineStr">
        <is>
          <t>chr12</t>
        </is>
      </c>
      <c r="B884" t="n">
        <v>110497463</v>
      </c>
      <c r="C884" t="inlineStr">
        <is>
          <t>T</t>
        </is>
      </c>
      <c r="D884" t="inlineStr">
        <is>
          <t>C</t>
        </is>
      </c>
      <c r="E884" t="inlineStr">
        <is>
          <t>rs184629901</t>
        </is>
      </c>
      <c r="F884" t="n">
        <v>0.0307663624</v>
      </c>
      <c r="G884" t="n">
        <v>0.16111724338546</v>
      </c>
      <c r="H884" t="n">
        <v>0.008964047954842199</v>
      </c>
      <c r="I884" t="n">
        <v>0.6675771566508343</v>
      </c>
      <c r="J884" t="n">
        <v>0.0503347121903822</v>
      </c>
      <c r="K884" t="n">
        <v>0.6960230185948559</v>
      </c>
      <c r="L884" t="b">
        <v>0</v>
      </c>
      <c r="M884" t="b">
        <v>0</v>
      </c>
      <c r="N884" t="inlineStr">
        <is>
          <t>alt</t>
        </is>
      </c>
      <c r="O884" t="n">
        <v>-100</v>
      </c>
      <c r="P884" t="n">
        <v>0.003933</v>
      </c>
      <c r="Q884" t="n">
        <v>-80</v>
      </c>
      <c r="R884" t="n">
        <v>0.0693</v>
      </c>
      <c r="S884">
        <f>IMAGE("https://mitra.stanford.edu/kundaje/oak/projects/neuro-variants/variant_position/credible/roussos_2024/variant_figures/roussos_2024.adolescence.GLU/rs184629901_count_position.png",4,220,900)</f>
        <v/>
      </c>
      <c r="T884">
        <f>IMAGE("https://mitra.stanford.edu/kundaje/oak/projects/neuro-variants/variant_position/credible/roussos_2024/variant_figures/roussos_2024.adolescence.GLU/rs184629901_profile_position.png",4,220,900)</f>
        <v/>
      </c>
    </row>
    <row r="885">
      <c r="A885" t="inlineStr">
        <is>
          <t>chr12</t>
        </is>
      </c>
      <c r="B885" t="n">
        <v>110512571</v>
      </c>
      <c r="C885" t="inlineStr">
        <is>
          <t>T</t>
        </is>
      </c>
      <c r="D885" t="inlineStr">
        <is>
          <t>C</t>
        </is>
      </c>
      <c r="E885" t="inlineStr">
        <is>
          <t>rs4766497</t>
        </is>
      </c>
      <c r="F885" t="n">
        <v>-0.20819714</v>
      </c>
      <c r="G885" t="n">
        <v>0.0010347494000172</v>
      </c>
      <c r="H885" t="n">
        <v>0.0517787991971777</v>
      </c>
      <c r="I885" t="n">
        <v>0.0014127001780384</v>
      </c>
      <c r="J885" t="n">
        <v>0.2297475905723328</v>
      </c>
      <c r="K885" t="n">
        <v>0.3421741422655112</v>
      </c>
      <c r="L885" t="b">
        <v>1</v>
      </c>
      <c r="M885" t="b">
        <v>1</v>
      </c>
      <c r="N885" t="inlineStr">
        <is>
          <t>ref</t>
        </is>
      </c>
      <c r="O885" t="n">
        <v>10</v>
      </c>
      <c r="P885" t="n">
        <v>0.0008545</v>
      </c>
      <c r="Q885" t="n">
        <v>80</v>
      </c>
      <c r="R885" t="n">
        <v>0.04053</v>
      </c>
      <c r="S885">
        <f>IMAGE("https://mitra.stanford.edu/kundaje/oak/projects/neuro-variants/variant_position/credible/roussos_2024/variant_figures/roussos_2024.adolescence.GLU/rs4766497_count_position.png",4,220,900)</f>
        <v/>
      </c>
      <c r="T885">
        <f>IMAGE("https://mitra.stanford.edu/kundaje/oak/projects/neuro-variants/variant_position/credible/roussos_2024/variant_figures/roussos_2024.adolescence.GLU/rs4766497_profile_position.png",4,220,900)</f>
        <v/>
      </c>
    </row>
    <row r="886">
      <c r="A886" t="inlineStr">
        <is>
          <t>chr12</t>
        </is>
      </c>
      <c r="B886" t="n">
        <v>110540227</v>
      </c>
      <c r="C886" t="inlineStr">
        <is>
          <t>C</t>
        </is>
      </c>
      <c r="D886" t="inlineStr">
        <is>
          <t>T</t>
        </is>
      </c>
      <c r="E886" t="inlineStr">
        <is>
          <t>rs12311093</t>
        </is>
      </c>
      <c r="F886" t="n">
        <v>0.0378410546</v>
      </c>
      <c r="G886" t="n">
        <v>0.1173239585303331</v>
      </c>
      <c r="H886" t="n">
        <v>0.0194500215957507</v>
      </c>
      <c r="I886" t="n">
        <v>0.0683999333465421</v>
      </c>
      <c r="J886" t="n">
        <v>0.2717277150266841</v>
      </c>
      <c r="K886" t="n">
        <v>0.3039235146163731</v>
      </c>
      <c r="L886" t="b">
        <v>0</v>
      </c>
      <c r="M886" t="b">
        <v>0</v>
      </c>
      <c r="N886" t="inlineStr">
        <is>
          <t>alt</t>
        </is>
      </c>
      <c r="O886" t="n">
        <v>-15</v>
      </c>
      <c r="P886" t="n">
        <v>0.013306</v>
      </c>
      <c r="Q886" t="n">
        <v>65</v>
      </c>
      <c r="R886" t="n">
        <v>0.04465</v>
      </c>
      <c r="S886">
        <f>IMAGE("https://mitra.stanford.edu/kundaje/oak/projects/neuro-variants/variant_position/credible/roussos_2024/variant_figures/roussos_2024.adolescence.GLU/rs12311093_count_position.png",4,220,900)</f>
        <v/>
      </c>
      <c r="T886">
        <f>IMAGE("https://mitra.stanford.edu/kundaje/oak/projects/neuro-variants/variant_position/credible/roussos_2024/variant_figures/roussos_2024.adolescence.GLU/rs12311093_profile_position.png",4,220,900)</f>
        <v/>
      </c>
    </row>
    <row r="887">
      <c r="A887" t="inlineStr">
        <is>
          <t>chr12</t>
        </is>
      </c>
      <c r="B887" t="n">
        <v>120682650</v>
      </c>
      <c r="C887" t="inlineStr">
        <is>
          <t>T</t>
        </is>
      </c>
      <c r="D887" t="inlineStr">
        <is>
          <t>C</t>
        </is>
      </c>
      <c r="E887" t="inlineStr">
        <is>
          <t>rs12228118</t>
        </is>
      </c>
      <c r="F887" t="n">
        <v>0.0006115350199999</v>
      </c>
      <c r="G887" t="n">
        <v>0.68575487654013</v>
      </c>
      <c r="H887" t="n">
        <v>0.0299980746845974</v>
      </c>
      <c r="I887" t="n">
        <v>0.009006559663341501</v>
      </c>
      <c r="J887" t="n">
        <v>0.1511798872623614</v>
      </c>
      <c r="K887" t="n">
        <v>0.4838992035774381</v>
      </c>
      <c r="L887" t="b">
        <v>1</v>
      </c>
      <c r="M887" t="b">
        <v>1</v>
      </c>
      <c r="N887" t="inlineStr">
        <is>
          <t>alt</t>
        </is>
      </c>
      <c r="O887" t="n">
        <v>-40</v>
      </c>
      <c r="P887" t="n">
        <v>0.00717</v>
      </c>
      <c r="Q887" t="n">
        <v>60</v>
      </c>
      <c r="R887" t="n">
        <v>0.03326</v>
      </c>
      <c r="S887">
        <f>IMAGE("https://mitra.stanford.edu/kundaje/oak/projects/neuro-variants/variant_position/credible/roussos_2024/variant_figures/roussos_2024.adolescence.GLU/rs12228118_count_position.png",4,220,900)</f>
        <v/>
      </c>
      <c r="T887">
        <f>IMAGE("https://mitra.stanford.edu/kundaje/oak/projects/neuro-variants/variant_position/credible/roussos_2024/variant_figures/roussos_2024.adolescence.GLU/rs12228118_profile_position.png",4,220,900)</f>
        <v/>
      </c>
    </row>
    <row r="888">
      <c r="A888" t="inlineStr">
        <is>
          <t>chr12</t>
        </is>
      </c>
      <c r="B888" t="n">
        <v>120939764</v>
      </c>
      <c r="C888" t="inlineStr">
        <is>
          <t>G</t>
        </is>
      </c>
      <c r="D888" t="inlineStr">
        <is>
          <t>T</t>
        </is>
      </c>
      <c r="E888" t="inlineStr">
        <is>
          <t>rs78197988</t>
        </is>
      </c>
      <c r="F888" t="n">
        <v>-0.0378746122</v>
      </c>
      <c r="G888" t="n">
        <v>0.1222913173219144</v>
      </c>
      <c r="H888" t="n">
        <v>0.0095276400883334</v>
      </c>
      <c r="I888" t="n">
        <v>0.5996502508561299</v>
      </c>
      <c r="J888" t="n">
        <v>0.2406126983446571</v>
      </c>
      <c r="K888" t="n">
        <v>0.3447344398397982</v>
      </c>
      <c r="L888" t="b">
        <v>0</v>
      </c>
      <c r="M888" t="b">
        <v>0</v>
      </c>
      <c r="N888" t="inlineStr">
        <is>
          <t>ref</t>
        </is>
      </c>
      <c r="O888" t="n">
        <v>-50</v>
      </c>
      <c r="P888" t="n">
        <v>0.03964</v>
      </c>
      <c r="Q888" t="n">
        <v>95</v>
      </c>
      <c r="R888" t="n">
        <v>0.02847</v>
      </c>
      <c r="S888">
        <f>IMAGE("https://mitra.stanford.edu/kundaje/oak/projects/neuro-variants/variant_position/credible/roussos_2024/variant_figures/roussos_2024.adolescence.GLU/rs78197988_count_position.png",4,220,900)</f>
        <v/>
      </c>
      <c r="T888">
        <f>IMAGE("https://mitra.stanford.edu/kundaje/oak/projects/neuro-variants/variant_position/credible/roussos_2024/variant_figures/roussos_2024.adolescence.GLU/rs78197988_profile_position.png",4,220,900)</f>
        <v/>
      </c>
    </row>
    <row r="889">
      <c r="A889" t="inlineStr">
        <is>
          <t>chr12</t>
        </is>
      </c>
      <c r="B889" t="n">
        <v>120968567</v>
      </c>
      <c r="C889" t="inlineStr">
        <is>
          <t>G</t>
        </is>
      </c>
      <c r="D889" t="inlineStr">
        <is>
          <t>T</t>
        </is>
      </c>
      <c r="E889" t="inlineStr">
        <is>
          <t>rs2243616</t>
        </is>
      </c>
      <c r="F889" t="n">
        <v>0.00478947996</v>
      </c>
      <c r="G889" t="n">
        <v>0.6771250011010216</v>
      </c>
      <c r="H889" t="n">
        <v>0.0339011849460684</v>
      </c>
      <c r="I889" t="n">
        <v>0.0049729289228952</v>
      </c>
      <c r="J889" t="n">
        <v>0.1371284051696422</v>
      </c>
      <c r="K889" t="n">
        <v>0.5020359837525296</v>
      </c>
      <c r="L889" t="b">
        <v>1</v>
      </c>
      <c r="M889" t="b">
        <v>1</v>
      </c>
      <c r="N889" t="inlineStr">
        <is>
          <t>alt</t>
        </is>
      </c>
      <c r="O889" t="n">
        <v>100</v>
      </c>
      <c r="P889" t="n">
        <v>0.06104</v>
      </c>
      <c r="Q889" t="n">
        <v>-85</v>
      </c>
      <c r="R889" t="n">
        <v>0.05713</v>
      </c>
      <c r="S889">
        <f>IMAGE("https://mitra.stanford.edu/kundaje/oak/projects/neuro-variants/variant_position/credible/roussos_2024/variant_figures/roussos_2024.adolescence.GLU/rs2243616_count_position.png",4,220,900)</f>
        <v/>
      </c>
      <c r="T889">
        <f>IMAGE("https://mitra.stanford.edu/kundaje/oak/projects/neuro-variants/variant_position/credible/roussos_2024/variant_figures/roussos_2024.adolescence.GLU/rs2243616_profile_position.png",4,220,900)</f>
        <v/>
      </c>
    </row>
    <row r="890">
      <c r="A890" t="inlineStr">
        <is>
          <t>chr12</t>
        </is>
      </c>
      <c r="B890" t="n">
        <v>121005313</v>
      </c>
      <c r="C890" t="inlineStr">
        <is>
          <t>A</t>
        </is>
      </c>
      <c r="D890" t="inlineStr">
        <is>
          <t>G</t>
        </is>
      </c>
      <c r="E890" t="inlineStr">
        <is>
          <t>rs1169314</t>
        </is>
      </c>
      <c r="F890" t="n">
        <v>-0.001689314614</v>
      </c>
      <c r="G890" t="n">
        <v>0.8503320137608603</v>
      </c>
      <c r="H890" t="n">
        <v>0.0232666801530249</v>
      </c>
      <c r="I890" t="n">
        <v>0.0286994467967272</v>
      </c>
      <c r="J890" t="n">
        <v>0.4672510734366404</v>
      </c>
      <c r="K890" t="n">
        <v>0.1125081928175454</v>
      </c>
      <c r="L890" t="b">
        <v>0</v>
      </c>
      <c r="M890" t="b">
        <v>0</v>
      </c>
      <c r="N890" t="inlineStr">
        <is>
          <t>ref</t>
        </is>
      </c>
      <c r="O890" t="n">
        <v>-95</v>
      </c>
      <c r="P890" t="n">
        <v>0.0421</v>
      </c>
      <c r="Q890" t="n">
        <v>100</v>
      </c>
      <c r="R890" t="n">
        <v>0.351</v>
      </c>
      <c r="S890">
        <f>IMAGE("https://mitra.stanford.edu/kundaje/oak/projects/neuro-variants/variant_position/credible/roussos_2024/variant_figures/roussos_2024.adolescence.GLU/rs1169314_count_position.png",4,220,900)</f>
        <v/>
      </c>
      <c r="T890">
        <f>IMAGE("https://mitra.stanford.edu/kundaje/oak/projects/neuro-variants/variant_position/credible/roussos_2024/variant_figures/roussos_2024.adolescence.GLU/rs1169314_profile_position.png",4,220,900)</f>
        <v/>
      </c>
    </row>
    <row r="891">
      <c r="A891" t="inlineStr">
        <is>
          <t>chr12</t>
        </is>
      </c>
      <c r="B891" t="n">
        <v>121012362</v>
      </c>
      <c r="C891" t="inlineStr">
        <is>
          <t>C</t>
        </is>
      </c>
      <c r="D891" t="inlineStr">
        <is>
          <t>T</t>
        </is>
      </c>
      <c r="E891" t="inlineStr">
        <is>
          <t>rs2264750</t>
        </is>
      </c>
      <c r="F891" t="n">
        <v>-0.1031602479999999</v>
      </c>
      <c r="G891" t="n">
        <v>0.0069500079865968</v>
      </c>
      <c r="H891" t="n">
        <v>0.0272920128691603</v>
      </c>
      <c r="I891" t="n">
        <v>0.0137105346603523</v>
      </c>
      <c r="J891" t="n">
        <v>0.3099913553521801</v>
      </c>
      <c r="K891" t="n">
        <v>0.2603060496376053</v>
      </c>
      <c r="L891" t="b">
        <v>1</v>
      </c>
      <c r="M891" t="b">
        <v>1</v>
      </c>
      <c r="N891" t="inlineStr">
        <is>
          <t>ref</t>
        </is>
      </c>
      <c r="O891" t="n">
        <v>-55</v>
      </c>
      <c r="P891" t="n">
        <v>0.004375</v>
      </c>
      <c r="Q891" t="n">
        <v>95</v>
      </c>
      <c r="R891" t="n">
        <v>0.02905</v>
      </c>
      <c r="S891">
        <f>IMAGE("https://mitra.stanford.edu/kundaje/oak/projects/neuro-variants/variant_position/credible/roussos_2024/variant_figures/roussos_2024.adolescence.GLU/rs2264750_count_position.png",4,220,900)</f>
        <v/>
      </c>
      <c r="T891">
        <f>IMAGE("https://mitra.stanford.edu/kundaje/oak/projects/neuro-variants/variant_position/credible/roussos_2024/variant_figures/roussos_2024.adolescence.GLU/rs2264750_profile_position.png",4,220,900)</f>
        <v/>
      </c>
    </row>
    <row r="892">
      <c r="A892" t="inlineStr">
        <is>
          <t>chr12</t>
        </is>
      </c>
      <c r="B892" t="n">
        <v>121252752</v>
      </c>
      <c r="C892" t="inlineStr">
        <is>
          <t>T</t>
        </is>
      </c>
      <c r="D892" t="inlineStr">
        <is>
          <t>C</t>
        </is>
      </c>
      <c r="E892" t="inlineStr">
        <is>
          <t>rs2686345</t>
        </is>
      </c>
      <c r="F892" t="n">
        <v>0.0777612692</v>
      </c>
      <c r="G892" t="n">
        <v>0.0174155291311573</v>
      </c>
      <c r="H892" t="n">
        <v>0.0141593823756853</v>
      </c>
      <c r="I892" t="n">
        <v>0.1971973813955415</v>
      </c>
      <c r="J892" t="n">
        <v>0.5314615170285273</v>
      </c>
      <c r="K892" t="n">
        <v>0.06849117350027401</v>
      </c>
      <c r="L892" t="b">
        <v>1</v>
      </c>
      <c r="M892" t="b">
        <v>0</v>
      </c>
      <c r="N892" t="inlineStr">
        <is>
          <t>alt</t>
        </is>
      </c>
      <c r="O892" t="n">
        <v>70</v>
      </c>
      <c r="P892" t="n">
        <v>0.009254</v>
      </c>
      <c r="Q892" t="n">
        <v>100</v>
      </c>
      <c r="R892" t="n">
        <v>0.2174</v>
      </c>
      <c r="S892">
        <f>IMAGE("https://mitra.stanford.edu/kundaje/oak/projects/neuro-variants/variant_position/credible/roussos_2024/variant_figures/roussos_2024.adolescence.GLU/rs2686345_count_position.png",4,220,900)</f>
        <v/>
      </c>
      <c r="T892">
        <f>IMAGE("https://mitra.stanford.edu/kundaje/oak/projects/neuro-variants/variant_position/credible/roussos_2024/variant_figures/roussos_2024.adolescence.GLU/rs2686345_profile_position.png",4,220,900)</f>
        <v/>
      </c>
    </row>
    <row r="893">
      <c r="A893" t="inlineStr">
        <is>
          <t>chr12</t>
        </is>
      </c>
      <c r="B893" t="n">
        <v>121389941</v>
      </c>
      <c r="C893" t="inlineStr">
        <is>
          <t>C</t>
        </is>
      </c>
      <c r="D893" t="inlineStr">
        <is>
          <t>A</t>
        </is>
      </c>
      <c r="E893" t="inlineStr">
        <is>
          <t>rs76170072</t>
        </is>
      </c>
      <c r="F893" t="n">
        <v>-0.0890850219999999</v>
      </c>
      <c r="G893" t="n">
        <v>0.0128242530705893</v>
      </c>
      <c r="H893" t="n">
        <v>0.0155410578456514</v>
      </c>
      <c r="I893" t="n">
        <v>0.1471174361436768</v>
      </c>
      <c r="J893" t="n">
        <v>0.0682198455394331</v>
      </c>
      <c r="K893" t="n">
        <v>0.6577025276046133</v>
      </c>
      <c r="L893" t="b">
        <v>1</v>
      </c>
      <c r="M893" t="b">
        <v>0</v>
      </c>
      <c r="N893" t="inlineStr">
        <is>
          <t>ref</t>
        </is>
      </c>
      <c r="O893" t="n">
        <v>65</v>
      </c>
      <c r="P893" t="n">
        <v>0.01288</v>
      </c>
      <c r="Q893" t="n">
        <v>-75</v>
      </c>
      <c r="R893" t="n">
        <v>0.02625</v>
      </c>
      <c r="S893">
        <f>IMAGE("https://mitra.stanford.edu/kundaje/oak/projects/neuro-variants/variant_position/credible/roussos_2024/variant_figures/roussos_2024.adolescence.GLU/rs76170072_count_position.png",4,220,900)</f>
        <v/>
      </c>
      <c r="T893">
        <f>IMAGE("https://mitra.stanford.edu/kundaje/oak/projects/neuro-variants/variant_position/credible/roussos_2024/variant_figures/roussos_2024.adolescence.GLU/rs76170072_profile_position.png",4,220,900)</f>
        <v/>
      </c>
    </row>
    <row r="894">
      <c r="A894" t="inlineStr">
        <is>
          <t>chr12</t>
        </is>
      </c>
      <c r="B894" t="n">
        <v>121395414</v>
      </c>
      <c r="C894" t="inlineStr">
        <is>
          <t>A</t>
        </is>
      </c>
      <c r="D894" t="inlineStr">
        <is>
          <t>G</t>
        </is>
      </c>
      <c r="E894" t="inlineStr">
        <is>
          <t>rs61697335</t>
        </is>
      </c>
      <c r="F894" t="n">
        <v>0.072658322</v>
      </c>
      <c r="G894" t="n">
        <v>0.0281408679166439</v>
      </c>
      <c r="H894" t="n">
        <v>0.0133559255075171</v>
      </c>
      <c r="I894" t="n">
        <v>0.2669900708871927</v>
      </c>
      <c r="J894" t="n">
        <v>0.0530081231112158</v>
      </c>
      <c r="K894" t="n">
        <v>0.6910846156787103</v>
      </c>
      <c r="L894" t="b">
        <v>0</v>
      </c>
      <c r="M894" t="b">
        <v>0</v>
      </c>
      <c r="N894" t="inlineStr">
        <is>
          <t>alt</t>
        </is>
      </c>
      <c r="O894" t="n">
        <v>10</v>
      </c>
      <c r="P894" t="n">
        <v>0.002563</v>
      </c>
      <c r="Q894" t="n">
        <v>-100</v>
      </c>
      <c r="R894" t="n">
        <v>0.08119999999999999</v>
      </c>
      <c r="S894">
        <f>IMAGE("https://mitra.stanford.edu/kundaje/oak/projects/neuro-variants/variant_position/credible/roussos_2024/variant_figures/roussos_2024.adolescence.GLU/rs61697335_count_position.png",4,220,900)</f>
        <v/>
      </c>
      <c r="T894">
        <f>IMAGE("https://mitra.stanford.edu/kundaje/oak/projects/neuro-variants/variant_position/credible/roussos_2024/variant_figures/roussos_2024.adolescence.GLU/rs61697335_profile_position.png",4,220,900)</f>
        <v/>
      </c>
    </row>
    <row r="895">
      <c r="A895" t="inlineStr">
        <is>
          <t>chr12</t>
        </is>
      </c>
      <c r="B895" t="n">
        <v>121398384</v>
      </c>
      <c r="C895" t="inlineStr">
        <is>
          <t>A</t>
        </is>
      </c>
      <c r="D895" t="inlineStr">
        <is>
          <t>T</t>
        </is>
      </c>
      <c r="E895" t="inlineStr">
        <is>
          <t>rs11830307</t>
        </is>
      </c>
      <c r="F895" t="n">
        <v>0.001547820774</v>
      </c>
      <c r="G895" t="n">
        <v>0.884163525164521</v>
      </c>
      <c r="H895" t="n">
        <v>0.020317615317986</v>
      </c>
      <c r="I895" t="n">
        <v>0.0544359434018845</v>
      </c>
      <c r="J895" t="n">
        <v>0.3267891206035536</v>
      </c>
      <c r="K895" t="n">
        <v>0.2411621531925102</v>
      </c>
      <c r="L895" t="b">
        <v>0</v>
      </c>
      <c r="M895" t="b">
        <v>0</v>
      </c>
      <c r="N895" t="inlineStr">
        <is>
          <t>alt</t>
        </is>
      </c>
      <c r="O895" t="n">
        <v>-40</v>
      </c>
      <c r="P895" t="n">
        <v>0.006348</v>
      </c>
      <c r="Q895" t="n">
        <v>25</v>
      </c>
      <c r="R895" t="n">
        <v>0.0895</v>
      </c>
      <c r="S895">
        <f>IMAGE("https://mitra.stanford.edu/kundaje/oak/projects/neuro-variants/variant_position/credible/roussos_2024/variant_figures/roussos_2024.adolescence.GLU/rs11830307_count_position.png",4,220,900)</f>
        <v/>
      </c>
      <c r="T895">
        <f>IMAGE("https://mitra.stanford.edu/kundaje/oak/projects/neuro-variants/variant_position/credible/roussos_2024/variant_figures/roussos_2024.adolescence.GLU/rs11830307_profile_position.png",4,220,900)</f>
        <v/>
      </c>
    </row>
    <row r="896">
      <c r="A896" t="inlineStr">
        <is>
          <t>chr12</t>
        </is>
      </c>
      <c r="B896" t="n">
        <v>121403345</v>
      </c>
      <c r="C896" t="inlineStr">
        <is>
          <t>A</t>
        </is>
      </c>
      <c r="D896" t="inlineStr">
        <is>
          <t>G</t>
        </is>
      </c>
      <c r="E896" t="inlineStr">
        <is>
          <t>rs59199848</t>
        </is>
      </c>
      <c r="F896" t="n">
        <v>0.0192441632</v>
      </c>
      <c r="G896" t="n">
        <v>0.2854758228774448</v>
      </c>
      <c r="H896" t="n">
        <v>0.0087780007810344</v>
      </c>
      <c r="I896" t="n">
        <v>0.6832348794918214</v>
      </c>
      <c r="J896" t="n">
        <v>0.0549856756042322</v>
      </c>
      <c r="K896" t="n">
        <v>0.6908273358496194</v>
      </c>
      <c r="L896" t="b">
        <v>0</v>
      </c>
      <c r="M896" t="b">
        <v>0</v>
      </c>
      <c r="N896" t="inlineStr">
        <is>
          <t>alt</t>
        </is>
      </c>
      <c r="O896" t="n">
        <v>15</v>
      </c>
      <c r="P896" t="n">
        <v>0.00238</v>
      </c>
      <c r="Q896" t="n">
        <v>-100</v>
      </c>
      <c r="R896" t="n">
        <v>0.06152</v>
      </c>
      <c r="S896">
        <f>IMAGE("https://mitra.stanford.edu/kundaje/oak/projects/neuro-variants/variant_position/credible/roussos_2024/variant_figures/roussos_2024.adolescence.GLU/rs59199848_count_position.png",4,220,900)</f>
        <v/>
      </c>
      <c r="T896">
        <f>IMAGE("https://mitra.stanford.edu/kundaje/oak/projects/neuro-variants/variant_position/credible/roussos_2024/variant_figures/roussos_2024.adolescence.GLU/rs59199848_profile_position.png",4,220,900)</f>
        <v/>
      </c>
    </row>
    <row r="897">
      <c r="A897" t="inlineStr">
        <is>
          <t>chr12</t>
        </is>
      </c>
      <c r="B897" t="n">
        <v>121420405</v>
      </c>
      <c r="C897" t="inlineStr">
        <is>
          <t>A</t>
        </is>
      </c>
      <c r="D897" t="inlineStr">
        <is>
          <t>T</t>
        </is>
      </c>
      <c r="E897" t="inlineStr">
        <is>
          <t>rs3751135</t>
        </is>
      </c>
      <c r="F897" t="n">
        <v>0.01248854608</v>
      </c>
      <c r="G897" t="n">
        <v>0.4490403835203576</v>
      </c>
      <c r="H897" t="n">
        <v>0.0070806234715643</v>
      </c>
      <c r="I897" t="n">
        <v>0.8559449925268179</v>
      </c>
      <c r="J897" t="n">
        <v>0.2348472183523729</v>
      </c>
      <c r="K897" t="n">
        <v>0.3542540265194316</v>
      </c>
      <c r="L897" t="b">
        <v>0</v>
      </c>
      <c r="M897" t="b">
        <v>0</v>
      </c>
      <c r="N897" t="inlineStr">
        <is>
          <t>alt</t>
        </is>
      </c>
      <c r="O897" t="n">
        <v>70</v>
      </c>
      <c r="P897" t="n">
        <v>0.006306</v>
      </c>
      <c r="Q897" t="n">
        <v>50</v>
      </c>
      <c r="R897" t="n">
        <v>0.0336</v>
      </c>
      <c r="S897">
        <f>IMAGE("https://mitra.stanford.edu/kundaje/oak/projects/neuro-variants/variant_position/credible/roussos_2024/variant_figures/roussos_2024.adolescence.GLU/rs3751135_count_position.png",4,220,900)</f>
        <v/>
      </c>
      <c r="T897">
        <f>IMAGE("https://mitra.stanford.edu/kundaje/oak/projects/neuro-variants/variant_position/credible/roussos_2024/variant_figures/roussos_2024.adolescence.GLU/rs3751135_profile_position.png",4,220,900)</f>
        <v/>
      </c>
    </row>
    <row r="898">
      <c r="A898" t="inlineStr">
        <is>
          <t>chr12</t>
        </is>
      </c>
      <c r="B898" t="n">
        <v>121426090</v>
      </c>
      <c r="C898" t="inlineStr">
        <is>
          <t>T</t>
        </is>
      </c>
      <c r="D898" t="inlineStr">
        <is>
          <t>C</t>
        </is>
      </c>
      <c r="E898" t="inlineStr">
        <is>
          <t>rs79741351</t>
        </is>
      </c>
      <c r="F898" t="n">
        <v>0.07664715900000001</v>
      </c>
      <c r="G898" t="n">
        <v>0.018016441019091</v>
      </c>
      <c r="H898" t="n">
        <v>0.0135860977455248</v>
      </c>
      <c r="I898" t="n">
        <v>0.2391040584494862</v>
      </c>
      <c r="J898" t="n">
        <v>0.1573397346593222</v>
      </c>
      <c r="K898" t="n">
        <v>0.4658874624018163</v>
      </c>
      <c r="L898" t="b">
        <v>1</v>
      </c>
      <c r="M898" t="b">
        <v>0</v>
      </c>
      <c r="N898" t="inlineStr">
        <is>
          <t>alt</t>
        </is>
      </c>
      <c r="O898" t="n">
        <v>-35</v>
      </c>
      <c r="P898" t="n">
        <v>0.0005283</v>
      </c>
      <c r="Q898" t="n">
        <v>-45</v>
      </c>
      <c r="R898" t="n">
        <v>0.05548</v>
      </c>
      <c r="S898">
        <f>IMAGE("https://mitra.stanford.edu/kundaje/oak/projects/neuro-variants/variant_position/credible/roussos_2024/variant_figures/roussos_2024.adolescence.GLU/rs79741351_count_position.png",4,220,900)</f>
        <v/>
      </c>
      <c r="T898">
        <f>IMAGE("https://mitra.stanford.edu/kundaje/oak/projects/neuro-variants/variant_position/credible/roussos_2024/variant_figures/roussos_2024.adolescence.GLU/rs79741351_profile_position.png",4,220,900)</f>
        <v/>
      </c>
    </row>
    <row r="899">
      <c r="A899" t="inlineStr">
        <is>
          <t>chr12</t>
        </is>
      </c>
      <c r="B899" t="n">
        <v>121429454</v>
      </c>
      <c r="C899" t="inlineStr">
        <is>
          <t>A</t>
        </is>
      </c>
      <c r="D899" t="inlineStr">
        <is>
          <t>C</t>
        </is>
      </c>
      <c r="E899" t="inlineStr">
        <is>
          <t>rs13754</t>
        </is>
      </c>
      <c r="F899" t="n">
        <v>-0.0208145876199999</v>
      </c>
      <c r="G899" t="n">
        <v>0.3171203310001667</v>
      </c>
      <c r="H899" t="n">
        <v>0.0189205546652629</v>
      </c>
      <c r="I899" t="n">
        <v>0.09238146268338671</v>
      </c>
      <c r="J899" t="n">
        <v>0.3078580563116645</v>
      </c>
      <c r="K899" t="n">
        <v>0.2600271962967096</v>
      </c>
      <c r="L899" t="b">
        <v>0</v>
      </c>
      <c r="M899" t="b">
        <v>0</v>
      </c>
      <c r="N899" t="inlineStr">
        <is>
          <t>ref</t>
        </is>
      </c>
      <c r="O899" t="n">
        <v>80</v>
      </c>
      <c r="P899" t="n">
        <v>0.004658</v>
      </c>
      <c r="Q899" t="n">
        <v>-55</v>
      </c>
      <c r="R899" t="n">
        <v>0.011314</v>
      </c>
      <c r="S899">
        <f>IMAGE("https://mitra.stanford.edu/kundaje/oak/projects/neuro-variants/variant_position/credible/roussos_2024/variant_figures/roussos_2024.adolescence.GLU/rs13754_count_position.png",4,220,900)</f>
        <v/>
      </c>
      <c r="T899">
        <f>IMAGE("https://mitra.stanford.edu/kundaje/oak/projects/neuro-variants/variant_position/credible/roussos_2024/variant_figures/roussos_2024.adolescence.GLU/rs13754_profile_position.png",4,220,900)</f>
        <v/>
      </c>
    </row>
    <row r="900">
      <c r="A900" t="inlineStr">
        <is>
          <t>chr12</t>
        </is>
      </c>
      <c r="B900" t="n">
        <v>121457323</v>
      </c>
      <c r="C900" t="inlineStr">
        <is>
          <t>G</t>
        </is>
      </c>
      <c r="D900" t="inlineStr">
        <is>
          <t>A</t>
        </is>
      </c>
      <c r="E900" t="inlineStr">
        <is>
          <t>rs111782135</t>
        </is>
      </c>
      <c r="F900" t="n">
        <v>-0.057279178</v>
      </c>
      <c r="G900" t="n">
        <v>0.0510199269093238</v>
      </c>
      <c r="H900" t="n">
        <v>0.0125692227936488</v>
      </c>
      <c r="I900" t="n">
        <v>0.288533444628496</v>
      </c>
      <c r="J900" t="n">
        <v>0.3531588686227861</v>
      </c>
      <c r="K900" t="n">
        <v>0.2132529023393138</v>
      </c>
      <c r="L900" t="b">
        <v>0</v>
      </c>
      <c r="M900" t="b">
        <v>0</v>
      </c>
      <c r="N900" t="inlineStr">
        <is>
          <t>ref</t>
        </is>
      </c>
      <c r="O900" t="n">
        <v>5</v>
      </c>
      <c r="P900" t="n">
        <v>0.0004425</v>
      </c>
      <c r="Q900" t="n">
        <v>100</v>
      </c>
      <c r="R900" t="n">
        <v>0.03955</v>
      </c>
      <c r="S900">
        <f>IMAGE("https://mitra.stanford.edu/kundaje/oak/projects/neuro-variants/variant_position/credible/roussos_2024/variant_figures/roussos_2024.adolescence.GLU/rs111782135_count_position.png",4,220,900)</f>
        <v/>
      </c>
      <c r="T900">
        <f>IMAGE("https://mitra.stanford.edu/kundaje/oak/projects/neuro-variants/variant_position/credible/roussos_2024/variant_figures/roussos_2024.adolescence.GLU/rs111782135_profile_position.png",4,220,900)</f>
        <v/>
      </c>
    </row>
    <row r="901">
      <c r="A901" t="inlineStr">
        <is>
          <t>chr12</t>
        </is>
      </c>
      <c r="B901" t="n">
        <v>121461233</v>
      </c>
      <c r="C901" t="inlineStr">
        <is>
          <t>G</t>
        </is>
      </c>
      <c r="D901" t="inlineStr">
        <is>
          <t>A</t>
        </is>
      </c>
      <c r="E901" t="inlineStr">
        <is>
          <t>rs74543852</t>
        </is>
      </c>
      <c r="F901" t="n">
        <v>0.00132916862</v>
      </c>
      <c r="G901" t="n">
        <v>0.5511327356780301</v>
      </c>
      <c r="H901" t="n">
        <v>0.0084269441858013</v>
      </c>
      <c r="I901" t="n">
        <v>0.7085375961865209</v>
      </c>
      <c r="J901" t="n">
        <v>0.3915739688935565</v>
      </c>
      <c r="K901" t="n">
        <v>0.1755189663372868</v>
      </c>
      <c r="L901" t="b">
        <v>0</v>
      </c>
      <c r="M901" t="b">
        <v>0</v>
      </c>
      <c r="N901" t="inlineStr">
        <is>
          <t>alt</t>
        </is>
      </c>
      <c r="O901" t="n">
        <v>100</v>
      </c>
      <c r="P901" t="n">
        <v>0.01156</v>
      </c>
      <c r="Q901" t="n">
        <v>-45</v>
      </c>
      <c r="R901" t="n">
        <v>0.04877</v>
      </c>
      <c r="S901">
        <f>IMAGE("https://mitra.stanford.edu/kundaje/oak/projects/neuro-variants/variant_position/credible/roussos_2024/variant_figures/roussos_2024.adolescence.GLU/rs74543852_count_position.png",4,220,900)</f>
        <v/>
      </c>
      <c r="T901">
        <f>IMAGE("https://mitra.stanford.edu/kundaje/oak/projects/neuro-variants/variant_position/credible/roussos_2024/variant_figures/roussos_2024.adolescence.GLU/rs74543852_profile_position.png",4,220,900)</f>
        <v/>
      </c>
    </row>
    <row r="902">
      <c r="A902" t="inlineStr">
        <is>
          <t>chr12</t>
        </is>
      </c>
      <c r="B902" t="n">
        <v>122065538</v>
      </c>
      <c r="C902" t="inlineStr">
        <is>
          <t>G</t>
        </is>
      </c>
      <c r="D902" t="inlineStr">
        <is>
          <t>A</t>
        </is>
      </c>
      <c r="E902" t="inlineStr">
        <is>
          <t>rs34974633</t>
        </is>
      </c>
      <c r="F902" t="n">
        <v>0.0029406175</v>
      </c>
      <c r="G902" t="n">
        <v>0.8105830197634747</v>
      </c>
      <c r="H902" t="n">
        <v>0.0075870699834311</v>
      </c>
      <c r="I902" t="n">
        <v>0.8409790434736811</v>
      </c>
      <c r="J902" t="n">
        <v>0.2838173621678775</v>
      </c>
      <c r="K902" t="n">
        <v>0.2912102540438638</v>
      </c>
      <c r="L902" t="b">
        <v>0</v>
      </c>
      <c r="M902" t="b">
        <v>0</v>
      </c>
      <c r="N902" t="inlineStr">
        <is>
          <t>alt</t>
        </is>
      </c>
      <c r="O902" t="n">
        <v>95</v>
      </c>
      <c r="P902" t="n">
        <v>0.0198</v>
      </c>
      <c r="Q902" t="n">
        <v>0</v>
      </c>
      <c r="R902" t="n">
        <v>0</v>
      </c>
      <c r="S902">
        <f>IMAGE("https://mitra.stanford.edu/kundaje/oak/projects/neuro-variants/variant_position/credible/roussos_2024/variant_figures/roussos_2024.adolescence.GLU/rs34974633_count_position.png",4,220,900)</f>
        <v/>
      </c>
      <c r="T902">
        <f>IMAGE("https://mitra.stanford.edu/kundaje/oak/projects/neuro-variants/variant_position/credible/roussos_2024/variant_figures/roussos_2024.adolescence.GLU/rs34974633_profile_position.png",4,220,900)</f>
        <v/>
      </c>
    </row>
    <row r="903">
      <c r="A903" t="inlineStr">
        <is>
          <t>chr12</t>
        </is>
      </c>
      <c r="B903" t="n">
        <v>122067480</v>
      </c>
      <c r="C903" t="inlineStr">
        <is>
          <t>G</t>
        </is>
      </c>
      <c r="D903" t="inlineStr">
        <is>
          <t>A</t>
        </is>
      </c>
      <c r="E903" t="inlineStr">
        <is>
          <t>rs61952902</t>
        </is>
      </c>
      <c r="F903" t="n">
        <v>0.0009964127599999999</v>
      </c>
      <c r="G903" t="n">
        <v>0.8630608180571689</v>
      </c>
      <c r="H903" t="n">
        <v>0.0245178330389327</v>
      </c>
      <c r="I903" t="n">
        <v>0.0224506162638066</v>
      </c>
      <c r="J903" t="n">
        <v>0.2076444406341313</v>
      </c>
      <c r="K903" t="n">
        <v>0.3943663843144566</v>
      </c>
      <c r="L903" t="b">
        <v>0</v>
      </c>
      <c r="M903" t="b">
        <v>0</v>
      </c>
      <c r="N903" t="inlineStr">
        <is>
          <t>alt</t>
        </is>
      </c>
      <c r="O903" t="n">
        <v>70</v>
      </c>
      <c r="P903" t="n">
        <v>0.007744</v>
      </c>
      <c r="Q903" t="n">
        <v>60</v>
      </c>
      <c r="R903" t="n">
        <v>0.012695</v>
      </c>
      <c r="S903">
        <f>IMAGE("https://mitra.stanford.edu/kundaje/oak/projects/neuro-variants/variant_position/credible/roussos_2024/variant_figures/roussos_2024.adolescence.GLU/rs61952902_count_position.png",4,220,900)</f>
        <v/>
      </c>
      <c r="T903">
        <f>IMAGE("https://mitra.stanford.edu/kundaje/oak/projects/neuro-variants/variant_position/credible/roussos_2024/variant_figures/roussos_2024.adolescence.GLU/rs61952902_profile_position.png",4,220,900)</f>
        <v/>
      </c>
    </row>
    <row r="904">
      <c r="A904" t="inlineStr">
        <is>
          <t>chr12</t>
        </is>
      </c>
      <c r="B904" t="n">
        <v>122087073</v>
      </c>
      <c r="C904" t="inlineStr">
        <is>
          <t>G</t>
        </is>
      </c>
      <c r="D904" t="inlineStr">
        <is>
          <t>A</t>
        </is>
      </c>
      <c r="E904" t="inlineStr">
        <is>
          <t>rs36167334</t>
        </is>
      </c>
      <c r="F904" t="n">
        <v>-0.0237319468</v>
      </c>
      <c r="G904" t="n">
        <v>0.2476184247771534</v>
      </c>
      <c r="H904" t="n">
        <v>0.0106996750277379</v>
      </c>
      <c r="I904" t="n">
        <v>0.4565028546591527</v>
      </c>
      <c r="J904" t="n">
        <v>0.4645590872394995</v>
      </c>
      <c r="K904" t="n">
        <v>0.1136354355614211</v>
      </c>
      <c r="L904" t="b">
        <v>0</v>
      </c>
      <c r="M904" t="b">
        <v>0</v>
      </c>
      <c r="N904" t="inlineStr">
        <is>
          <t>ref</t>
        </is>
      </c>
      <c r="O904" t="n">
        <v>10</v>
      </c>
      <c r="P904" t="n">
        <v>0.0005817</v>
      </c>
      <c r="Q904" t="n">
        <v>-100</v>
      </c>
      <c r="R904" t="n">
        <v>0.07184</v>
      </c>
      <c r="S904">
        <f>IMAGE("https://mitra.stanford.edu/kundaje/oak/projects/neuro-variants/variant_position/credible/roussos_2024/variant_figures/roussos_2024.adolescence.GLU/rs36167334_count_position.png",4,220,900)</f>
        <v/>
      </c>
      <c r="T904">
        <f>IMAGE("https://mitra.stanford.edu/kundaje/oak/projects/neuro-variants/variant_position/credible/roussos_2024/variant_figures/roussos_2024.adolescence.GLU/rs36167334_profile_position.png",4,220,900)</f>
        <v/>
      </c>
    </row>
    <row r="905">
      <c r="A905" t="inlineStr">
        <is>
          <t>chr12</t>
        </is>
      </c>
      <c r="B905" t="n">
        <v>122092107</v>
      </c>
      <c r="C905" t="inlineStr">
        <is>
          <t>C</t>
        </is>
      </c>
      <c r="D905" t="inlineStr">
        <is>
          <t>T</t>
        </is>
      </c>
      <c r="E905" t="inlineStr">
        <is>
          <t>rs146055085</t>
        </is>
      </c>
      <c r="F905" t="n">
        <v>0.003078769044</v>
      </c>
      <c r="G905" t="n">
        <v>0.7293372589226231</v>
      </c>
      <c r="H905" t="n">
        <v>0.0424238456075441</v>
      </c>
      <c r="I905" t="n">
        <v>0.0022712634398977</v>
      </c>
      <c r="J905" t="n">
        <v>0.1106357745533002</v>
      </c>
      <c r="K905" t="n">
        <v>0.5596919579135816</v>
      </c>
      <c r="L905" t="b">
        <v>1</v>
      </c>
      <c r="M905" t="b">
        <v>1</v>
      </c>
      <c r="N905" t="inlineStr">
        <is>
          <t>alt</t>
        </is>
      </c>
      <c r="O905" t="n">
        <v>25</v>
      </c>
      <c r="P905" t="n">
        <v>0.0004883</v>
      </c>
      <c r="Q905" t="n">
        <v>-30</v>
      </c>
      <c r="R905" t="n">
        <v>0.00586</v>
      </c>
      <c r="S905">
        <f>IMAGE("https://mitra.stanford.edu/kundaje/oak/projects/neuro-variants/variant_position/credible/roussos_2024/variant_figures/roussos_2024.adolescence.GLU/rs146055085_count_position.png",4,220,900)</f>
        <v/>
      </c>
      <c r="T905">
        <f>IMAGE("https://mitra.stanford.edu/kundaje/oak/projects/neuro-variants/variant_position/credible/roussos_2024/variant_figures/roussos_2024.adolescence.GLU/rs146055085_profile_position.png",4,220,900)</f>
        <v/>
      </c>
    </row>
    <row r="906">
      <c r="A906" t="inlineStr">
        <is>
          <t>chr12</t>
        </is>
      </c>
      <c r="B906" t="n">
        <v>122097852</v>
      </c>
      <c r="C906" t="inlineStr">
        <is>
          <t>T</t>
        </is>
      </c>
      <c r="D906" t="inlineStr">
        <is>
          <t>C</t>
        </is>
      </c>
      <c r="E906" t="inlineStr">
        <is>
          <t>rs373281699</t>
        </is>
      </c>
      <c r="F906" t="n">
        <v>0.0399486926</v>
      </c>
      <c r="G906" t="n">
        <v>0.1024840298015479</v>
      </c>
      <c r="H906" t="n">
        <v>0.0156900036655513</v>
      </c>
      <c r="I906" t="n">
        <v>0.1434808958488572</v>
      </c>
      <c r="J906" t="n">
        <v>0.4407027169913767</v>
      </c>
      <c r="K906" t="n">
        <v>0.1323386946793214</v>
      </c>
      <c r="L906" t="b">
        <v>0</v>
      </c>
      <c r="M906" t="b">
        <v>0</v>
      </c>
      <c r="N906" t="inlineStr">
        <is>
          <t>alt</t>
        </is>
      </c>
      <c r="O906" t="n">
        <v>-100</v>
      </c>
      <c r="P906" t="n">
        <v>0.0176</v>
      </c>
      <c r="Q906" t="n">
        <v>100</v>
      </c>
      <c r="R906" t="n">
        <v>0.09283</v>
      </c>
      <c r="S906">
        <f>IMAGE("https://mitra.stanford.edu/kundaje/oak/projects/neuro-variants/variant_position/credible/roussos_2024/variant_figures/roussos_2024.adolescence.GLU/rs373281699_count_position.png",4,220,900)</f>
        <v/>
      </c>
      <c r="T906">
        <f>IMAGE("https://mitra.stanford.edu/kundaje/oak/projects/neuro-variants/variant_position/credible/roussos_2024/variant_figures/roussos_2024.adolescence.GLU/rs373281699_profile_position.png",4,220,900)</f>
        <v/>
      </c>
    </row>
    <row r="907">
      <c r="A907" t="inlineStr">
        <is>
          <t>chr12</t>
        </is>
      </c>
      <c r="B907" t="n">
        <v>122103844</v>
      </c>
      <c r="C907" t="inlineStr">
        <is>
          <t>T</t>
        </is>
      </c>
      <c r="D907" t="inlineStr">
        <is>
          <t>G</t>
        </is>
      </c>
      <c r="E907" t="inlineStr">
        <is>
          <t>rs374837345</t>
        </is>
      </c>
      <c r="F907" t="n">
        <v>-0.0011284115</v>
      </c>
      <c r="G907" t="n">
        <v>0.779762460473685</v>
      </c>
      <c r="H907" t="n">
        <v>0.0281831898411986</v>
      </c>
      <c r="I907" t="n">
        <v>0.0115390303330177</v>
      </c>
      <c r="J907" t="n">
        <v>0.0727379242843159</v>
      </c>
      <c r="K907" t="n">
        <v>0.6388354559262402</v>
      </c>
      <c r="L907" t="b">
        <v>1</v>
      </c>
      <c r="M907" t="b">
        <v>0</v>
      </c>
      <c r="N907" t="inlineStr">
        <is>
          <t>ref</t>
        </is>
      </c>
      <c r="O907" t="n">
        <v>-60</v>
      </c>
      <c r="P907" t="n">
        <v>0.02489</v>
      </c>
      <c r="Q907" t="n">
        <v>100</v>
      </c>
      <c r="R907" t="n">
        <v>0.02905</v>
      </c>
      <c r="S907">
        <f>IMAGE("https://mitra.stanford.edu/kundaje/oak/projects/neuro-variants/variant_position/credible/roussos_2024/variant_figures/roussos_2024.adolescence.GLU/rs374837345_count_position.png",4,220,900)</f>
        <v/>
      </c>
      <c r="T907">
        <f>IMAGE("https://mitra.stanford.edu/kundaje/oak/projects/neuro-variants/variant_position/credible/roussos_2024/variant_figures/roussos_2024.adolescence.GLU/rs374837345_profile_position.png",4,220,900)</f>
        <v/>
      </c>
    </row>
    <row r="908">
      <c r="A908" t="inlineStr">
        <is>
          <t>chr12</t>
        </is>
      </c>
      <c r="B908" t="n">
        <v>122114047</v>
      </c>
      <c r="C908" t="inlineStr">
        <is>
          <t>A</t>
        </is>
      </c>
      <c r="D908" t="inlineStr">
        <is>
          <t>G</t>
        </is>
      </c>
      <c r="E908" t="inlineStr">
        <is>
          <t>rs28421373</t>
        </is>
      </c>
      <c r="F908" t="n">
        <v>0.0501275074</v>
      </c>
      <c r="G908" t="n">
        <v>0.0593760820329359</v>
      </c>
      <c r="H908" t="n">
        <v>0.009128440276337401</v>
      </c>
      <c r="I908" t="n">
        <v>0.6415873706409799</v>
      </c>
      <c r="J908" t="n">
        <v>0.2101678204770987</v>
      </c>
      <c r="K908" t="n">
        <v>0.3908094420782785</v>
      </c>
      <c r="L908" t="b">
        <v>0</v>
      </c>
      <c r="M908" t="b">
        <v>0</v>
      </c>
      <c r="N908" t="inlineStr">
        <is>
          <t>alt</t>
        </is>
      </c>
      <c r="O908" t="n">
        <v>-100</v>
      </c>
      <c r="P908" t="n">
        <v>0.01049</v>
      </c>
      <c r="Q908" t="n">
        <v>-100</v>
      </c>
      <c r="R908" t="n">
        <v>0.0679</v>
      </c>
      <c r="S908">
        <f>IMAGE("https://mitra.stanford.edu/kundaje/oak/projects/neuro-variants/variant_position/credible/roussos_2024/variant_figures/roussos_2024.adolescence.GLU/rs28421373_count_position.png",4,220,900)</f>
        <v/>
      </c>
      <c r="T908">
        <f>IMAGE("https://mitra.stanford.edu/kundaje/oak/projects/neuro-variants/variant_position/credible/roussos_2024/variant_figures/roussos_2024.adolescence.GLU/rs28421373_profile_position.png",4,220,900)</f>
        <v/>
      </c>
    </row>
    <row r="909">
      <c r="A909" t="inlineStr">
        <is>
          <t>chr12</t>
        </is>
      </c>
      <c r="B909" t="n">
        <v>122118352</v>
      </c>
      <c r="C909" t="inlineStr">
        <is>
          <t>C</t>
        </is>
      </c>
      <c r="D909" t="inlineStr">
        <is>
          <t>A</t>
        </is>
      </c>
      <c r="E909" t="inlineStr">
        <is>
          <t>rs28430881</t>
        </is>
      </c>
      <c r="F909" t="n">
        <v>-0.030860198</v>
      </c>
      <c r="G909" t="n">
        <v>0.175868581095931</v>
      </c>
      <c r="H909" t="n">
        <v>0.0098086696809822</v>
      </c>
      <c r="I909" t="n">
        <v>0.5510763831947874</v>
      </c>
      <c r="J909" t="n">
        <v>0.2900172178522694</v>
      </c>
      <c r="K909" t="n">
        <v>0.2792586062678707</v>
      </c>
      <c r="L909" t="b">
        <v>0</v>
      </c>
      <c r="M909" t="b">
        <v>0</v>
      </c>
      <c r="N909" t="inlineStr">
        <is>
          <t>ref</t>
        </is>
      </c>
      <c r="O909" t="n">
        <v>-35</v>
      </c>
      <c r="P909" t="n">
        <v>0.002153</v>
      </c>
      <c r="Q909" t="n">
        <v>-95</v>
      </c>
      <c r="R909" t="n">
        <v>0.2062</v>
      </c>
      <c r="S909">
        <f>IMAGE("https://mitra.stanford.edu/kundaje/oak/projects/neuro-variants/variant_position/credible/roussos_2024/variant_figures/roussos_2024.adolescence.GLU/rs28430881_count_position.png",4,220,900)</f>
        <v/>
      </c>
      <c r="T909">
        <f>IMAGE("https://mitra.stanford.edu/kundaje/oak/projects/neuro-variants/variant_position/credible/roussos_2024/variant_figures/roussos_2024.adolescence.GLU/rs28430881_profile_position.png",4,220,900)</f>
        <v/>
      </c>
    </row>
    <row r="910">
      <c r="A910" t="inlineStr">
        <is>
          <t>chr12</t>
        </is>
      </c>
      <c r="B910" t="n">
        <v>122119686</v>
      </c>
      <c r="C910" t="inlineStr">
        <is>
          <t>T</t>
        </is>
      </c>
      <c r="D910" t="inlineStr">
        <is>
          <t>C</t>
        </is>
      </c>
      <c r="E910" t="inlineStr">
        <is>
          <t>rs28498376</t>
        </is>
      </c>
      <c r="F910" t="n">
        <v>0.0151340512599999</v>
      </c>
      <c r="G910" t="n">
        <v>0.377356043717041</v>
      </c>
      <c r="H910" t="n">
        <v>0.008836282358847701</v>
      </c>
      <c r="I910" t="n">
        <v>0.6695123085931569</v>
      </c>
      <c r="J910" t="n">
        <v>0.2735566653092426</v>
      </c>
      <c r="K910" t="n">
        <v>0.3041619612564244</v>
      </c>
      <c r="L910" t="b">
        <v>0</v>
      </c>
      <c r="M910" t="b">
        <v>0</v>
      </c>
      <c r="N910" t="inlineStr">
        <is>
          <t>alt</t>
        </is>
      </c>
      <c r="O910" t="n">
        <v>-10</v>
      </c>
      <c r="P910" t="n">
        <v>0.000868</v>
      </c>
      <c r="Q910" t="n">
        <v>90</v>
      </c>
      <c r="R910" t="n">
        <v>0.07477</v>
      </c>
      <c r="S910">
        <f>IMAGE("https://mitra.stanford.edu/kundaje/oak/projects/neuro-variants/variant_position/credible/roussos_2024/variant_figures/roussos_2024.adolescence.GLU/rs28498376_count_position.png",4,220,900)</f>
        <v/>
      </c>
      <c r="T910">
        <f>IMAGE("https://mitra.stanford.edu/kundaje/oak/projects/neuro-variants/variant_position/credible/roussos_2024/variant_figures/roussos_2024.adolescence.GLU/rs28498376_profile_position.png",4,220,900)</f>
        <v/>
      </c>
    </row>
    <row r="911">
      <c r="A911" t="inlineStr">
        <is>
          <t>chr12</t>
        </is>
      </c>
      <c r="B911" t="n">
        <v>122122115</v>
      </c>
      <c r="C911" t="inlineStr">
        <is>
          <t>G</t>
        </is>
      </c>
      <c r="D911" t="inlineStr">
        <is>
          <t>A</t>
        </is>
      </c>
      <c r="E911" t="inlineStr">
        <is>
          <t>rs28478366</t>
        </is>
      </c>
      <c r="F911" t="n">
        <v>0.0102406097999999</v>
      </c>
      <c r="G911" t="n">
        <v>0.4836455804049179</v>
      </c>
      <c r="H911" t="n">
        <v>0.0076308795914078</v>
      </c>
      <c r="I911" t="n">
        <v>0.8445351373809845</v>
      </c>
      <c r="J911" t="n">
        <v>0.3995341892249108</v>
      </c>
      <c r="K911" t="n">
        <v>0.1681635522975448</v>
      </c>
      <c r="L911" t="b">
        <v>0</v>
      </c>
      <c r="M911" t="b">
        <v>0</v>
      </c>
      <c r="N911" t="inlineStr">
        <is>
          <t>alt</t>
        </is>
      </c>
      <c r="O911" t="n">
        <v>-80</v>
      </c>
      <c r="P911" t="n">
        <v>0.01106</v>
      </c>
      <c r="Q911" t="n">
        <v>-30</v>
      </c>
      <c r="R911" t="n">
        <v>0.05856</v>
      </c>
      <c r="S911">
        <f>IMAGE("https://mitra.stanford.edu/kundaje/oak/projects/neuro-variants/variant_position/credible/roussos_2024/variant_figures/roussos_2024.adolescence.GLU/rs28478366_count_position.png",4,220,900)</f>
        <v/>
      </c>
      <c r="T911">
        <f>IMAGE("https://mitra.stanford.edu/kundaje/oak/projects/neuro-variants/variant_position/credible/roussos_2024/variant_figures/roussos_2024.adolescence.GLU/rs28478366_profile_position.png",4,220,900)</f>
        <v/>
      </c>
    </row>
    <row r="912">
      <c r="A912" t="inlineStr">
        <is>
          <t>chr12</t>
        </is>
      </c>
      <c r="B912" t="n">
        <v>122122290</v>
      </c>
      <c r="C912" t="inlineStr">
        <is>
          <t>C</t>
        </is>
      </c>
      <c r="D912" t="inlineStr">
        <is>
          <t>T</t>
        </is>
      </c>
      <c r="E912" t="inlineStr">
        <is>
          <t>rs11059094</t>
        </is>
      </c>
      <c r="F912" t="n">
        <v>-0.0527785286</v>
      </c>
      <c r="G912" t="n">
        <v>0.0605181072279576</v>
      </c>
      <c r="H912" t="n">
        <v>0.0096399722162799</v>
      </c>
      <c r="I912" t="n">
        <v>0.5875698702142631</v>
      </c>
      <c r="J912" t="n">
        <v>0.40222760428946</v>
      </c>
      <c r="K912" t="n">
        <v>0.1655690968927693</v>
      </c>
      <c r="L912" t="b">
        <v>0</v>
      </c>
      <c r="M912" t="b">
        <v>0</v>
      </c>
      <c r="N912" t="inlineStr">
        <is>
          <t>ref</t>
        </is>
      </c>
      <c r="O912" t="n">
        <v>-40</v>
      </c>
      <c r="P912" t="n">
        <v>0.00209</v>
      </c>
      <c r="Q912" t="n">
        <v>-90</v>
      </c>
      <c r="R912" t="n">
        <v>0.06537</v>
      </c>
      <c r="S912">
        <f>IMAGE("https://mitra.stanford.edu/kundaje/oak/projects/neuro-variants/variant_position/credible/roussos_2024/variant_figures/roussos_2024.adolescence.GLU/rs11059094_count_position.png",4,220,900)</f>
        <v/>
      </c>
      <c r="T912">
        <f>IMAGE("https://mitra.stanford.edu/kundaje/oak/projects/neuro-variants/variant_position/credible/roussos_2024/variant_figures/roussos_2024.adolescence.GLU/rs11059094_profile_position.png",4,220,900)</f>
        <v/>
      </c>
    </row>
    <row r="913">
      <c r="A913" t="inlineStr">
        <is>
          <t>chr12</t>
        </is>
      </c>
      <c r="B913" t="n">
        <v>122123955</v>
      </c>
      <c r="C913" t="inlineStr">
        <is>
          <t>T</t>
        </is>
      </c>
      <c r="D913" t="inlineStr">
        <is>
          <t>C</t>
        </is>
      </c>
      <c r="E913" t="inlineStr">
        <is>
          <t>rs11609875</t>
        </is>
      </c>
      <c r="F913" t="n">
        <v>0.0068677802</v>
      </c>
      <c r="G913" t="n">
        <v>0.5591866515245651</v>
      </c>
      <c r="H913" t="n">
        <v>0.0069135271645137</v>
      </c>
      <c r="I913" t="n">
        <v>0.913282225924914</v>
      </c>
      <c r="J913" t="n">
        <v>0.6329425380971772</v>
      </c>
      <c r="K913" t="n">
        <v>0.0277438936859345</v>
      </c>
      <c r="L913" t="b">
        <v>0</v>
      </c>
      <c r="M913" t="b">
        <v>0</v>
      </c>
      <c r="N913" t="inlineStr">
        <is>
          <t>alt</t>
        </is>
      </c>
      <c r="O913" t="n">
        <v>-35</v>
      </c>
      <c r="P913" t="n">
        <v>0.000772</v>
      </c>
      <c r="Q913" t="n">
        <v>100</v>
      </c>
      <c r="R913" t="n">
        <v>0.0958</v>
      </c>
      <c r="S913">
        <f>IMAGE("https://mitra.stanford.edu/kundaje/oak/projects/neuro-variants/variant_position/credible/roussos_2024/variant_figures/roussos_2024.adolescence.GLU/rs11609875_count_position.png",4,220,900)</f>
        <v/>
      </c>
      <c r="T913">
        <f>IMAGE("https://mitra.stanford.edu/kundaje/oak/projects/neuro-variants/variant_position/credible/roussos_2024/variant_figures/roussos_2024.adolescence.GLU/rs11609875_profile_position.png",4,220,900)</f>
        <v/>
      </c>
    </row>
    <row r="914">
      <c r="A914" t="inlineStr">
        <is>
          <t>chr12</t>
        </is>
      </c>
      <c r="B914" t="n">
        <v>122124584</v>
      </c>
      <c r="C914" t="inlineStr">
        <is>
          <t>C</t>
        </is>
      </c>
      <c r="D914" t="inlineStr">
        <is>
          <t>T</t>
        </is>
      </c>
      <c r="E914" t="inlineStr">
        <is>
          <t>rs11057905</t>
        </is>
      </c>
      <c r="F914" t="n">
        <v>-0.0438508604</v>
      </c>
      <c r="G914" t="n">
        <v>0.0908539469449688</v>
      </c>
      <c r="H914" t="n">
        <v>0.0105673975493257</v>
      </c>
      <c r="I914" t="n">
        <v>0.4693757444413796</v>
      </c>
      <c r="J914" t="n">
        <v>0.5243829078880625</v>
      </c>
      <c r="K914" t="n">
        <v>0.0725423311792556</v>
      </c>
      <c r="L914" t="b">
        <v>0</v>
      </c>
      <c r="M914" t="b">
        <v>0</v>
      </c>
      <c r="N914" t="inlineStr">
        <is>
          <t>ref</t>
        </is>
      </c>
      <c r="O914" t="n">
        <v>25</v>
      </c>
      <c r="P914" t="n">
        <v>0.01585</v>
      </c>
      <c r="Q914" t="n">
        <v>-100</v>
      </c>
      <c r="R914" t="n">
        <v>0.2056</v>
      </c>
      <c r="S914">
        <f>IMAGE("https://mitra.stanford.edu/kundaje/oak/projects/neuro-variants/variant_position/credible/roussos_2024/variant_figures/roussos_2024.adolescence.GLU/rs11057905_count_position.png",4,220,900)</f>
        <v/>
      </c>
      <c r="T914">
        <f>IMAGE("https://mitra.stanford.edu/kundaje/oak/projects/neuro-variants/variant_position/credible/roussos_2024/variant_figures/roussos_2024.adolescence.GLU/rs11057905_profile_position.png",4,220,900)</f>
        <v/>
      </c>
    </row>
    <row r="915">
      <c r="A915" t="inlineStr">
        <is>
          <t>chr12</t>
        </is>
      </c>
      <c r="B915" t="n">
        <v>122125237</v>
      </c>
      <c r="C915" t="inlineStr">
        <is>
          <t>C</t>
        </is>
      </c>
      <c r="D915" t="inlineStr">
        <is>
          <t>T</t>
        </is>
      </c>
      <c r="E915" t="inlineStr">
        <is>
          <t>rs114490539</t>
        </is>
      </c>
      <c r="F915" t="n">
        <v>-0.0762228538</v>
      </c>
      <c r="G915" t="n">
        <v>0.023885604476637</v>
      </c>
      <c r="H915" t="n">
        <v>0.0141504388271433</v>
      </c>
      <c r="I915" t="n">
        <v>0.2328875651623164</v>
      </c>
      <c r="J915" t="n">
        <v>0.361047645583728</v>
      </c>
      <c r="K915" t="n">
        <v>0.2054244715370086</v>
      </c>
      <c r="L915" t="b">
        <v>0</v>
      </c>
      <c r="M915" t="b">
        <v>0</v>
      </c>
      <c r="N915" t="inlineStr">
        <is>
          <t>ref</t>
        </is>
      </c>
      <c r="O915" t="n">
        <v>-5</v>
      </c>
      <c r="P915" t="n">
        <v>0.000977</v>
      </c>
      <c r="Q915" t="n">
        <v>-80</v>
      </c>
      <c r="R915" t="n">
        <v>0.0395</v>
      </c>
      <c r="S915">
        <f>IMAGE("https://mitra.stanford.edu/kundaje/oak/projects/neuro-variants/variant_position/credible/roussos_2024/variant_figures/roussos_2024.adolescence.GLU/rs114490539_count_position.png",4,220,900)</f>
        <v/>
      </c>
      <c r="T915">
        <f>IMAGE("https://mitra.stanford.edu/kundaje/oak/projects/neuro-variants/variant_position/credible/roussos_2024/variant_figures/roussos_2024.adolescence.GLU/rs114490539_profile_position.png",4,220,900)</f>
        <v/>
      </c>
    </row>
    <row r="916">
      <c r="A916" t="inlineStr">
        <is>
          <t>chr12</t>
        </is>
      </c>
      <c r="B916" t="n">
        <v>122125472</v>
      </c>
      <c r="C916" t="inlineStr">
        <is>
          <t>C</t>
        </is>
      </c>
      <c r="D916" t="inlineStr">
        <is>
          <t>A</t>
        </is>
      </c>
      <c r="E916" t="inlineStr">
        <is>
          <t>rs4758691</t>
        </is>
      </c>
      <c r="F916" t="n">
        <v>0.0021640080119999</v>
      </c>
      <c r="G916" t="n">
        <v>0.734847757441635</v>
      </c>
      <c r="H916" t="n">
        <v>0.0089801462852768</v>
      </c>
      <c r="I916" t="n">
        <v>0.6597686512883938</v>
      </c>
      <c r="J916" t="n">
        <v>0.4012745497281579</v>
      </c>
      <c r="K916" t="n">
        <v>0.1670663754989906</v>
      </c>
      <c r="L916" t="b">
        <v>0</v>
      </c>
      <c r="M916" t="b">
        <v>0</v>
      </c>
      <c r="N916" t="inlineStr">
        <is>
          <t>alt</t>
        </is>
      </c>
      <c r="O916" t="n">
        <v>-100</v>
      </c>
      <c r="P916" t="n">
        <v>0.03394</v>
      </c>
      <c r="Q916" t="n">
        <v>100</v>
      </c>
      <c r="R916" t="n">
        <v>0.04767</v>
      </c>
      <c r="S916">
        <f>IMAGE("https://mitra.stanford.edu/kundaje/oak/projects/neuro-variants/variant_position/credible/roussos_2024/variant_figures/roussos_2024.adolescence.GLU/rs4758691_count_position.png",4,220,900)</f>
        <v/>
      </c>
      <c r="T916">
        <f>IMAGE("https://mitra.stanford.edu/kundaje/oak/projects/neuro-variants/variant_position/credible/roussos_2024/variant_figures/roussos_2024.adolescence.GLU/rs4758691_profile_position.png",4,220,900)</f>
        <v/>
      </c>
    </row>
    <row r="917">
      <c r="A917" t="inlineStr">
        <is>
          <t>chr12</t>
        </is>
      </c>
      <c r="B917" t="n">
        <v>122126362</v>
      </c>
      <c r="C917" t="inlineStr">
        <is>
          <t>G</t>
        </is>
      </c>
      <c r="D917" t="inlineStr">
        <is>
          <t>A</t>
        </is>
      </c>
      <c r="E917" t="inlineStr">
        <is>
          <t>rs4758690</t>
        </is>
      </c>
      <c r="F917" t="n">
        <v>-0.136050972</v>
      </c>
      <c r="G917" t="n">
        <v>0.0039232913465906</v>
      </c>
      <c r="H917" t="n">
        <v>0.0325211584511338</v>
      </c>
      <c r="I917" t="n">
        <v>0.0111311944262983</v>
      </c>
      <c r="J917" t="n">
        <v>0.4453822577533918</v>
      </c>
      <c r="K917" t="n">
        <v>0.1291415884740069</v>
      </c>
      <c r="L917" t="b">
        <v>1</v>
      </c>
      <c r="M917" t="b">
        <v>1</v>
      </c>
      <c r="N917" t="inlineStr">
        <is>
          <t>ref</t>
        </is>
      </c>
      <c r="O917" t="n">
        <v>-100</v>
      </c>
      <c r="P917" t="n">
        <v>0.00434</v>
      </c>
      <c r="Q917" t="n">
        <v>-100</v>
      </c>
      <c r="R917" t="n">
        <v>0.0359</v>
      </c>
      <c r="S917">
        <f>IMAGE("https://mitra.stanford.edu/kundaje/oak/projects/neuro-variants/variant_position/credible/roussos_2024/variant_figures/roussos_2024.adolescence.GLU/rs4758690_count_position.png",4,220,900)</f>
        <v/>
      </c>
      <c r="T917">
        <f>IMAGE("https://mitra.stanford.edu/kundaje/oak/projects/neuro-variants/variant_position/credible/roussos_2024/variant_figures/roussos_2024.adolescence.GLU/rs4758690_profile_position.png",4,220,900)</f>
        <v/>
      </c>
    </row>
    <row r="918">
      <c r="A918" t="inlineStr">
        <is>
          <t>chr12</t>
        </is>
      </c>
      <c r="B918" t="n">
        <v>122126552</v>
      </c>
      <c r="C918" t="inlineStr">
        <is>
          <t>C</t>
        </is>
      </c>
      <c r="D918" t="inlineStr">
        <is>
          <t>T</t>
        </is>
      </c>
      <c r="E918" t="inlineStr">
        <is>
          <t>rs7485421</t>
        </is>
      </c>
      <c r="F918" t="n">
        <v>-0.012315484</v>
      </c>
      <c r="G918" t="n">
        <v>0.4589876129912392</v>
      </c>
      <c r="H918" t="n">
        <v>0.008816623708051601</v>
      </c>
      <c r="I918" t="n">
        <v>0.6739328883758696</v>
      </c>
      <c r="J918" t="n">
        <v>0.4331711568824971</v>
      </c>
      <c r="K918" t="n">
        <v>0.1388877676485313</v>
      </c>
      <c r="L918" t="b">
        <v>0</v>
      </c>
      <c r="M918" t="b">
        <v>0</v>
      </c>
      <c r="N918" t="inlineStr">
        <is>
          <t>ref</t>
        </is>
      </c>
      <c r="O918" t="n">
        <v>60</v>
      </c>
      <c r="P918" t="n">
        <v>0.00638</v>
      </c>
      <c r="Q918" t="n">
        <v>-80</v>
      </c>
      <c r="R918" t="n">
        <v>0.1813</v>
      </c>
      <c r="S918">
        <f>IMAGE("https://mitra.stanford.edu/kundaje/oak/projects/neuro-variants/variant_position/credible/roussos_2024/variant_figures/roussos_2024.adolescence.GLU/rs7485421_count_position.png",4,220,900)</f>
        <v/>
      </c>
      <c r="T918">
        <f>IMAGE("https://mitra.stanford.edu/kundaje/oak/projects/neuro-variants/variant_position/credible/roussos_2024/variant_figures/roussos_2024.adolescence.GLU/rs7485421_profile_position.png",4,220,900)</f>
        <v/>
      </c>
    </row>
    <row r="919">
      <c r="A919" t="inlineStr">
        <is>
          <t>chr12</t>
        </is>
      </c>
      <c r="B919" t="n">
        <v>122128731</v>
      </c>
      <c r="C919" t="inlineStr">
        <is>
          <t>C</t>
        </is>
      </c>
      <c r="D919" t="inlineStr">
        <is>
          <t>T</t>
        </is>
      </c>
      <c r="E919" t="inlineStr">
        <is>
          <t>rs6489242</t>
        </is>
      </c>
      <c r="F919" t="n">
        <v>0.013600876766</v>
      </c>
      <c r="G919" t="n">
        <v>0.4326550866193078</v>
      </c>
      <c r="H919" t="n">
        <v>0.0117205474691446</v>
      </c>
      <c r="I919" t="n">
        <v>0.3662096371880294</v>
      </c>
      <c r="J919" t="n">
        <v>0.4371205463988968</v>
      </c>
      <c r="K919" t="n">
        <v>0.135997153060615</v>
      </c>
      <c r="L919" t="b">
        <v>0</v>
      </c>
      <c r="M919" t="b">
        <v>0</v>
      </c>
      <c r="N919" t="inlineStr">
        <is>
          <t>alt</t>
        </is>
      </c>
      <c r="O919" t="n">
        <v>-100</v>
      </c>
      <c r="P919" t="n">
        <v>0.009254</v>
      </c>
      <c r="Q919" t="n">
        <v>55</v>
      </c>
      <c r="R919" t="n">
        <v>0.02441</v>
      </c>
      <c r="S919">
        <f>IMAGE("https://mitra.stanford.edu/kundaje/oak/projects/neuro-variants/variant_position/credible/roussos_2024/variant_figures/roussos_2024.adolescence.GLU/rs6489242_count_position.png",4,220,900)</f>
        <v/>
      </c>
      <c r="T919">
        <f>IMAGE("https://mitra.stanford.edu/kundaje/oak/projects/neuro-variants/variant_position/credible/roussos_2024/variant_figures/roussos_2024.adolescence.GLU/rs6489242_profile_position.png",4,220,900)</f>
        <v/>
      </c>
    </row>
    <row r="920">
      <c r="A920" t="inlineStr">
        <is>
          <t>chr12</t>
        </is>
      </c>
      <c r="B920" t="n">
        <v>122130362</v>
      </c>
      <c r="C920" t="inlineStr">
        <is>
          <t>A</t>
        </is>
      </c>
      <c r="D920" t="inlineStr">
        <is>
          <t>T</t>
        </is>
      </c>
      <c r="E920" t="inlineStr">
        <is>
          <t>rs7488268</t>
        </is>
      </c>
      <c r="F920" t="n">
        <v>0.00262600564</v>
      </c>
      <c r="G920" t="n">
        <v>0.5544610617968962</v>
      </c>
      <c r="H920" t="n">
        <v>0.0072671071701797</v>
      </c>
      <c r="I920" t="n">
        <v>0.8435916967732086</v>
      </c>
      <c r="J920" t="n">
        <v>0.6319680505247516</v>
      </c>
      <c r="K920" t="n">
        <v>0.0286929115435281</v>
      </c>
      <c r="L920" t="b">
        <v>0</v>
      </c>
      <c r="M920" t="b">
        <v>0</v>
      </c>
      <c r="N920" t="inlineStr">
        <is>
          <t>alt</t>
        </is>
      </c>
      <c r="O920" t="n">
        <v>-5</v>
      </c>
      <c r="P920" t="n">
        <v>0.0001373</v>
      </c>
      <c r="Q920" t="n">
        <v>-10</v>
      </c>
      <c r="R920" t="n">
        <v>0.02881</v>
      </c>
      <c r="S920">
        <f>IMAGE("https://mitra.stanford.edu/kundaje/oak/projects/neuro-variants/variant_position/credible/roussos_2024/variant_figures/roussos_2024.adolescence.GLU/rs7488268_count_position.png",4,220,900)</f>
        <v/>
      </c>
      <c r="T920">
        <f>IMAGE("https://mitra.stanford.edu/kundaje/oak/projects/neuro-variants/variant_position/credible/roussos_2024/variant_figures/roussos_2024.adolescence.GLU/rs7488268_profile_position.png",4,220,900)</f>
        <v/>
      </c>
    </row>
    <row r="921">
      <c r="A921" t="inlineStr">
        <is>
          <t>chr12</t>
        </is>
      </c>
      <c r="B921" t="n">
        <v>122138453</v>
      </c>
      <c r="C921" t="inlineStr">
        <is>
          <t>T</t>
        </is>
      </c>
      <c r="D921" t="inlineStr">
        <is>
          <t>C</t>
        </is>
      </c>
      <c r="E921" t="inlineStr">
        <is>
          <t>rs4758686</t>
        </is>
      </c>
      <c r="F921" t="n">
        <v>-0.004814769928</v>
      </c>
      <c r="G921" t="n">
        <v>0.5109458414791939</v>
      </c>
      <c r="H921" t="n">
        <v>0.009035649245122601</v>
      </c>
      <c r="I921" t="n">
        <v>0.6459426998720382</v>
      </c>
      <c r="J921" t="n">
        <v>0.6282544241307128</v>
      </c>
      <c r="K921" t="n">
        <v>0.0292412847128497</v>
      </c>
      <c r="L921" t="b">
        <v>0</v>
      </c>
      <c r="M921" t="b">
        <v>0</v>
      </c>
      <c r="N921" t="inlineStr">
        <is>
          <t>ref</t>
        </is>
      </c>
      <c r="O921" t="n">
        <v>-100</v>
      </c>
      <c r="P921" t="n">
        <v>0.003696</v>
      </c>
      <c r="Q921" t="n">
        <v>-50</v>
      </c>
      <c r="R921" t="n">
        <v>0.03021</v>
      </c>
      <c r="S921">
        <f>IMAGE("https://mitra.stanford.edu/kundaje/oak/projects/neuro-variants/variant_position/credible/roussos_2024/variant_figures/roussos_2024.adolescence.GLU/rs4758686_count_position.png",4,220,900)</f>
        <v/>
      </c>
      <c r="T921">
        <f>IMAGE("https://mitra.stanford.edu/kundaje/oak/projects/neuro-variants/variant_position/credible/roussos_2024/variant_figures/roussos_2024.adolescence.GLU/rs4758686_profile_position.png",4,220,900)</f>
        <v/>
      </c>
    </row>
    <row r="922">
      <c r="A922" t="inlineStr">
        <is>
          <t>chr12</t>
        </is>
      </c>
      <c r="B922" t="n">
        <v>122141834</v>
      </c>
      <c r="C922" t="inlineStr">
        <is>
          <t>G</t>
        </is>
      </c>
      <c r="D922" t="inlineStr">
        <is>
          <t>A</t>
        </is>
      </c>
      <c r="E922" t="inlineStr">
        <is>
          <t>rs11057509</t>
        </is>
      </c>
      <c r="F922" t="n">
        <v>-0.0518052707999999</v>
      </c>
      <c r="G922" t="n">
        <v>0.0558703478106268</v>
      </c>
      <c r="H922" t="n">
        <v>0.0149776611913106</v>
      </c>
      <c r="I922" t="n">
        <v>0.1520818647422303</v>
      </c>
      <c r="J922" t="n">
        <v>0.5399704224446491</v>
      </c>
      <c r="K922" t="n">
        <v>0.0643945488522278</v>
      </c>
      <c r="L922" t="b">
        <v>0</v>
      </c>
      <c r="M922" t="b">
        <v>0</v>
      </c>
      <c r="N922" t="inlineStr">
        <is>
          <t>ref</t>
        </is>
      </c>
      <c r="O922" t="n">
        <v>-20</v>
      </c>
      <c r="P922" t="n">
        <v>0.0003815</v>
      </c>
      <c r="Q922" t="n">
        <v>-15</v>
      </c>
      <c r="R922" t="n">
        <v>0.01489</v>
      </c>
      <c r="S922">
        <f>IMAGE("https://mitra.stanford.edu/kundaje/oak/projects/neuro-variants/variant_position/credible/roussos_2024/variant_figures/roussos_2024.adolescence.GLU/rs11057509_count_position.png",4,220,900)</f>
        <v/>
      </c>
      <c r="T922">
        <f>IMAGE("https://mitra.stanford.edu/kundaje/oak/projects/neuro-variants/variant_position/credible/roussos_2024/variant_figures/roussos_2024.adolescence.GLU/rs11057509_profile_position.png",4,220,900)</f>
        <v/>
      </c>
    </row>
    <row r="923">
      <c r="A923" t="inlineStr">
        <is>
          <t>chr12</t>
        </is>
      </c>
      <c r="B923" t="n">
        <v>122143672</v>
      </c>
      <c r="C923" t="inlineStr">
        <is>
          <t>T</t>
        </is>
      </c>
      <c r="D923" t="inlineStr">
        <is>
          <t>C</t>
        </is>
      </c>
      <c r="E923" t="inlineStr">
        <is>
          <t>rs1047796</t>
        </is>
      </c>
      <c r="F923" t="n">
        <v>0.071009694</v>
      </c>
      <c r="G923" t="n">
        <v>0.0236643022464581</v>
      </c>
      <c r="H923" t="n">
        <v>0.0143241437348757</v>
      </c>
      <c r="I923" t="n">
        <v>0.1925245935374468</v>
      </c>
      <c r="J923" t="n">
        <v>0.5395674818355232</v>
      </c>
      <c r="K923" t="n">
        <v>0.06566651954698879</v>
      </c>
      <c r="L923" t="b">
        <v>0</v>
      </c>
      <c r="M923" t="b">
        <v>0</v>
      </c>
      <c r="N923" t="inlineStr">
        <is>
          <t>alt</t>
        </is>
      </c>
      <c r="O923" t="n">
        <v>75</v>
      </c>
      <c r="P923" t="n">
        <v>0.009155</v>
      </c>
      <c r="Q923" t="n">
        <v>60</v>
      </c>
      <c r="R923" t="n">
        <v>0.08716</v>
      </c>
      <c r="S923">
        <f>IMAGE("https://mitra.stanford.edu/kundaje/oak/projects/neuro-variants/variant_position/credible/roussos_2024/variant_figures/roussos_2024.adolescence.GLU/rs1047796_count_position.png",4,220,900)</f>
        <v/>
      </c>
      <c r="T923">
        <f>IMAGE("https://mitra.stanford.edu/kundaje/oak/projects/neuro-variants/variant_position/credible/roussos_2024/variant_figures/roussos_2024.adolescence.GLU/rs1047796_profile_position.png",4,220,900)</f>
        <v/>
      </c>
    </row>
    <row r="924">
      <c r="A924" t="inlineStr">
        <is>
          <t>chr12</t>
        </is>
      </c>
      <c r="B924" t="n">
        <v>122239744</v>
      </c>
      <c r="C924" t="inlineStr">
        <is>
          <t>C</t>
        </is>
      </c>
      <c r="D924" t="inlineStr">
        <is>
          <t>T</t>
        </is>
      </c>
      <c r="E924" t="inlineStr">
        <is>
          <t>rs11057249</t>
        </is>
      </c>
      <c r="F924" t="n">
        <v>-0.0229110254</v>
      </c>
      <c r="G924" t="n">
        <v>0.2561465947193284</v>
      </c>
      <c r="H924" t="n">
        <v>0.0115990883537791</v>
      </c>
      <c r="I924" t="n">
        <v>0.3652762307035401</v>
      </c>
      <c r="J924" t="n">
        <v>0.2016989233484078</v>
      </c>
      <c r="K924" t="n">
        <v>0.4007424519639764</v>
      </c>
      <c r="L924" t="b">
        <v>0</v>
      </c>
      <c r="M924" t="b">
        <v>0</v>
      </c>
      <c r="N924" t="inlineStr">
        <is>
          <t>ref</t>
        </is>
      </c>
      <c r="O924" t="n">
        <v>-55</v>
      </c>
      <c r="P924" t="n">
        <v>0.007812</v>
      </c>
      <c r="Q924" t="n">
        <v>-5</v>
      </c>
      <c r="R924" t="n">
        <v>0.01428</v>
      </c>
      <c r="S924">
        <f>IMAGE("https://mitra.stanford.edu/kundaje/oak/projects/neuro-variants/variant_position/credible/roussos_2024/variant_figures/roussos_2024.adolescence.GLU/rs11057249_count_position.png",4,220,900)</f>
        <v/>
      </c>
      <c r="T924">
        <f>IMAGE("https://mitra.stanford.edu/kundaje/oak/projects/neuro-variants/variant_position/credible/roussos_2024/variant_figures/roussos_2024.adolescence.GLU/rs11057249_profile_position.png",4,220,900)</f>
        <v/>
      </c>
    </row>
    <row r="925">
      <c r="A925" t="inlineStr">
        <is>
          <t>chr12</t>
        </is>
      </c>
      <c r="B925" t="n">
        <v>122853214</v>
      </c>
      <c r="C925" t="inlineStr">
        <is>
          <t>G</t>
        </is>
      </c>
      <c r="D925" t="inlineStr">
        <is>
          <t>A</t>
        </is>
      </c>
      <c r="E925" t="inlineStr">
        <is>
          <t>rs12298151</t>
        </is>
      </c>
      <c r="F925" t="n">
        <v>-0.0189646678</v>
      </c>
      <c r="G925" t="n">
        <v>0.322047122949455</v>
      </c>
      <c r="H925" t="n">
        <v>0.0102870511643716</v>
      </c>
      <c r="I925" t="n">
        <v>0.4883242529445759</v>
      </c>
      <c r="J925" t="n">
        <v>0.5976466553786142</v>
      </c>
      <c r="K925" t="n">
        <v>0.0395249106125579</v>
      </c>
      <c r="L925" t="b">
        <v>0</v>
      </c>
      <c r="M925" t="b">
        <v>0</v>
      </c>
      <c r="N925" t="inlineStr">
        <is>
          <t>ref</t>
        </is>
      </c>
      <c r="O925" t="n">
        <v>-40</v>
      </c>
      <c r="P925" t="n">
        <v>0.001289</v>
      </c>
      <c r="Q925" t="n">
        <v>-10</v>
      </c>
      <c r="R925" t="n">
        <v>0.00787</v>
      </c>
      <c r="S925">
        <f>IMAGE("https://mitra.stanford.edu/kundaje/oak/projects/neuro-variants/variant_position/credible/roussos_2024/variant_figures/roussos_2024.adolescence.GLU/rs12298151_count_position.png",4,220,900)</f>
        <v/>
      </c>
      <c r="T925">
        <f>IMAGE("https://mitra.stanford.edu/kundaje/oak/projects/neuro-variants/variant_position/credible/roussos_2024/variant_figures/roussos_2024.adolescence.GLU/rs12298151_profile_position.png",4,220,900)</f>
        <v/>
      </c>
    </row>
    <row r="926">
      <c r="A926" t="inlineStr">
        <is>
          <t>chr12</t>
        </is>
      </c>
      <c r="B926" t="n">
        <v>122963381</v>
      </c>
      <c r="C926" t="inlineStr">
        <is>
          <t>T</t>
        </is>
      </c>
      <c r="D926" t="inlineStr">
        <is>
          <t>C</t>
        </is>
      </c>
      <c r="E926" t="inlineStr">
        <is>
          <t>rs4275659</t>
        </is>
      </c>
      <c r="F926" t="n">
        <v>0.00512278836</v>
      </c>
      <c r="G926" t="n">
        <v>0.5534190028380105</v>
      </c>
      <c r="H926" t="n">
        <v>0.0121398639413596</v>
      </c>
      <c r="I926" t="n">
        <v>0.3193234117672818</v>
      </c>
      <c r="J926" t="n">
        <v>0.3823920669281493</v>
      </c>
      <c r="K926" t="n">
        <v>0.1835049032478191</v>
      </c>
      <c r="L926" t="b">
        <v>0</v>
      </c>
      <c r="M926" t="b">
        <v>0</v>
      </c>
      <c r="N926" t="inlineStr">
        <is>
          <t>alt</t>
        </is>
      </c>
      <c r="O926" t="n">
        <v>-100</v>
      </c>
      <c r="P926" t="n">
        <v>0.01108</v>
      </c>
      <c r="Q926" t="n">
        <v>-60</v>
      </c>
      <c r="R926" t="n">
        <v>0.03958</v>
      </c>
      <c r="S926">
        <f>IMAGE("https://mitra.stanford.edu/kundaje/oak/projects/neuro-variants/variant_position/credible/roussos_2024/variant_figures/roussos_2024.adolescence.GLU/rs4275659_count_position.png",4,220,900)</f>
        <v/>
      </c>
      <c r="T926">
        <f>IMAGE("https://mitra.stanford.edu/kundaje/oak/projects/neuro-variants/variant_position/credible/roussos_2024/variant_figures/roussos_2024.adolescence.GLU/rs4275659_profile_position.png",4,220,900)</f>
        <v/>
      </c>
    </row>
    <row r="927">
      <c r="A927" t="inlineStr">
        <is>
          <t>chr12</t>
        </is>
      </c>
      <c r="B927" t="n">
        <v>122966471</v>
      </c>
      <c r="C927" t="inlineStr">
        <is>
          <t>G</t>
        </is>
      </c>
      <c r="D927" t="inlineStr">
        <is>
          <t>C</t>
        </is>
      </c>
      <c r="E927" t="inlineStr">
        <is>
          <t>rs61955196</t>
        </is>
      </c>
      <c r="F927" t="n">
        <v>-0.0380209524</v>
      </c>
      <c r="G927" t="n">
        <v>0.1294333568652679</v>
      </c>
      <c r="H927" t="n">
        <v>0.0140277361787714</v>
      </c>
      <c r="I927" t="n">
        <v>0.2043457055990213</v>
      </c>
      <c r="J927" t="n">
        <v>0.8752798794035908</v>
      </c>
      <c r="K927" t="n">
        <v>0.0042350418699845</v>
      </c>
      <c r="L927" t="b">
        <v>0</v>
      </c>
      <c r="M927" t="b">
        <v>0</v>
      </c>
      <c r="N927" t="inlineStr">
        <is>
          <t>ref</t>
        </is>
      </c>
      <c r="O927" t="n">
        <v>40</v>
      </c>
      <c r="P927" t="n">
        <v>0.002625</v>
      </c>
      <c r="Q927" t="n">
        <v>60</v>
      </c>
      <c r="R927" t="n">
        <v>0.01416</v>
      </c>
      <c r="S927">
        <f>IMAGE("https://mitra.stanford.edu/kundaje/oak/projects/neuro-variants/variant_position/credible/roussos_2024/variant_figures/roussos_2024.adolescence.GLU/rs61955196_count_position.png",4,220,900)</f>
        <v/>
      </c>
      <c r="T927">
        <f>IMAGE("https://mitra.stanford.edu/kundaje/oak/projects/neuro-variants/variant_position/credible/roussos_2024/variant_figures/roussos_2024.adolescence.GLU/rs61955196_profile_position.png",4,220,900)</f>
        <v/>
      </c>
    </row>
    <row r="928">
      <c r="A928" t="inlineStr">
        <is>
          <t>chr12</t>
        </is>
      </c>
      <c r="B928" t="n">
        <v>122985100</v>
      </c>
      <c r="C928" t="inlineStr">
        <is>
          <t>G</t>
        </is>
      </c>
      <c r="D928" t="inlineStr">
        <is>
          <t>T</t>
        </is>
      </c>
      <c r="E928" t="inlineStr">
        <is>
          <t>rs3741530</t>
        </is>
      </c>
      <c r="F928" t="n">
        <v>0.00691226234</v>
      </c>
      <c r="G928" t="n">
        <v>0.6113053059896977</v>
      </c>
      <c r="H928" t="n">
        <v>0.0146702060051386</v>
      </c>
      <c r="I928" t="n">
        <v>0.1698766295925561</v>
      </c>
      <c r="J928" t="n">
        <v>0.644562087861057</v>
      </c>
      <c r="K928" t="n">
        <v>0.024827882622745</v>
      </c>
      <c r="L928" t="b">
        <v>0</v>
      </c>
      <c r="M928" t="b">
        <v>0</v>
      </c>
      <c r="N928" t="inlineStr">
        <is>
          <t>alt</t>
        </is>
      </c>
      <c r="O928" t="n">
        <v>-5</v>
      </c>
      <c r="P928" t="n">
        <v>0.0005493</v>
      </c>
      <c r="Q928" t="n">
        <v>100</v>
      </c>
      <c r="R928" t="n">
        <v>0.1343</v>
      </c>
      <c r="S928">
        <f>IMAGE("https://mitra.stanford.edu/kundaje/oak/projects/neuro-variants/variant_position/credible/roussos_2024/variant_figures/roussos_2024.adolescence.GLU/rs3741530_count_position.png",4,220,900)</f>
        <v/>
      </c>
      <c r="T928">
        <f>IMAGE("https://mitra.stanford.edu/kundaje/oak/projects/neuro-variants/variant_position/credible/roussos_2024/variant_figures/roussos_2024.adolescence.GLU/rs3741530_profile_position.png",4,220,900)</f>
        <v/>
      </c>
    </row>
    <row r="929">
      <c r="A929" t="inlineStr">
        <is>
          <t>chr12</t>
        </is>
      </c>
      <c r="B929" t="n">
        <v>123017425</v>
      </c>
      <c r="C929" t="inlineStr">
        <is>
          <t>T</t>
        </is>
      </c>
      <c r="D929" t="inlineStr">
        <is>
          <t>C</t>
        </is>
      </c>
      <c r="E929" t="inlineStr">
        <is>
          <t>rs12425850</t>
        </is>
      </c>
      <c r="F929" t="n">
        <v>0.02291135588</v>
      </c>
      <c r="G929" t="n">
        <v>0.2400776470950563</v>
      </c>
      <c r="H929" t="n">
        <v>0.0159579186548169</v>
      </c>
      <c r="I929" t="n">
        <v>0.127390364237279</v>
      </c>
      <c r="J929" t="n">
        <v>0.0406255581513313</v>
      </c>
      <c r="K929" t="n">
        <v>0.7396369765213069</v>
      </c>
      <c r="L929" t="b">
        <v>0</v>
      </c>
      <c r="M929" t="b">
        <v>0</v>
      </c>
      <c r="N929" t="inlineStr">
        <is>
          <t>alt</t>
        </is>
      </c>
      <c r="O929" t="n">
        <v>-100</v>
      </c>
      <c r="P929" t="n">
        <v>0.007416</v>
      </c>
      <c r="Q929" t="n">
        <v>-5</v>
      </c>
      <c r="R929" t="n">
        <v>0.01282</v>
      </c>
      <c r="S929">
        <f>IMAGE("https://mitra.stanford.edu/kundaje/oak/projects/neuro-variants/variant_position/credible/roussos_2024/variant_figures/roussos_2024.adolescence.GLU/rs12425850_count_position.png",4,220,900)</f>
        <v/>
      </c>
      <c r="T929">
        <f>IMAGE("https://mitra.stanford.edu/kundaje/oak/projects/neuro-variants/variant_position/credible/roussos_2024/variant_figures/roussos_2024.adolescence.GLU/rs12425850_profile_position.png",4,220,900)</f>
        <v/>
      </c>
    </row>
    <row r="930">
      <c r="A930" t="inlineStr">
        <is>
          <t>chr12</t>
        </is>
      </c>
      <c r="B930" t="n">
        <v>123102141</v>
      </c>
      <c r="C930" t="inlineStr">
        <is>
          <t>T</t>
        </is>
      </c>
      <c r="D930" t="inlineStr">
        <is>
          <t>C</t>
        </is>
      </c>
      <c r="E930" t="inlineStr">
        <is>
          <t>rs1790094</t>
        </is>
      </c>
      <c r="F930" t="n">
        <v>0.00379001558</v>
      </c>
      <c r="G930" t="n">
        <v>0.7066006726490691</v>
      </c>
      <c r="H930" t="n">
        <v>0.0076243395397978</v>
      </c>
      <c r="I930" t="n">
        <v>0.8124784044873146</v>
      </c>
      <c r="J930" t="n">
        <v>0.3035643097498767</v>
      </c>
      <c r="K930" t="n">
        <v>0.2668471293478555</v>
      </c>
      <c r="L930" t="b">
        <v>0</v>
      </c>
      <c r="M930" t="b">
        <v>0</v>
      </c>
      <c r="N930" t="inlineStr">
        <is>
          <t>alt</t>
        </is>
      </c>
      <c r="O930" t="n">
        <v>-100</v>
      </c>
      <c r="P930" t="n">
        <v>0.00453</v>
      </c>
      <c r="Q930" t="n">
        <v>45</v>
      </c>
      <c r="R930" t="n">
        <v>0.083</v>
      </c>
      <c r="S930">
        <f>IMAGE("https://mitra.stanford.edu/kundaje/oak/projects/neuro-variants/variant_position/credible/roussos_2024/variant_figures/roussos_2024.adolescence.GLU/rs1790094_count_position.png",4,220,900)</f>
        <v/>
      </c>
      <c r="T930">
        <f>IMAGE("https://mitra.stanford.edu/kundaje/oak/projects/neuro-variants/variant_position/credible/roussos_2024/variant_figures/roussos_2024.adolescence.GLU/rs1790094_profile_position.png",4,220,900)</f>
        <v/>
      </c>
    </row>
    <row r="931">
      <c r="A931" t="inlineStr">
        <is>
          <t>chr12</t>
        </is>
      </c>
      <c r="B931" t="n">
        <v>123147820</v>
      </c>
      <c r="C931" t="inlineStr">
        <is>
          <t>C</t>
        </is>
      </c>
      <c r="D931" t="inlineStr">
        <is>
          <t>G</t>
        </is>
      </c>
      <c r="E931" t="inlineStr">
        <is>
          <t>rs58991895</t>
        </is>
      </c>
      <c r="F931" t="n">
        <v>0.0003728802879999</v>
      </c>
      <c r="G931" t="n">
        <v>0.8206051040388169</v>
      </c>
      <c r="H931" t="n">
        <v>0.008503030558292201</v>
      </c>
      <c r="I931" t="n">
        <v>0.7309394479122893</v>
      </c>
      <c r="J931" t="n">
        <v>0.2304577376742324</v>
      </c>
      <c r="K931" t="n">
        <v>0.3589476635487211</v>
      </c>
      <c r="L931" t="b">
        <v>0</v>
      </c>
      <c r="M931" t="b">
        <v>0</v>
      </c>
      <c r="N931" t="inlineStr">
        <is>
          <t>alt</t>
        </is>
      </c>
      <c r="O931" t="n">
        <v>65</v>
      </c>
      <c r="P931" t="n">
        <v>0.01642</v>
      </c>
      <c r="Q931" t="n">
        <v>30</v>
      </c>
      <c r="R931" t="n">
        <v>0.041</v>
      </c>
      <c r="S931">
        <f>IMAGE("https://mitra.stanford.edu/kundaje/oak/projects/neuro-variants/variant_position/credible/roussos_2024/variant_figures/roussos_2024.adolescence.GLU/rs58991895_count_position.png",4,220,900)</f>
        <v/>
      </c>
      <c r="T931">
        <f>IMAGE("https://mitra.stanford.edu/kundaje/oak/projects/neuro-variants/variant_position/credible/roussos_2024/variant_figures/roussos_2024.adolescence.GLU/rs58991895_profile_position.png",4,220,900)</f>
        <v/>
      </c>
    </row>
    <row r="932">
      <c r="A932" t="inlineStr">
        <is>
          <t>chr12</t>
        </is>
      </c>
      <c r="B932" t="n">
        <v>123148383</v>
      </c>
      <c r="C932" t="inlineStr">
        <is>
          <t>G</t>
        </is>
      </c>
      <c r="D932" t="inlineStr">
        <is>
          <t>A</t>
        </is>
      </c>
      <c r="E932" t="inlineStr">
        <is>
          <t>rs1727302</t>
        </is>
      </c>
      <c r="F932" t="n">
        <v>-0.0667940442</v>
      </c>
      <c r="G932" t="n">
        <v>0.028431629720886</v>
      </c>
      <c r="H932" t="n">
        <v>0.0115417526255243</v>
      </c>
      <c r="I932" t="n">
        <v>0.3561130723267265</v>
      </c>
      <c r="J932" t="n">
        <v>0.3320616413399918</v>
      </c>
      <c r="K932" t="n">
        <v>0.2343771964913836</v>
      </c>
      <c r="L932" t="b">
        <v>0</v>
      </c>
      <c r="M932" t="b">
        <v>0</v>
      </c>
      <c r="N932" t="inlineStr">
        <is>
          <t>ref</t>
        </is>
      </c>
      <c r="O932" t="n">
        <v>-70</v>
      </c>
      <c r="P932" t="n">
        <v>0.0021</v>
      </c>
      <c r="Q932" t="n">
        <v>-50</v>
      </c>
      <c r="R932" t="n">
        <v>0.0465</v>
      </c>
      <c r="S932">
        <f>IMAGE("https://mitra.stanford.edu/kundaje/oak/projects/neuro-variants/variant_position/credible/roussos_2024/variant_figures/roussos_2024.adolescence.GLU/rs1727302_count_position.png",4,220,900)</f>
        <v/>
      </c>
      <c r="T932">
        <f>IMAGE("https://mitra.stanford.edu/kundaje/oak/projects/neuro-variants/variant_position/credible/roussos_2024/variant_figures/roussos_2024.adolescence.GLU/rs1727302_profile_position.png",4,220,900)</f>
        <v/>
      </c>
    </row>
    <row r="933">
      <c r="A933" t="inlineStr">
        <is>
          <t>chr12</t>
        </is>
      </c>
      <c r="B933" t="n">
        <v>123186245</v>
      </c>
      <c r="C933" t="inlineStr">
        <is>
          <t>A</t>
        </is>
      </c>
      <c r="D933" t="inlineStr">
        <is>
          <t>C</t>
        </is>
      </c>
      <c r="E933" t="inlineStr">
        <is>
          <t>rs11613128</t>
        </is>
      </c>
      <c r="F933" t="n">
        <v>-0.003457443</v>
      </c>
      <c r="G933" t="n">
        <v>0.7060546313979061</v>
      </c>
      <c r="H933" t="n">
        <v>0.0403121284152623</v>
      </c>
      <c r="I933" t="n">
        <v>0.0029041962256916</v>
      </c>
      <c r="J933" t="n">
        <v>0.0446478199055518</v>
      </c>
      <c r="K933" t="n">
        <v>0.7221228251284011</v>
      </c>
      <c r="L933" t="b">
        <v>1</v>
      </c>
      <c r="M933" t="b">
        <v>0</v>
      </c>
      <c r="N933" t="inlineStr">
        <is>
          <t>ref</t>
        </is>
      </c>
      <c r="O933" t="n">
        <v>-90</v>
      </c>
      <c r="P933" t="n">
        <v>0.01288</v>
      </c>
      <c r="Q933" t="n">
        <v>-90</v>
      </c>
      <c r="R933" t="n">
        <v>0.0505</v>
      </c>
      <c r="S933">
        <f>IMAGE("https://mitra.stanford.edu/kundaje/oak/projects/neuro-variants/variant_position/credible/roussos_2024/variant_figures/roussos_2024.adolescence.GLU/rs11613128_count_position.png",4,220,900)</f>
        <v/>
      </c>
      <c r="T933">
        <f>IMAGE("https://mitra.stanford.edu/kundaje/oak/projects/neuro-variants/variant_position/credible/roussos_2024/variant_figures/roussos_2024.adolescence.GLU/rs11613128_profile_position.png",4,220,900)</f>
        <v/>
      </c>
    </row>
    <row r="934">
      <c r="A934" t="inlineStr">
        <is>
          <t>chr12</t>
        </is>
      </c>
      <c r="B934" t="n">
        <v>123193263</v>
      </c>
      <c r="C934" t="inlineStr">
        <is>
          <t>A</t>
        </is>
      </c>
      <c r="D934" t="inlineStr">
        <is>
          <t>G</t>
        </is>
      </c>
      <c r="E934" t="inlineStr">
        <is>
          <t>rs4460848</t>
        </is>
      </c>
      <c r="F934" t="n">
        <v>-0.001832164658</v>
      </c>
      <c r="G934" t="n">
        <v>0.7465228944517949</v>
      </c>
      <c r="H934" t="n">
        <v>0.0218208293216388</v>
      </c>
      <c r="I934" t="n">
        <v>0.0375269044466078</v>
      </c>
      <c r="J934" t="n">
        <v>0.1464832000914475</v>
      </c>
      <c r="K934" t="n">
        <v>0.4825970400501712</v>
      </c>
      <c r="L934" t="b">
        <v>0</v>
      </c>
      <c r="M934" t="b">
        <v>0</v>
      </c>
      <c r="N934" t="inlineStr">
        <is>
          <t>ref</t>
        </is>
      </c>
      <c r="O934" t="n">
        <v>-100</v>
      </c>
      <c r="P934" t="n">
        <v>0.1703</v>
      </c>
      <c r="Q934" t="n">
        <v>-100</v>
      </c>
      <c r="R934" t="n">
        <v>0.001282</v>
      </c>
      <c r="S934">
        <f>IMAGE("https://mitra.stanford.edu/kundaje/oak/projects/neuro-variants/variant_position/credible/roussos_2024/variant_figures/roussos_2024.adolescence.GLU/rs4460848_count_position.png",4,220,900)</f>
        <v/>
      </c>
      <c r="T934">
        <f>IMAGE("https://mitra.stanford.edu/kundaje/oak/projects/neuro-variants/variant_position/credible/roussos_2024/variant_figures/roussos_2024.adolescence.GLU/rs4460848_profile_position.png",4,220,900)</f>
        <v/>
      </c>
    </row>
    <row r="935">
      <c r="A935" t="inlineStr">
        <is>
          <t>chr12</t>
        </is>
      </c>
      <c r="B935" t="n">
        <v>123204258</v>
      </c>
      <c r="C935" t="inlineStr">
        <is>
          <t>C</t>
        </is>
      </c>
      <c r="D935" t="inlineStr">
        <is>
          <t>T</t>
        </is>
      </c>
      <c r="E935" t="inlineStr">
        <is>
          <t>rs74917517</t>
        </is>
      </c>
      <c r="F935" t="n">
        <v>-0.069678146</v>
      </c>
      <c r="G935" t="n">
        <v>0.0250312213386314</v>
      </c>
      <c r="H935" t="n">
        <v>0.0105182379778044</v>
      </c>
      <c r="I935" t="n">
        <v>0.4775906501036917</v>
      </c>
      <c r="J935" t="n">
        <v>0.1489122746854705</v>
      </c>
      <c r="K935" t="n">
        <v>0.491978268657408</v>
      </c>
      <c r="L935" t="b">
        <v>0</v>
      </c>
      <c r="M935" t="b">
        <v>0</v>
      </c>
      <c r="N935" t="inlineStr">
        <is>
          <t>ref</t>
        </is>
      </c>
      <c r="O935" t="n">
        <v>10</v>
      </c>
      <c r="P935" t="n">
        <v>0.002197</v>
      </c>
      <c r="Q935" t="n">
        <v>25</v>
      </c>
      <c r="R935" t="n">
        <v>0.02393</v>
      </c>
      <c r="S935">
        <f>IMAGE("https://mitra.stanford.edu/kundaje/oak/projects/neuro-variants/variant_position/credible/roussos_2024/variant_figures/roussos_2024.adolescence.GLU/rs74917517_count_position.png",4,220,900)</f>
        <v/>
      </c>
      <c r="T935">
        <f>IMAGE("https://mitra.stanford.edu/kundaje/oak/projects/neuro-variants/variant_position/credible/roussos_2024/variant_figures/roussos_2024.adolescence.GLU/rs74917517_profile_position.png",4,220,900)</f>
        <v/>
      </c>
    </row>
    <row r="936">
      <c r="A936" t="inlineStr">
        <is>
          <t>chr12</t>
        </is>
      </c>
      <c r="B936" t="n">
        <v>123207195</v>
      </c>
      <c r="C936" t="inlineStr">
        <is>
          <t>T</t>
        </is>
      </c>
      <c r="D936" t="inlineStr">
        <is>
          <t>G</t>
        </is>
      </c>
      <c r="E936" t="inlineStr">
        <is>
          <t>rs74240770</t>
        </is>
      </c>
      <c r="F936" t="n">
        <v>-0.00650262374</v>
      </c>
      <c r="G936" t="n">
        <v>0.6359982496535299</v>
      </c>
      <c r="H936" t="n">
        <v>0.0324474377184689</v>
      </c>
      <c r="I936" t="n">
        <v>0.0065816974199838</v>
      </c>
      <c r="J936" t="n">
        <v>0.0740167606146987</v>
      </c>
      <c r="K936" t="n">
        <v>0.6293799831967692</v>
      </c>
      <c r="L936" t="b">
        <v>1</v>
      </c>
      <c r="M936" t="b">
        <v>1</v>
      </c>
      <c r="N936" t="inlineStr">
        <is>
          <t>ref</t>
        </is>
      </c>
      <c r="O936" t="n">
        <v>-25</v>
      </c>
      <c r="P936" t="n">
        <v>0.02295</v>
      </c>
      <c r="Q936" t="n">
        <v>100</v>
      </c>
      <c r="R936" t="n">
        <v>0.0881</v>
      </c>
      <c r="S936">
        <f>IMAGE("https://mitra.stanford.edu/kundaje/oak/projects/neuro-variants/variant_position/credible/roussos_2024/variant_figures/roussos_2024.adolescence.GLU/rs74240770_count_position.png",4,220,900)</f>
        <v/>
      </c>
      <c r="T936">
        <f>IMAGE("https://mitra.stanford.edu/kundaje/oak/projects/neuro-variants/variant_position/credible/roussos_2024/variant_figures/roussos_2024.adolescence.GLU/rs74240770_profile_position.png",4,220,900)</f>
        <v/>
      </c>
    </row>
    <row r="937">
      <c r="A937" t="inlineStr">
        <is>
          <t>chr12</t>
        </is>
      </c>
      <c r="B937" t="n">
        <v>123213351</v>
      </c>
      <c r="C937" t="inlineStr">
        <is>
          <t>T</t>
        </is>
      </c>
      <c r="D937" t="inlineStr">
        <is>
          <t>C</t>
        </is>
      </c>
      <c r="E937" t="inlineStr">
        <is>
          <t>rs1790134</t>
        </is>
      </c>
      <c r="F937" t="n">
        <v>-0.0035351035</v>
      </c>
      <c r="G937" t="n">
        <v>0.714173078378566</v>
      </c>
      <c r="H937" t="n">
        <v>0.0362240004227647</v>
      </c>
      <c r="I937" t="n">
        <v>0.0038472110954883</v>
      </c>
      <c r="J937" t="n">
        <v>0.0458480685284808</v>
      </c>
      <c r="K937" t="n">
        <v>0.7167767783676438</v>
      </c>
      <c r="L937" t="b">
        <v>1</v>
      </c>
      <c r="M937" t="b">
        <v>0</v>
      </c>
      <c r="N937" t="inlineStr">
        <is>
          <t>ref</t>
        </is>
      </c>
      <c r="O937" t="n">
        <v>90</v>
      </c>
      <c r="P937" t="n">
        <v>0.00499</v>
      </c>
      <c r="Q937" t="n">
        <v>15</v>
      </c>
      <c r="R937" t="n">
        <v>0.01685</v>
      </c>
      <c r="S937">
        <f>IMAGE("https://mitra.stanford.edu/kundaje/oak/projects/neuro-variants/variant_position/credible/roussos_2024/variant_figures/roussos_2024.adolescence.GLU/rs1790134_count_position.png",4,220,900)</f>
        <v/>
      </c>
      <c r="T937">
        <f>IMAGE("https://mitra.stanford.edu/kundaje/oak/projects/neuro-variants/variant_position/credible/roussos_2024/variant_figures/roussos_2024.adolescence.GLU/rs1790134_profile_position.png",4,220,900)</f>
        <v/>
      </c>
    </row>
    <row r="938">
      <c r="A938" t="inlineStr">
        <is>
          <t>chr12</t>
        </is>
      </c>
      <c r="B938" t="n">
        <v>123213971</v>
      </c>
      <c r="C938" t="inlineStr">
        <is>
          <t>T</t>
        </is>
      </c>
      <c r="D938" t="inlineStr">
        <is>
          <t>G</t>
        </is>
      </c>
      <c r="E938" t="inlineStr">
        <is>
          <t>rs1790133</t>
        </is>
      </c>
      <c r="F938" t="n">
        <v>0.0123836047</v>
      </c>
      <c r="G938" t="n">
        <v>0.2303111484474374</v>
      </c>
      <c r="H938" t="n">
        <v>0.009560552862889499</v>
      </c>
      <c r="I938" t="n">
        <v>0.59715268567796</v>
      </c>
      <c r="J938" t="n">
        <v>0.0611326631945188</v>
      </c>
      <c r="K938" t="n">
        <v>0.6648561717539684</v>
      </c>
      <c r="L938" t="b">
        <v>0</v>
      </c>
      <c r="M938" t="b">
        <v>0</v>
      </c>
      <c r="N938" t="inlineStr">
        <is>
          <t>alt</t>
        </is>
      </c>
      <c r="O938" t="n">
        <v>90</v>
      </c>
      <c r="P938" t="n">
        <v>0.008500000000000001</v>
      </c>
      <c r="Q938" t="n">
        <v>-40</v>
      </c>
      <c r="R938" t="n">
        <v>0.0958</v>
      </c>
      <c r="S938">
        <f>IMAGE("https://mitra.stanford.edu/kundaje/oak/projects/neuro-variants/variant_position/credible/roussos_2024/variant_figures/roussos_2024.adolescence.GLU/rs1790133_count_position.png",4,220,900)</f>
        <v/>
      </c>
      <c r="T938">
        <f>IMAGE("https://mitra.stanford.edu/kundaje/oak/projects/neuro-variants/variant_position/credible/roussos_2024/variant_figures/roussos_2024.adolescence.GLU/rs1790133_profile_position.png",4,220,900)</f>
        <v/>
      </c>
    </row>
    <row r="939">
      <c r="A939" t="inlineStr">
        <is>
          <t>chr12</t>
        </is>
      </c>
      <c r="B939" t="n">
        <v>123234332</v>
      </c>
      <c r="C939" t="inlineStr">
        <is>
          <t>C</t>
        </is>
      </c>
      <c r="D939" t="inlineStr">
        <is>
          <t>G</t>
        </is>
      </c>
      <c r="E939" t="inlineStr">
        <is>
          <t>rs1727331</t>
        </is>
      </c>
      <c r="F939" t="n">
        <v>-0.134881088</v>
      </c>
      <c r="G939" t="n">
        <v>0.0031880733975447</v>
      </c>
      <c r="H939" t="n">
        <v>0.0258977024660377</v>
      </c>
      <c r="I939" t="n">
        <v>0.0193271504876995</v>
      </c>
      <c r="J939" t="n">
        <v>0.4789877903279964</v>
      </c>
      <c r="K939" t="n">
        <v>0.1036736040365601</v>
      </c>
      <c r="L939" t="b">
        <v>1</v>
      </c>
      <c r="M939" t="b">
        <v>1</v>
      </c>
      <c r="N939" t="inlineStr">
        <is>
          <t>ref</t>
        </is>
      </c>
      <c r="O939" t="n">
        <v>-40</v>
      </c>
      <c r="P939" t="n">
        <v>0.00399</v>
      </c>
      <c r="Q939" t="n">
        <v>95</v>
      </c>
      <c r="R939" t="n">
        <v>0.1039</v>
      </c>
      <c r="S939">
        <f>IMAGE("https://mitra.stanford.edu/kundaje/oak/projects/neuro-variants/variant_position/credible/roussos_2024/variant_figures/roussos_2024.adolescence.GLU/rs1727331_count_position.png",4,220,900)</f>
        <v/>
      </c>
      <c r="T939">
        <f>IMAGE("https://mitra.stanford.edu/kundaje/oak/projects/neuro-variants/variant_position/credible/roussos_2024/variant_figures/roussos_2024.adolescence.GLU/rs1727331_profile_position.png",4,220,900)</f>
        <v/>
      </c>
    </row>
    <row r="940">
      <c r="A940" t="inlineStr">
        <is>
          <t>chr12</t>
        </is>
      </c>
      <c r="B940" t="n">
        <v>123257159</v>
      </c>
      <c r="C940" t="inlineStr">
        <is>
          <t>C</t>
        </is>
      </c>
      <c r="D940" t="inlineStr">
        <is>
          <t>A</t>
        </is>
      </c>
      <c r="E940" t="inlineStr">
        <is>
          <t>rs11554169</t>
        </is>
      </c>
      <c r="F940" t="n">
        <v>0.0077667604599999</v>
      </c>
      <c r="G940" t="n">
        <v>0.5957747773825879</v>
      </c>
      <c r="H940" t="n">
        <v>0.0313160861101962</v>
      </c>
      <c r="I940" t="n">
        <v>0.0076800675738029</v>
      </c>
      <c r="J940" t="n">
        <v>0.1069735873859585</v>
      </c>
      <c r="K940" t="n">
        <v>0.5602243700381931</v>
      </c>
      <c r="L940" t="b">
        <v>1</v>
      </c>
      <c r="M940" t="b">
        <v>1</v>
      </c>
      <c r="N940" t="inlineStr">
        <is>
          <t>alt</t>
        </is>
      </c>
      <c r="O940" t="n">
        <v>95</v>
      </c>
      <c r="P940" t="n">
        <v>0.01227</v>
      </c>
      <c r="Q940" t="n">
        <v>5</v>
      </c>
      <c r="R940" t="n">
        <v>0.005936</v>
      </c>
      <c r="S940">
        <f>IMAGE("https://mitra.stanford.edu/kundaje/oak/projects/neuro-variants/variant_position/credible/roussos_2024/variant_figures/roussos_2024.adolescence.GLU/rs11554169_count_position.png",4,220,900)</f>
        <v/>
      </c>
      <c r="T940">
        <f>IMAGE("https://mitra.stanford.edu/kundaje/oak/projects/neuro-variants/variant_position/credible/roussos_2024/variant_figures/roussos_2024.adolescence.GLU/rs11554169_profile_position.png",4,220,900)</f>
        <v/>
      </c>
    </row>
    <row r="941">
      <c r="A941" t="inlineStr">
        <is>
          <t>chr12</t>
        </is>
      </c>
      <c r="B941" t="n">
        <v>123260408</v>
      </c>
      <c r="C941" t="inlineStr">
        <is>
          <t>G</t>
        </is>
      </c>
      <c r="D941" t="inlineStr">
        <is>
          <t>A</t>
        </is>
      </c>
      <c r="E941" t="inlineStr">
        <is>
          <t>rs1980251</t>
        </is>
      </c>
      <c r="F941" t="n">
        <v>-0.094258382</v>
      </c>
      <c r="G941" t="n">
        <v>0.0115434600492768</v>
      </c>
      <c r="H941" t="n">
        <v>0.0137276336848946</v>
      </c>
      <c r="I941" t="n">
        <v>0.2181500386248935</v>
      </c>
      <c r="J941" t="n">
        <v>0.3950775517785826</v>
      </c>
      <c r="K941" t="n">
        <v>0.1728605819646761</v>
      </c>
      <c r="L941" t="b">
        <v>1</v>
      </c>
      <c r="M941" t="b">
        <v>0</v>
      </c>
      <c r="N941" t="inlineStr">
        <is>
          <t>ref</t>
        </is>
      </c>
      <c r="O941" t="n">
        <v>-75</v>
      </c>
      <c r="P941" t="n">
        <v>0.001879</v>
      </c>
      <c r="Q941" t="n">
        <v>45</v>
      </c>
      <c r="R941" t="n">
        <v>0.0853</v>
      </c>
      <c r="S941">
        <f>IMAGE("https://mitra.stanford.edu/kundaje/oak/projects/neuro-variants/variant_position/credible/roussos_2024/variant_figures/roussos_2024.adolescence.GLU/rs1980251_count_position.png",4,220,900)</f>
        <v/>
      </c>
      <c r="T941">
        <f>IMAGE("https://mitra.stanford.edu/kundaje/oak/projects/neuro-variants/variant_position/credible/roussos_2024/variant_figures/roussos_2024.adolescence.GLU/rs1980251_profile_position.png",4,220,900)</f>
        <v/>
      </c>
    </row>
    <row r="942">
      <c r="A942" t="inlineStr">
        <is>
          <t>chr12</t>
        </is>
      </c>
      <c r="B942" t="n">
        <v>123260602</v>
      </c>
      <c r="C942" t="inlineStr">
        <is>
          <t>G</t>
        </is>
      </c>
      <c r="D942" t="inlineStr">
        <is>
          <t>T</t>
        </is>
      </c>
      <c r="E942" t="inlineStr">
        <is>
          <t>rs78197735</t>
        </is>
      </c>
      <c r="F942" t="n">
        <v>-0.011666585</v>
      </c>
      <c r="G942" t="n">
        <v>0.5023439315849439</v>
      </c>
      <c r="H942" t="n">
        <v>0.0096503715049871</v>
      </c>
      <c r="I942" t="n">
        <v>0.5830381818450111</v>
      </c>
      <c r="J942" t="n">
        <v>0.3523172657193275</v>
      </c>
      <c r="K942" t="n">
        <v>0.2146229538777227</v>
      </c>
      <c r="L942" t="b">
        <v>0</v>
      </c>
      <c r="M942" t="b">
        <v>0</v>
      </c>
      <c r="N942" t="inlineStr">
        <is>
          <t>ref</t>
        </is>
      </c>
      <c r="O942" t="n">
        <v>65</v>
      </c>
      <c r="P942" t="n">
        <v>0.0424</v>
      </c>
      <c r="Q942" t="n">
        <v>-80</v>
      </c>
      <c r="R942" t="n">
        <v>0.2585</v>
      </c>
      <c r="S942">
        <f>IMAGE("https://mitra.stanford.edu/kundaje/oak/projects/neuro-variants/variant_position/credible/roussos_2024/variant_figures/roussos_2024.adolescence.GLU/rs78197735_count_position.png",4,220,900)</f>
        <v/>
      </c>
      <c r="T942">
        <f>IMAGE("https://mitra.stanford.edu/kundaje/oak/projects/neuro-variants/variant_position/credible/roussos_2024/variant_figures/roussos_2024.adolescence.GLU/rs78197735_profile_position.png",4,220,900)</f>
        <v/>
      </c>
    </row>
    <row r="943">
      <c r="A943" t="inlineStr">
        <is>
          <t>chr12</t>
        </is>
      </c>
      <c r="B943" t="n">
        <v>123268090</v>
      </c>
      <c r="C943" t="inlineStr">
        <is>
          <t>G</t>
        </is>
      </c>
      <c r="D943" t="inlineStr">
        <is>
          <t>A</t>
        </is>
      </c>
      <c r="E943" t="inlineStr">
        <is>
          <t>rs76514049</t>
        </is>
      </c>
      <c r="F943" t="n">
        <v>-0.0433984904</v>
      </c>
      <c r="G943" t="n">
        <v>0.0928968544328525</v>
      </c>
      <c r="H943" t="n">
        <v>0.0109245149893279</v>
      </c>
      <c r="I943" t="n">
        <v>0.4105688109771088</v>
      </c>
      <c r="J943" t="n">
        <v>0.622478942066571</v>
      </c>
      <c r="K943" t="n">
        <v>0.0309802865527171</v>
      </c>
      <c r="L943" t="b">
        <v>0</v>
      </c>
      <c r="M943" t="b">
        <v>0</v>
      </c>
      <c r="N943" t="inlineStr">
        <is>
          <t>ref</t>
        </is>
      </c>
      <c r="O943" t="n">
        <v>100</v>
      </c>
      <c r="P943" t="n">
        <v>0.00978</v>
      </c>
      <c r="Q943" t="n">
        <v>100</v>
      </c>
      <c r="R943" t="n">
        <v>0.08655</v>
      </c>
      <c r="S943">
        <f>IMAGE("https://mitra.stanford.edu/kundaje/oak/projects/neuro-variants/variant_position/credible/roussos_2024/variant_figures/roussos_2024.adolescence.GLU/rs76514049_count_position.png",4,220,900)</f>
        <v/>
      </c>
      <c r="T943">
        <f>IMAGE("https://mitra.stanford.edu/kundaje/oak/projects/neuro-variants/variant_position/credible/roussos_2024/variant_figures/roussos_2024.adolescence.GLU/rs76514049_profile_position.png",4,220,900)</f>
        <v/>
      </c>
    </row>
    <row r="944">
      <c r="A944" t="inlineStr">
        <is>
          <t>chr12</t>
        </is>
      </c>
      <c r="B944" t="n">
        <v>123290717</v>
      </c>
      <c r="C944" t="inlineStr">
        <is>
          <t>T</t>
        </is>
      </c>
      <c r="D944" t="inlineStr">
        <is>
          <t>C</t>
        </is>
      </c>
      <c r="E944" t="inlineStr">
        <is>
          <t>rs74240779</t>
        </is>
      </c>
      <c r="F944" t="n">
        <v>0.0105175695</v>
      </c>
      <c r="G944" t="n">
        <v>0.4883331870932045</v>
      </c>
      <c r="H944" t="n">
        <v>0.0091299173142417</v>
      </c>
      <c r="I944" t="n">
        <v>0.6493964988037406</v>
      </c>
      <c r="J944" t="n">
        <v>0.458164905587586</v>
      </c>
      <c r="K944" t="n">
        <v>0.1191383699731426</v>
      </c>
      <c r="L944" t="b">
        <v>0</v>
      </c>
      <c r="M944" t="b">
        <v>0</v>
      </c>
      <c r="N944" t="inlineStr">
        <is>
          <t>alt</t>
        </is>
      </c>
      <c r="O944" t="n">
        <v>95</v>
      </c>
      <c r="P944" t="n">
        <v>0.02107</v>
      </c>
      <c r="Q944" t="n">
        <v>-90</v>
      </c>
      <c r="R944" t="n">
        <v>0.2036</v>
      </c>
      <c r="S944">
        <f>IMAGE("https://mitra.stanford.edu/kundaje/oak/projects/neuro-variants/variant_position/credible/roussos_2024/variant_figures/roussos_2024.adolescence.GLU/rs74240779_count_position.png",4,220,900)</f>
        <v/>
      </c>
      <c r="T944">
        <f>IMAGE("https://mitra.stanford.edu/kundaje/oak/projects/neuro-variants/variant_position/credible/roussos_2024/variant_figures/roussos_2024.adolescence.GLU/rs74240779_profile_position.png",4,220,900)</f>
        <v/>
      </c>
    </row>
    <row r="945">
      <c r="A945" t="inlineStr">
        <is>
          <t>chr12</t>
        </is>
      </c>
      <c r="B945" t="n">
        <v>123298270</v>
      </c>
      <c r="C945" t="inlineStr">
        <is>
          <t>C</t>
        </is>
      </c>
      <c r="D945" t="inlineStr">
        <is>
          <t>T</t>
        </is>
      </c>
      <c r="E945" t="inlineStr">
        <is>
          <t>rs67382382</t>
        </is>
      </c>
      <c r="F945" t="n">
        <v>-0.000141823636</v>
      </c>
      <c r="G945" t="n">
        <v>0.7416209878652851</v>
      </c>
      <c r="H945" t="n">
        <v>0.0359791502826184</v>
      </c>
      <c r="I945" t="n">
        <v>0.0042265197669667</v>
      </c>
      <c r="J945" t="n">
        <v>0.2818412385422694</v>
      </c>
      <c r="K945" t="n">
        <v>0.2940635995082774</v>
      </c>
      <c r="L945" t="b">
        <v>1</v>
      </c>
      <c r="M945" t="b">
        <v>1</v>
      </c>
      <c r="N945" t="inlineStr">
        <is>
          <t>ref</t>
        </is>
      </c>
      <c r="O945" t="n">
        <v>10</v>
      </c>
      <c r="P945" t="n">
        <v>0.001404</v>
      </c>
      <c r="Q945" t="n">
        <v>-60</v>
      </c>
      <c r="R945" t="n">
        <v>0.0324</v>
      </c>
      <c r="S945">
        <f>IMAGE("https://mitra.stanford.edu/kundaje/oak/projects/neuro-variants/variant_position/credible/roussos_2024/variant_figures/roussos_2024.adolescence.GLU/rs67382382_count_position.png",4,220,900)</f>
        <v/>
      </c>
      <c r="T945">
        <f>IMAGE("https://mitra.stanford.edu/kundaje/oak/projects/neuro-variants/variant_position/credible/roussos_2024/variant_figures/roussos_2024.adolescence.GLU/rs67382382_profile_position.png",4,220,900)</f>
        <v/>
      </c>
    </row>
    <row r="946">
      <c r="A946" t="inlineStr">
        <is>
          <t>chr12</t>
        </is>
      </c>
      <c r="B946" t="n">
        <v>123302958</v>
      </c>
      <c r="C946" t="inlineStr">
        <is>
          <t>C</t>
        </is>
      </c>
      <c r="D946" t="inlineStr">
        <is>
          <t>G</t>
        </is>
      </c>
      <c r="E946" t="inlineStr">
        <is>
          <t>rs58537268</t>
        </is>
      </c>
      <c r="F946" t="n">
        <v>0.12814</v>
      </c>
      <c r="G946" t="n">
        <v>0.0044759217840033</v>
      </c>
      <c r="H946" t="n">
        <v>0.0292100559608979</v>
      </c>
      <c r="I946" t="n">
        <v>0.0197471080135061</v>
      </c>
      <c r="J946" t="n">
        <v>0.0916789906480627</v>
      </c>
      <c r="K946" t="n">
        <v>0.5892310597022892</v>
      </c>
      <c r="L946" t="b">
        <v>1</v>
      </c>
      <c r="M946" t="b">
        <v>1</v>
      </c>
      <c r="N946" t="inlineStr">
        <is>
          <t>alt</t>
        </is>
      </c>
      <c r="O946" t="n">
        <v>-55</v>
      </c>
      <c r="P946" t="n">
        <v>0.01388</v>
      </c>
      <c r="Q946" t="n">
        <v>0</v>
      </c>
      <c r="R946" t="n">
        <v>0</v>
      </c>
      <c r="S946">
        <f>IMAGE("https://mitra.stanford.edu/kundaje/oak/projects/neuro-variants/variant_position/credible/roussos_2024/variant_figures/roussos_2024.adolescence.GLU/rs58537268_count_position.png",4,220,900)</f>
        <v/>
      </c>
      <c r="T946">
        <f>IMAGE("https://mitra.stanford.edu/kundaje/oak/projects/neuro-variants/variant_position/credible/roussos_2024/variant_figures/roussos_2024.adolescence.GLU/rs58537268_profile_position.png",4,220,900)</f>
        <v/>
      </c>
    </row>
    <row r="947">
      <c r="A947" t="inlineStr">
        <is>
          <t>chr12</t>
        </is>
      </c>
      <c r="B947" t="n">
        <v>123307918</v>
      </c>
      <c r="C947" t="inlineStr">
        <is>
          <t>G</t>
        </is>
      </c>
      <c r="D947" t="inlineStr">
        <is>
          <t>A</t>
        </is>
      </c>
      <c r="E947" t="inlineStr">
        <is>
          <t>rs117741953</t>
        </is>
      </c>
      <c r="F947" t="n">
        <v>0.00537204476</v>
      </c>
      <c r="G947" t="n">
        <v>0.6499642357856391</v>
      </c>
      <c r="H947" t="n">
        <v>0.0266003646274748</v>
      </c>
      <c r="I947" t="n">
        <v>0.0175081672175139</v>
      </c>
      <c r="J947" t="n">
        <v>0.0808438890913117</v>
      </c>
      <c r="K947" t="n">
        <v>0.6175362917735188</v>
      </c>
      <c r="L947" t="b">
        <v>1</v>
      </c>
      <c r="M947" t="b">
        <v>0</v>
      </c>
      <c r="N947" t="inlineStr">
        <is>
          <t>alt</t>
        </is>
      </c>
      <c r="O947" t="n">
        <v>100</v>
      </c>
      <c r="P947" t="n">
        <v>0.02074</v>
      </c>
      <c r="Q947" t="n">
        <v>100</v>
      </c>
      <c r="R947" t="n">
        <v>0.05576</v>
      </c>
      <c r="S947">
        <f>IMAGE("https://mitra.stanford.edu/kundaje/oak/projects/neuro-variants/variant_position/credible/roussos_2024/variant_figures/roussos_2024.adolescence.GLU/rs117741953_count_position.png",4,220,900)</f>
        <v/>
      </c>
      <c r="T947">
        <f>IMAGE("https://mitra.stanford.edu/kundaje/oak/projects/neuro-variants/variant_position/credible/roussos_2024/variant_figures/roussos_2024.adolescence.GLU/rs117741953_profile_position.png",4,220,900)</f>
        <v/>
      </c>
    </row>
    <row r="948">
      <c r="A948" t="inlineStr">
        <is>
          <t>chr12</t>
        </is>
      </c>
      <c r="B948" t="n">
        <v>123317393</v>
      </c>
      <c r="C948" t="inlineStr">
        <is>
          <t>A</t>
        </is>
      </c>
      <c r="D948" t="inlineStr">
        <is>
          <t>G</t>
        </is>
      </c>
      <c r="E948" t="inlineStr">
        <is>
          <t>rs57416942</t>
        </is>
      </c>
      <c r="F948" t="n">
        <v>0.07298941239999999</v>
      </c>
      <c r="G948" t="n">
        <v>0.0189567567901998</v>
      </c>
      <c r="H948" t="n">
        <v>0.0153868990236468</v>
      </c>
      <c r="I948" t="n">
        <v>0.1587617754633433</v>
      </c>
      <c r="J948" t="n">
        <v>0.1930499889262775</v>
      </c>
      <c r="K948" t="n">
        <v>0.4145262791777327</v>
      </c>
      <c r="L948" t="b">
        <v>1</v>
      </c>
      <c r="M948" t="b">
        <v>0</v>
      </c>
      <c r="N948" t="inlineStr">
        <is>
          <t>alt</t>
        </is>
      </c>
      <c r="O948" t="n">
        <v>30</v>
      </c>
      <c r="P948" t="n">
        <v>0.002914</v>
      </c>
      <c r="Q948" t="n">
        <v>55</v>
      </c>
      <c r="R948" t="n">
        <v>0.01312</v>
      </c>
      <c r="S948">
        <f>IMAGE("https://mitra.stanford.edu/kundaje/oak/projects/neuro-variants/variant_position/credible/roussos_2024/variant_figures/roussos_2024.adolescence.GLU/rs57416942_count_position.png",4,220,900)</f>
        <v/>
      </c>
      <c r="T948">
        <f>IMAGE("https://mitra.stanford.edu/kundaje/oak/projects/neuro-variants/variant_position/credible/roussos_2024/variant_figures/roussos_2024.adolescence.GLU/rs57416942_profile_position.png",4,220,900)</f>
        <v/>
      </c>
    </row>
    <row r="949">
      <c r="A949" t="inlineStr">
        <is>
          <t>chr12</t>
        </is>
      </c>
      <c r="B949" t="n">
        <v>123318143</v>
      </c>
      <c r="C949" t="inlineStr">
        <is>
          <t>A</t>
        </is>
      </c>
      <c r="D949" t="inlineStr">
        <is>
          <t>G</t>
        </is>
      </c>
      <c r="E949" t="inlineStr">
        <is>
          <t>rs75225286</t>
        </is>
      </c>
      <c r="F949" t="n">
        <v>0.085051823</v>
      </c>
      <c r="G949" t="n">
        <v>0.0131141244340532</v>
      </c>
      <c r="H949" t="n">
        <v>0.0209845890786063</v>
      </c>
      <c r="I949" t="n">
        <v>0.0482961553392917</v>
      </c>
      <c r="J949" t="n">
        <v>0.07033314043623309</v>
      </c>
      <c r="K949" t="n">
        <v>0.6490994804432348</v>
      </c>
      <c r="L949" t="b">
        <v>1</v>
      </c>
      <c r="M949" t="b">
        <v>0</v>
      </c>
      <c r="N949" t="inlineStr">
        <is>
          <t>alt</t>
        </is>
      </c>
      <c r="O949" t="n">
        <v>100</v>
      </c>
      <c r="P949" t="n">
        <v>0.0189</v>
      </c>
      <c r="Q949" t="n">
        <v>95</v>
      </c>
      <c r="R949" t="n">
        <v>0.04163</v>
      </c>
      <c r="S949">
        <f>IMAGE("https://mitra.stanford.edu/kundaje/oak/projects/neuro-variants/variant_position/credible/roussos_2024/variant_figures/roussos_2024.adolescence.GLU/rs75225286_count_position.png",4,220,900)</f>
        <v/>
      </c>
      <c r="T949">
        <f>IMAGE("https://mitra.stanford.edu/kundaje/oak/projects/neuro-variants/variant_position/credible/roussos_2024/variant_figures/roussos_2024.adolescence.GLU/rs75225286_profile_position.png",4,220,900)</f>
        <v/>
      </c>
    </row>
    <row r="950">
      <c r="A950" t="inlineStr">
        <is>
          <t>chr12</t>
        </is>
      </c>
      <c r="B950" t="n">
        <v>123328240</v>
      </c>
      <c r="C950" t="inlineStr">
        <is>
          <t>A</t>
        </is>
      </c>
      <c r="D950" t="inlineStr">
        <is>
          <t>G</t>
        </is>
      </c>
      <c r="E950" t="inlineStr">
        <is>
          <t>rs10846519</t>
        </is>
      </c>
      <c r="F950" t="n">
        <v>0.0219555202</v>
      </c>
      <c r="G950" t="n">
        <v>0.2659632006924433</v>
      </c>
      <c r="H950" t="n">
        <v>0.0132665004268908</v>
      </c>
      <c r="I950" t="n">
        <v>0.247228955088597</v>
      </c>
      <c r="J950" t="n">
        <v>0.1042630259125104</v>
      </c>
      <c r="K950" t="n">
        <v>0.5665516420754314</v>
      </c>
      <c r="L950" t="b">
        <v>0</v>
      </c>
      <c r="M950" t="b">
        <v>0</v>
      </c>
      <c r="N950" t="inlineStr">
        <is>
          <t>alt</t>
        </is>
      </c>
      <c r="O950" t="n">
        <v>50</v>
      </c>
      <c r="P950" t="n">
        <v>0.004955</v>
      </c>
      <c r="Q950" t="n">
        <v>-40</v>
      </c>
      <c r="R950" t="n">
        <v>0.008630000000000001</v>
      </c>
      <c r="S950">
        <f>IMAGE("https://mitra.stanford.edu/kundaje/oak/projects/neuro-variants/variant_position/credible/roussos_2024/variant_figures/roussos_2024.adolescence.GLU/rs10846519_count_position.png",4,220,900)</f>
        <v/>
      </c>
      <c r="T950">
        <f>IMAGE("https://mitra.stanford.edu/kundaje/oak/projects/neuro-variants/variant_position/credible/roussos_2024/variant_figures/roussos_2024.adolescence.GLU/rs10846519_profile_position.png",4,220,900)</f>
        <v/>
      </c>
    </row>
    <row r="951">
      <c r="A951" t="inlineStr">
        <is>
          <t>chr12</t>
        </is>
      </c>
      <c r="B951" t="n">
        <v>123336687</v>
      </c>
      <c r="C951" t="inlineStr">
        <is>
          <t>T</t>
        </is>
      </c>
      <c r="D951" t="inlineStr">
        <is>
          <t>A</t>
        </is>
      </c>
      <c r="E951" t="inlineStr">
        <is>
          <t>rs7486223</t>
        </is>
      </c>
      <c r="F951" t="n">
        <v>0.00960294152</v>
      </c>
      <c r="G951" t="n">
        <v>0.5372156041039057</v>
      </c>
      <c r="H951" t="n">
        <v>0.008974241970294901</v>
      </c>
      <c r="I951" t="n">
        <v>0.6630688562253584</v>
      </c>
      <c r="J951" t="n">
        <v>0.1602646262440076</v>
      </c>
      <c r="K951" t="n">
        <v>0.4642268477761048</v>
      </c>
      <c r="L951" t="b">
        <v>0</v>
      </c>
      <c r="M951" t="b">
        <v>0</v>
      </c>
      <c r="N951" t="inlineStr">
        <is>
          <t>alt</t>
        </is>
      </c>
      <c r="O951" t="n">
        <v>-10</v>
      </c>
      <c r="P951" t="n">
        <v>0.0003166</v>
      </c>
      <c r="Q951" t="n">
        <v>-70</v>
      </c>
      <c r="R951" t="n">
        <v>0.03955</v>
      </c>
      <c r="S951">
        <f>IMAGE("https://mitra.stanford.edu/kundaje/oak/projects/neuro-variants/variant_position/credible/roussos_2024/variant_figures/roussos_2024.adolescence.GLU/rs7486223_count_position.png",4,220,900)</f>
        <v/>
      </c>
      <c r="T951">
        <f>IMAGE("https://mitra.stanford.edu/kundaje/oak/projects/neuro-variants/variant_position/credible/roussos_2024/variant_figures/roussos_2024.adolescence.GLU/rs7486223_profile_position.png",4,220,900)</f>
        <v/>
      </c>
    </row>
    <row r="952">
      <c r="A952" t="inlineStr">
        <is>
          <t>chr12</t>
        </is>
      </c>
      <c r="B952" t="n">
        <v>123338532</v>
      </c>
      <c r="C952" t="inlineStr">
        <is>
          <t>G</t>
        </is>
      </c>
      <c r="D952" t="inlineStr">
        <is>
          <t>A</t>
        </is>
      </c>
      <c r="E952" t="inlineStr">
        <is>
          <t>rs7952835</t>
        </is>
      </c>
      <c r="F952" t="n">
        <v>0.00069648024</v>
      </c>
      <c r="G952" t="n">
        <v>0.7078310627624632</v>
      </c>
      <c r="H952" t="n">
        <v>0.0273070505615884</v>
      </c>
      <c r="I952" t="n">
        <v>0.0162467502145149</v>
      </c>
      <c r="J952" t="n">
        <v>0.1870487458116324</v>
      </c>
      <c r="K952" t="n">
        <v>0.4244387511792545</v>
      </c>
      <c r="L952" t="b">
        <v>1</v>
      </c>
      <c r="M952" t="b">
        <v>0</v>
      </c>
      <c r="N952" t="inlineStr">
        <is>
          <t>alt</t>
        </is>
      </c>
      <c r="O952" t="n">
        <v>100</v>
      </c>
      <c r="P952" t="n">
        <v>0.03186</v>
      </c>
      <c r="Q952" t="n">
        <v>10</v>
      </c>
      <c r="R952" t="n">
        <v>0.01802</v>
      </c>
      <c r="S952">
        <f>IMAGE("https://mitra.stanford.edu/kundaje/oak/projects/neuro-variants/variant_position/credible/roussos_2024/variant_figures/roussos_2024.adolescence.GLU/rs7952835_count_position.png",4,220,900)</f>
        <v/>
      </c>
      <c r="T952">
        <f>IMAGE("https://mitra.stanford.edu/kundaje/oak/projects/neuro-variants/variant_position/credible/roussos_2024/variant_figures/roussos_2024.adolescence.GLU/rs7952835_profile_position.png",4,220,900)</f>
        <v/>
      </c>
    </row>
    <row r="953">
      <c r="A953" t="inlineStr">
        <is>
          <t>chr12</t>
        </is>
      </c>
      <c r="B953" t="n">
        <v>123342207</v>
      </c>
      <c r="C953" t="inlineStr">
        <is>
          <t>A</t>
        </is>
      </c>
      <c r="D953" t="inlineStr">
        <is>
          <t>G</t>
        </is>
      </c>
      <c r="E953" t="inlineStr">
        <is>
          <t>rs7962723</t>
        </is>
      </c>
      <c r="F953" t="n">
        <v>0.0671131992</v>
      </c>
      <c r="G953" t="n">
        <v>0.0305183891366818</v>
      </c>
      <c r="H953" t="n">
        <v>0.0140912600158685</v>
      </c>
      <c r="I953" t="n">
        <v>0.2139919730531026</v>
      </c>
      <c r="J953" t="n">
        <v>0.2646691100299347</v>
      </c>
      <c r="K953" t="n">
        <v>0.3115524375910263</v>
      </c>
      <c r="L953" t="b">
        <v>0</v>
      </c>
      <c r="M953" t="b">
        <v>0</v>
      </c>
      <c r="N953" t="inlineStr">
        <is>
          <t>alt</t>
        </is>
      </c>
      <c r="O953" t="n">
        <v>-15</v>
      </c>
      <c r="P953" t="n">
        <v>0.001648</v>
      </c>
      <c r="Q953" t="n">
        <v>-100</v>
      </c>
      <c r="R953" t="n">
        <v>0.0702</v>
      </c>
      <c r="S953">
        <f>IMAGE("https://mitra.stanford.edu/kundaje/oak/projects/neuro-variants/variant_position/credible/roussos_2024/variant_figures/roussos_2024.adolescence.GLU/rs7962723_count_position.png",4,220,900)</f>
        <v/>
      </c>
      <c r="T953">
        <f>IMAGE("https://mitra.stanford.edu/kundaje/oak/projects/neuro-variants/variant_position/credible/roussos_2024/variant_figures/roussos_2024.adolescence.GLU/rs7962723_profile_position.png",4,220,900)</f>
        <v/>
      </c>
    </row>
    <row r="954">
      <c r="A954" t="inlineStr">
        <is>
          <t>chr12</t>
        </is>
      </c>
      <c r="B954" t="n">
        <v>123342383</v>
      </c>
      <c r="C954" t="inlineStr">
        <is>
          <t>A</t>
        </is>
      </c>
      <c r="D954" t="inlineStr">
        <is>
          <t>G</t>
        </is>
      </c>
      <c r="E954" t="inlineStr">
        <is>
          <t>rs10773011</t>
        </is>
      </c>
      <c r="F954" t="n">
        <v>0.1531374351999999</v>
      </c>
      <c r="G954" t="n">
        <v>0.0019543367172827</v>
      </c>
      <c r="H954" t="n">
        <v>0.0282199320185981</v>
      </c>
      <c r="I954" t="n">
        <v>0.0119907888228832</v>
      </c>
      <c r="J954" t="n">
        <v>0.2893885161926398</v>
      </c>
      <c r="K954" t="n">
        <v>0.28155843132335</v>
      </c>
      <c r="L954" t="b">
        <v>1</v>
      </c>
      <c r="M954" t="b">
        <v>1</v>
      </c>
      <c r="N954" t="inlineStr">
        <is>
          <t>alt</t>
        </is>
      </c>
      <c r="O954" t="n">
        <v>-10</v>
      </c>
      <c r="P954" t="n">
        <v>0.00238</v>
      </c>
      <c r="Q954" t="n">
        <v>-100</v>
      </c>
      <c r="R954" t="n">
        <v>0.11426</v>
      </c>
      <c r="S954">
        <f>IMAGE("https://mitra.stanford.edu/kundaje/oak/projects/neuro-variants/variant_position/credible/roussos_2024/variant_figures/roussos_2024.adolescence.GLU/rs10773011_count_position.png",4,220,900)</f>
        <v/>
      </c>
      <c r="T954">
        <f>IMAGE("https://mitra.stanford.edu/kundaje/oak/projects/neuro-variants/variant_position/credible/roussos_2024/variant_figures/roussos_2024.adolescence.GLU/rs10773011_profile_position.png",4,220,900)</f>
        <v/>
      </c>
    </row>
    <row r="955">
      <c r="A955" t="inlineStr">
        <is>
          <t>chr12</t>
        </is>
      </c>
      <c r="B955" t="n">
        <v>123352828</v>
      </c>
      <c r="C955" t="inlineStr">
        <is>
          <t>A</t>
        </is>
      </c>
      <c r="D955" t="inlineStr">
        <is>
          <t>C</t>
        </is>
      </c>
      <c r="E955" t="inlineStr">
        <is>
          <t>rs9300256</t>
        </is>
      </c>
      <c r="F955" t="n">
        <v>0.01878488852</v>
      </c>
      <c r="G955" t="n">
        <v>0.305891441121553</v>
      </c>
      <c r="H955" t="n">
        <v>0.014887139826446</v>
      </c>
      <c r="I955" t="n">
        <v>0.1609810877336435</v>
      </c>
      <c r="J955" t="n">
        <v>0.3153624679397874</v>
      </c>
      <c r="K955" t="n">
        <v>0.2545436204172247</v>
      </c>
      <c r="L955" t="b">
        <v>0</v>
      </c>
      <c r="M955" t="b">
        <v>0</v>
      </c>
      <c r="N955" t="inlineStr">
        <is>
          <t>alt</t>
        </is>
      </c>
      <c r="O955" t="n">
        <v>25</v>
      </c>
      <c r="P955" t="n">
        <v>0.00494</v>
      </c>
      <c r="Q955" t="n">
        <v>-75</v>
      </c>
      <c r="R955" t="n">
        <v>0.03113</v>
      </c>
      <c r="S955">
        <f>IMAGE("https://mitra.stanford.edu/kundaje/oak/projects/neuro-variants/variant_position/credible/roussos_2024/variant_figures/roussos_2024.adolescence.GLU/rs9300256_count_position.png",4,220,900)</f>
        <v/>
      </c>
      <c r="T955">
        <f>IMAGE("https://mitra.stanford.edu/kundaje/oak/projects/neuro-variants/variant_position/credible/roussos_2024/variant_figures/roussos_2024.adolescence.GLU/rs9300256_profile_position.png",4,220,900)</f>
        <v/>
      </c>
    </row>
    <row r="956">
      <c r="A956" t="inlineStr">
        <is>
          <t>chr12</t>
        </is>
      </c>
      <c r="B956" t="n">
        <v>123358692</v>
      </c>
      <c r="C956" t="inlineStr">
        <is>
          <t>A</t>
        </is>
      </c>
      <c r="D956" t="inlineStr">
        <is>
          <t>G</t>
        </is>
      </c>
      <c r="E956" t="inlineStr">
        <is>
          <t>rs10773016</t>
        </is>
      </c>
      <c r="F956" t="n">
        <v>0.019301109</v>
      </c>
      <c r="G956" t="n">
        <v>0.2849058169128237</v>
      </c>
      <c r="H956" t="n">
        <v>0.0080445113752595</v>
      </c>
      <c r="I956" t="n">
        <v>0.7784915596585376</v>
      </c>
      <c r="J956" t="n">
        <v>0.0880353787570282</v>
      </c>
      <c r="K956" t="n">
        <v>0.6081947899462222</v>
      </c>
      <c r="L956" t="b">
        <v>0</v>
      </c>
      <c r="M956" t="b">
        <v>0</v>
      </c>
      <c r="N956" t="inlineStr">
        <is>
          <t>alt</t>
        </is>
      </c>
      <c r="O956" t="n">
        <v>-5</v>
      </c>
      <c r="P956" t="n">
        <v>0.0006104</v>
      </c>
      <c r="Q956" t="n">
        <v>-85</v>
      </c>
      <c r="R956" t="n">
        <v>0.02347</v>
      </c>
      <c r="S956">
        <f>IMAGE("https://mitra.stanford.edu/kundaje/oak/projects/neuro-variants/variant_position/credible/roussos_2024/variant_figures/roussos_2024.adolescence.GLU/rs10773016_count_position.png",4,220,900)</f>
        <v/>
      </c>
      <c r="T956">
        <f>IMAGE("https://mitra.stanford.edu/kundaje/oak/projects/neuro-variants/variant_position/credible/roussos_2024/variant_figures/roussos_2024.adolescence.GLU/rs10773016_profile_position.png",4,220,900)</f>
        <v/>
      </c>
    </row>
    <row r="957">
      <c r="A957" t="inlineStr">
        <is>
          <t>chr12</t>
        </is>
      </c>
      <c r="B957" t="n">
        <v>123939053</v>
      </c>
      <c r="C957" t="inlineStr">
        <is>
          <t>G</t>
        </is>
      </c>
      <c r="D957" t="inlineStr">
        <is>
          <t>C</t>
        </is>
      </c>
      <c r="E957" t="inlineStr">
        <is>
          <t>rs4930723</t>
        </is>
      </c>
      <c r="F957" t="n">
        <v>0.010793419408</v>
      </c>
      <c r="G957" t="n">
        <v>0.4855808254462633</v>
      </c>
      <c r="H957" t="n">
        <v>0.0097866692644326</v>
      </c>
      <c r="I957" t="n">
        <v>0.5672059794354894</v>
      </c>
      <c r="J957" t="n">
        <v>0.4479456458837901</v>
      </c>
      <c r="K957" t="n">
        <v>0.1269245250407451</v>
      </c>
      <c r="L957" t="b">
        <v>0</v>
      </c>
      <c r="M957" t="b">
        <v>0</v>
      </c>
      <c r="N957" t="inlineStr">
        <is>
          <t>alt</t>
        </is>
      </c>
      <c r="O957" t="n">
        <v>-65</v>
      </c>
      <c r="P957" t="n">
        <v>0.00241</v>
      </c>
      <c r="Q957" t="n">
        <v>-100</v>
      </c>
      <c r="R957" t="n">
        <v>0.09326</v>
      </c>
      <c r="S957">
        <f>IMAGE("https://mitra.stanford.edu/kundaje/oak/projects/neuro-variants/variant_position/credible/roussos_2024/variant_figures/roussos_2024.adolescence.GLU/rs4930723_count_position.png",4,220,900)</f>
        <v/>
      </c>
      <c r="T957">
        <f>IMAGE("https://mitra.stanford.edu/kundaje/oak/projects/neuro-variants/variant_position/credible/roussos_2024/variant_figures/roussos_2024.adolescence.GLU/rs4930723_profile_position.png",4,220,900)</f>
        <v/>
      </c>
    </row>
    <row r="958">
      <c r="A958" t="inlineStr">
        <is>
          <t>chr12</t>
        </is>
      </c>
      <c r="B958" t="n">
        <v>123943784</v>
      </c>
      <c r="C958" t="inlineStr">
        <is>
          <t>T</t>
        </is>
      </c>
      <c r="D958" t="inlineStr">
        <is>
          <t>C</t>
        </is>
      </c>
      <c r="E958" t="inlineStr">
        <is>
          <t>rs4930726</t>
        </is>
      </c>
      <c r="F958" t="n">
        <v>0.00613098592</v>
      </c>
      <c r="G958" t="n">
        <v>0.6019964820997284</v>
      </c>
      <c r="H958" t="n">
        <v>0.0113632266137062</v>
      </c>
      <c r="I958" t="n">
        <v>0.3851206756399881</v>
      </c>
      <c r="J958" t="n">
        <v>0.50720077730387</v>
      </c>
      <c r="K958" t="n">
        <v>0.084063811148104</v>
      </c>
      <c r="L958" t="b">
        <v>0</v>
      </c>
      <c r="M958" t="b">
        <v>0</v>
      </c>
      <c r="N958" t="inlineStr">
        <is>
          <t>alt</t>
        </is>
      </c>
      <c r="O958" t="n">
        <v>100</v>
      </c>
      <c r="P958" t="n">
        <v>0.00838</v>
      </c>
      <c r="Q958" t="n">
        <v>-85</v>
      </c>
      <c r="R958" t="n">
        <v>0.06134</v>
      </c>
      <c r="S958">
        <f>IMAGE("https://mitra.stanford.edu/kundaje/oak/projects/neuro-variants/variant_position/credible/roussos_2024/variant_figures/roussos_2024.adolescence.GLU/rs4930726_count_position.png",4,220,900)</f>
        <v/>
      </c>
      <c r="T958">
        <f>IMAGE("https://mitra.stanford.edu/kundaje/oak/projects/neuro-variants/variant_position/credible/roussos_2024/variant_figures/roussos_2024.adolescence.GLU/rs4930726_profile_position.png",4,220,900)</f>
        <v/>
      </c>
    </row>
    <row r="959">
      <c r="A959" t="inlineStr">
        <is>
          <t>chr12</t>
        </is>
      </c>
      <c r="B959" t="n">
        <v>123962181</v>
      </c>
      <c r="C959" t="inlineStr">
        <is>
          <t>A</t>
        </is>
      </c>
      <c r="D959" t="inlineStr">
        <is>
          <t>G</t>
        </is>
      </c>
      <c r="E959" t="inlineStr">
        <is>
          <t>rs7312404</t>
        </is>
      </c>
      <c r="F959" t="n">
        <v>-0.00049897078</v>
      </c>
      <c r="G959" t="n">
        <v>0.5917920472614</v>
      </c>
      <c r="H959" t="n">
        <v>0.0192244866227837</v>
      </c>
      <c r="I959" t="n">
        <v>0.06693685890239839</v>
      </c>
      <c r="J959" t="n">
        <v>0.3971251187746033</v>
      </c>
      <c r="K959" t="n">
        <v>0.169864188932283</v>
      </c>
      <c r="L959" t="b">
        <v>0</v>
      </c>
      <c r="M959" t="b">
        <v>0</v>
      </c>
      <c r="N959" t="inlineStr">
        <is>
          <t>ref</t>
        </is>
      </c>
      <c r="O959" t="n">
        <v>50</v>
      </c>
      <c r="P959" t="n">
        <v>0.002197</v>
      </c>
      <c r="Q959" t="n">
        <v>-90</v>
      </c>
      <c r="R959" t="n">
        <v>0.04456</v>
      </c>
      <c r="S959">
        <f>IMAGE("https://mitra.stanford.edu/kundaje/oak/projects/neuro-variants/variant_position/credible/roussos_2024/variant_figures/roussos_2024.adolescence.GLU/rs7312404_count_position.png",4,220,900)</f>
        <v/>
      </c>
      <c r="T959">
        <f>IMAGE("https://mitra.stanford.edu/kundaje/oak/projects/neuro-variants/variant_position/credible/roussos_2024/variant_figures/roussos_2024.adolescence.GLU/rs7312404_profile_position.png",4,220,900)</f>
        <v/>
      </c>
    </row>
    <row r="960">
      <c r="A960" t="inlineStr">
        <is>
          <t>chr12</t>
        </is>
      </c>
      <c r="B960" t="n">
        <v>123962799</v>
      </c>
      <c r="C960" t="inlineStr">
        <is>
          <t>T</t>
        </is>
      </c>
      <c r="D960" t="inlineStr">
        <is>
          <t>C</t>
        </is>
      </c>
      <c r="E960" t="inlineStr">
        <is>
          <t>rs7134121</t>
        </is>
      </c>
      <c r="F960" t="n">
        <v>-0.005974125384</v>
      </c>
      <c r="G960" t="n">
        <v>0.5884144711025063</v>
      </c>
      <c r="H960" t="n">
        <v>0.0284651308756753</v>
      </c>
      <c r="I960" t="n">
        <v>0.0110250844019882</v>
      </c>
      <c r="J960" t="n">
        <v>0.4032306692100506</v>
      </c>
      <c r="K960" t="n">
        <v>0.1652377749980664</v>
      </c>
      <c r="L960" t="b">
        <v>1</v>
      </c>
      <c r="M960" t="b">
        <v>0</v>
      </c>
      <c r="N960" t="inlineStr">
        <is>
          <t>ref</t>
        </is>
      </c>
      <c r="O960" t="n">
        <v>-45</v>
      </c>
      <c r="P960" t="n">
        <v>0.00598</v>
      </c>
      <c r="Q960" t="n">
        <v>-70</v>
      </c>
      <c r="R960" t="n">
        <v>0.09705</v>
      </c>
      <c r="S960">
        <f>IMAGE("https://mitra.stanford.edu/kundaje/oak/projects/neuro-variants/variant_position/credible/roussos_2024/variant_figures/roussos_2024.adolescence.GLU/rs7134121_count_position.png",4,220,900)</f>
        <v/>
      </c>
      <c r="T960">
        <f>IMAGE("https://mitra.stanford.edu/kundaje/oak/projects/neuro-variants/variant_position/credible/roussos_2024/variant_figures/roussos_2024.adolescence.GLU/rs7134121_profile_position.png",4,220,900)</f>
        <v/>
      </c>
    </row>
    <row r="961">
      <c r="A961" t="inlineStr">
        <is>
          <t>chr12</t>
        </is>
      </c>
      <c r="B961" t="n">
        <v>123982657</v>
      </c>
      <c r="C961" t="inlineStr">
        <is>
          <t>C</t>
        </is>
      </c>
      <c r="D961" t="inlineStr">
        <is>
          <t>A</t>
        </is>
      </c>
      <c r="E961" t="inlineStr">
        <is>
          <t>rs35099862</t>
        </is>
      </c>
      <c r="F961" t="n">
        <v>-0.050536391</v>
      </c>
      <c r="G961" t="n">
        <v>0.063367208738867</v>
      </c>
      <c r="H961" t="n">
        <v>0.0119093152070284</v>
      </c>
      <c r="I961" t="n">
        <v>0.3372068899379458</v>
      </c>
      <c r="J961" t="n">
        <v>0.3388044666395182</v>
      </c>
      <c r="K961" t="n">
        <v>0.2282112733410095</v>
      </c>
      <c r="L961" t="b">
        <v>0</v>
      </c>
      <c r="M961" t="b">
        <v>0</v>
      </c>
      <c r="N961" t="inlineStr">
        <is>
          <t>ref</t>
        </is>
      </c>
      <c r="O961" t="n">
        <v>-40</v>
      </c>
      <c r="P961" t="n">
        <v>0.002382</v>
      </c>
      <c r="Q961" t="n">
        <v>-80</v>
      </c>
      <c r="R961" t="n">
        <v>0.0348</v>
      </c>
      <c r="S961">
        <f>IMAGE("https://mitra.stanford.edu/kundaje/oak/projects/neuro-variants/variant_position/credible/roussos_2024/variant_figures/roussos_2024.adolescence.GLU/rs35099862_count_position.png",4,220,900)</f>
        <v/>
      </c>
      <c r="T961">
        <f>IMAGE("https://mitra.stanford.edu/kundaje/oak/projects/neuro-variants/variant_position/credible/roussos_2024/variant_figures/roussos_2024.adolescence.GLU/rs35099862_profile_position.png",4,220,900)</f>
        <v/>
      </c>
    </row>
    <row r="962">
      <c r="A962" t="inlineStr">
        <is>
          <t>chr12</t>
        </is>
      </c>
      <c r="B962" t="n">
        <v>123984025</v>
      </c>
      <c r="C962" t="inlineStr">
        <is>
          <t>G</t>
        </is>
      </c>
      <c r="D962" t="inlineStr">
        <is>
          <t>C</t>
        </is>
      </c>
      <c r="E962" t="inlineStr">
        <is>
          <t>rs7978610</t>
        </is>
      </c>
      <c r="F962" t="n">
        <v>-0.07698449119999989</v>
      </c>
      <c r="G962" t="n">
        <v>0.0240786622299147</v>
      </c>
      <c r="H962" t="n">
        <v>0.0255696791448308</v>
      </c>
      <c r="I962" t="n">
        <v>0.0198897841198751</v>
      </c>
      <c r="J962" t="n">
        <v>0.4256110194254524</v>
      </c>
      <c r="K962" t="n">
        <v>0.1429762668768738</v>
      </c>
      <c r="L962" t="b">
        <v>1</v>
      </c>
      <c r="M962" t="b">
        <v>0</v>
      </c>
      <c r="N962" t="inlineStr">
        <is>
          <t>ref</t>
        </is>
      </c>
      <c r="O962" t="n">
        <v>90</v>
      </c>
      <c r="P962" t="n">
        <v>0.004333</v>
      </c>
      <c r="Q962" t="n">
        <v>100</v>
      </c>
      <c r="R962" t="n">
        <v>0.01099</v>
      </c>
      <c r="S962">
        <f>IMAGE("https://mitra.stanford.edu/kundaje/oak/projects/neuro-variants/variant_position/credible/roussos_2024/variant_figures/roussos_2024.adolescence.GLU/rs7978610_count_position.png",4,220,900)</f>
        <v/>
      </c>
      <c r="T962">
        <f>IMAGE("https://mitra.stanford.edu/kundaje/oak/projects/neuro-variants/variant_position/credible/roussos_2024/variant_figures/roussos_2024.adolescence.GLU/rs7978610_profile_position.png",4,220,900)</f>
        <v/>
      </c>
    </row>
    <row r="963">
      <c r="A963" t="inlineStr">
        <is>
          <t>chr12</t>
        </is>
      </c>
      <c r="B963" t="n">
        <v>123985512</v>
      </c>
      <c r="C963" t="inlineStr">
        <is>
          <t>C</t>
        </is>
      </c>
      <c r="D963" t="inlineStr">
        <is>
          <t>T</t>
        </is>
      </c>
      <c r="E963" t="inlineStr">
        <is>
          <t>rs11837287</t>
        </is>
      </c>
      <c r="F963" t="n">
        <v>-0.000805356692</v>
      </c>
      <c r="G963" t="n">
        <v>0.872751650681119</v>
      </c>
      <c r="H963" t="n">
        <v>0.028527817023642</v>
      </c>
      <c r="I963" t="n">
        <v>0.0108000858773671</v>
      </c>
      <c r="J963" t="n">
        <v>0.174787634581449</v>
      </c>
      <c r="K963" t="n">
        <v>0.4406958122234192</v>
      </c>
      <c r="L963" t="b">
        <v>1</v>
      </c>
      <c r="M963" t="b">
        <v>0</v>
      </c>
      <c r="N963" t="inlineStr">
        <is>
          <t>ref</t>
        </is>
      </c>
      <c r="O963" t="n">
        <v>25</v>
      </c>
      <c r="P963" t="n">
        <v>0.003107</v>
      </c>
      <c r="Q963" t="n">
        <v>100</v>
      </c>
      <c r="R963" t="n">
        <v>0.06174</v>
      </c>
      <c r="S963">
        <f>IMAGE("https://mitra.stanford.edu/kundaje/oak/projects/neuro-variants/variant_position/credible/roussos_2024/variant_figures/roussos_2024.adolescence.GLU/rs11837287_count_position.png",4,220,900)</f>
        <v/>
      </c>
      <c r="T963">
        <f>IMAGE("https://mitra.stanford.edu/kundaje/oak/projects/neuro-variants/variant_position/credible/roussos_2024/variant_figures/roussos_2024.adolescence.GLU/rs11837287_profile_position.png",4,220,900)</f>
        <v/>
      </c>
    </row>
    <row r="964">
      <c r="A964" t="inlineStr">
        <is>
          <t>chr12</t>
        </is>
      </c>
      <c r="B964" t="n">
        <v>123990609</v>
      </c>
      <c r="C964" t="inlineStr">
        <is>
          <t>A</t>
        </is>
      </c>
      <c r="D964" t="inlineStr">
        <is>
          <t>G</t>
        </is>
      </c>
      <c r="E964" t="inlineStr">
        <is>
          <t>rs7307277</t>
        </is>
      </c>
      <c r="F964" t="n">
        <v>0.01562888224</v>
      </c>
      <c r="G964" t="n">
        <v>0.3680882327960677</v>
      </c>
      <c r="H964" t="n">
        <v>0.0106632552882737</v>
      </c>
      <c r="I964" t="n">
        <v>0.4606578526369888</v>
      </c>
      <c r="J964" t="n">
        <v>0.1574040336926934</v>
      </c>
      <c r="K964" t="n">
        <v>0.4684904555466494</v>
      </c>
      <c r="L964" t="b">
        <v>0</v>
      </c>
      <c r="M964" t="b">
        <v>0</v>
      </c>
      <c r="N964" t="inlineStr">
        <is>
          <t>alt</t>
        </is>
      </c>
      <c r="O964" t="n">
        <v>-90</v>
      </c>
      <c r="P964" t="n">
        <v>0.001614</v>
      </c>
      <c r="Q964" t="n">
        <v>55</v>
      </c>
      <c r="R964" t="n">
        <v>0.04068</v>
      </c>
      <c r="S964">
        <f>IMAGE("https://mitra.stanford.edu/kundaje/oak/projects/neuro-variants/variant_position/credible/roussos_2024/variant_figures/roussos_2024.adolescence.GLU/rs7307277_count_position.png",4,220,900)</f>
        <v/>
      </c>
      <c r="T964">
        <f>IMAGE("https://mitra.stanford.edu/kundaje/oak/projects/neuro-variants/variant_position/credible/roussos_2024/variant_figures/roussos_2024.adolescence.GLU/rs7307277_profile_position.png",4,220,900)</f>
        <v/>
      </c>
    </row>
    <row r="965">
      <c r="A965" t="inlineStr">
        <is>
          <t>chr12</t>
        </is>
      </c>
      <c r="B965" t="n">
        <v>123992326</v>
      </c>
      <c r="C965" t="inlineStr">
        <is>
          <t>C</t>
        </is>
      </c>
      <c r="D965" t="inlineStr">
        <is>
          <t>T</t>
        </is>
      </c>
      <c r="E965" t="inlineStr">
        <is>
          <t>rs12833624</t>
        </is>
      </c>
      <c r="F965" t="n">
        <v>-0.13819805</v>
      </c>
      <c r="G965" t="n">
        <v>0.0037761374086232</v>
      </c>
      <c r="H965" t="n">
        <v>0.0489954379517342</v>
      </c>
      <c r="I965" t="n">
        <v>0.0017393786250971</v>
      </c>
      <c r="J965" t="n">
        <v>0.4547184773988897</v>
      </c>
      <c r="K965" t="n">
        <v>0.1207738333635571</v>
      </c>
      <c r="L965" t="b">
        <v>1</v>
      </c>
      <c r="M965" t="b">
        <v>1</v>
      </c>
      <c r="N965" t="inlineStr">
        <is>
          <t>ref</t>
        </is>
      </c>
      <c r="O965" t="n">
        <v>55</v>
      </c>
      <c r="P965" t="n">
        <v>0.00522</v>
      </c>
      <c r="Q965" t="n">
        <v>35</v>
      </c>
      <c r="R965" t="n">
        <v>0.03857</v>
      </c>
      <c r="S965">
        <f>IMAGE("https://mitra.stanford.edu/kundaje/oak/projects/neuro-variants/variant_position/credible/roussos_2024/variant_figures/roussos_2024.adolescence.GLU/rs12833624_count_position.png",4,220,900)</f>
        <v/>
      </c>
      <c r="T965">
        <f>IMAGE("https://mitra.stanford.edu/kundaje/oak/projects/neuro-variants/variant_position/credible/roussos_2024/variant_figures/roussos_2024.adolescence.GLU/rs12833624_profile_position.png",4,220,900)</f>
        <v/>
      </c>
    </row>
    <row r="966">
      <c r="A966" t="inlineStr">
        <is>
          <t>chr12</t>
        </is>
      </c>
      <c r="B966" t="n">
        <v>123995826</v>
      </c>
      <c r="C966" t="inlineStr">
        <is>
          <t>G</t>
        </is>
      </c>
      <c r="D966" t="inlineStr">
        <is>
          <t>C</t>
        </is>
      </c>
      <c r="E966" t="inlineStr">
        <is>
          <t>rs34114498</t>
        </is>
      </c>
      <c r="F966" t="n">
        <v>-0.0355188194</v>
      </c>
      <c r="G966" t="n">
        <v>0.1402053878803033</v>
      </c>
      <c r="H966" t="n">
        <v>0.0096943551839492</v>
      </c>
      <c r="I966" t="n">
        <v>0.5591988798059356</v>
      </c>
      <c r="J966" t="n">
        <v>0.264929163898236</v>
      </c>
      <c r="K966" t="n">
        <v>0.3148985800902791</v>
      </c>
      <c r="L966" t="b">
        <v>0</v>
      </c>
      <c r="M966" t="b">
        <v>0</v>
      </c>
      <c r="N966" t="inlineStr">
        <is>
          <t>ref</t>
        </is>
      </c>
      <c r="O966" t="n">
        <v>-100</v>
      </c>
      <c r="P966" t="n">
        <v>0.02927</v>
      </c>
      <c r="Q966" t="n">
        <v>-100</v>
      </c>
      <c r="R966" t="n">
        <v>0.0512</v>
      </c>
      <c r="S966">
        <f>IMAGE("https://mitra.stanford.edu/kundaje/oak/projects/neuro-variants/variant_position/credible/roussos_2024/variant_figures/roussos_2024.adolescence.GLU/rs34114498_count_position.png",4,220,900)</f>
        <v/>
      </c>
      <c r="T966">
        <f>IMAGE("https://mitra.stanford.edu/kundaje/oak/projects/neuro-variants/variant_position/credible/roussos_2024/variant_figures/roussos_2024.adolescence.GLU/rs34114498_profile_position.png",4,220,900)</f>
        <v/>
      </c>
    </row>
    <row r="967">
      <c r="A967" t="inlineStr">
        <is>
          <t>chr12</t>
        </is>
      </c>
      <c r="B967" t="n">
        <v>124008063</v>
      </c>
      <c r="C967" t="inlineStr">
        <is>
          <t>T</t>
        </is>
      </c>
      <c r="D967" t="inlineStr">
        <is>
          <t>G</t>
        </is>
      </c>
      <c r="E967" t="inlineStr">
        <is>
          <t>rs12303671</t>
        </is>
      </c>
      <c r="F967" t="n">
        <v>-0.0448001412</v>
      </c>
      <c r="G967" t="n">
        <v>0.08750138347629439</v>
      </c>
      <c r="H967" t="n">
        <v>0.0306380535469733</v>
      </c>
      <c r="I967" t="n">
        <v>0.0081114924409825</v>
      </c>
      <c r="J967" t="n">
        <v>0.3802987761750648</v>
      </c>
      <c r="K967" t="n">
        <v>0.1853247432542487</v>
      </c>
      <c r="L967" t="b">
        <v>1</v>
      </c>
      <c r="M967" t="b">
        <v>1</v>
      </c>
      <c r="N967" t="inlineStr">
        <is>
          <t>ref</t>
        </is>
      </c>
      <c r="O967" t="n">
        <v>100</v>
      </c>
      <c r="P967" t="n">
        <v>0.006058</v>
      </c>
      <c r="Q967" t="n">
        <v>-45</v>
      </c>
      <c r="R967" t="n">
        <v>0.10693</v>
      </c>
      <c r="S967">
        <f>IMAGE("https://mitra.stanford.edu/kundaje/oak/projects/neuro-variants/variant_position/credible/roussos_2024/variant_figures/roussos_2024.adolescence.GLU/rs12303671_count_position.png",4,220,900)</f>
        <v/>
      </c>
      <c r="T967">
        <f>IMAGE("https://mitra.stanford.edu/kundaje/oak/projects/neuro-variants/variant_position/credible/roussos_2024/variant_figures/roussos_2024.adolescence.GLU/rs12303671_profile_position.png",4,220,900)</f>
        <v/>
      </c>
    </row>
    <row r="968">
      <c r="A968" t="inlineStr">
        <is>
          <t>chr13</t>
        </is>
      </c>
      <c r="B968" t="n">
        <v>32188974</v>
      </c>
      <c r="C968" t="inlineStr">
        <is>
          <t>G</t>
        </is>
      </c>
      <c r="D968" t="inlineStr">
        <is>
          <t>A</t>
        </is>
      </c>
      <c r="E968" t="inlineStr">
        <is>
          <t>rs7992065</t>
        </is>
      </c>
      <c r="F968" t="n">
        <v>-0.0251349757199999</v>
      </c>
      <c r="G968" t="n">
        <v>0.237297259221271</v>
      </c>
      <c r="H968" t="n">
        <v>0.0101606237760106</v>
      </c>
      <c r="I968" t="n">
        <v>0.5260001690931106</v>
      </c>
      <c r="J968" t="n">
        <v>0.0375277736102478</v>
      </c>
      <c r="K968" t="n">
        <v>0.7441502433970461</v>
      </c>
      <c r="L968" t="b">
        <v>0</v>
      </c>
      <c r="M968" t="b">
        <v>0</v>
      </c>
      <c r="N968" t="inlineStr">
        <is>
          <t>ref</t>
        </is>
      </c>
      <c r="O968" t="n">
        <v>-85</v>
      </c>
      <c r="P968" t="n">
        <v>0.01341</v>
      </c>
      <c r="Q968" t="n">
        <v>-80</v>
      </c>
      <c r="R968" t="n">
        <v>0.01746</v>
      </c>
      <c r="S968">
        <f>IMAGE("https://mitra.stanford.edu/kundaje/oak/projects/neuro-variants/variant_position/credible/roussos_2024/variant_figures/roussos_2024.adolescence.GLU/rs7992065_count_position.png",4,220,900)</f>
        <v/>
      </c>
      <c r="T968">
        <f>IMAGE("https://mitra.stanford.edu/kundaje/oak/projects/neuro-variants/variant_position/credible/roussos_2024/variant_figures/roussos_2024.adolescence.GLU/rs7992065_profile_position.png",4,220,900)</f>
        <v/>
      </c>
    </row>
    <row r="969">
      <c r="A969" t="inlineStr">
        <is>
          <t>chr13</t>
        </is>
      </c>
      <c r="B969" t="n">
        <v>32201923</v>
      </c>
      <c r="C969" t="inlineStr">
        <is>
          <t>G</t>
        </is>
      </c>
      <c r="D969" t="inlineStr">
        <is>
          <t>T</t>
        </is>
      </c>
      <c r="E969" t="inlineStr">
        <is>
          <t>rs9567419</t>
        </is>
      </c>
      <c r="F969" t="n">
        <v>-4.846111400000006e-05</v>
      </c>
      <c r="G969" t="n">
        <v>0.8175466910503265</v>
      </c>
      <c r="H969" t="n">
        <v>0.0225684190363921</v>
      </c>
      <c r="I969" t="n">
        <v>0.0316390262845373</v>
      </c>
      <c r="J969" t="n">
        <v>0.0228504475927155</v>
      </c>
      <c r="K969" t="n">
        <v>0.8015165534371833</v>
      </c>
      <c r="L969" t="b">
        <v>0</v>
      </c>
      <c r="M969" t="b">
        <v>0</v>
      </c>
      <c r="N969" t="inlineStr">
        <is>
          <t>ref</t>
        </is>
      </c>
      <c r="O969" t="n">
        <v>-60</v>
      </c>
      <c r="P969" t="n">
        <v>0.012726</v>
      </c>
      <c r="Q969" t="n">
        <v>10</v>
      </c>
      <c r="R969" t="n">
        <v>0.01169</v>
      </c>
      <c r="S969">
        <f>IMAGE("https://mitra.stanford.edu/kundaje/oak/projects/neuro-variants/variant_position/credible/roussos_2024/variant_figures/roussos_2024.adolescence.GLU/rs9567419_count_position.png",4,220,900)</f>
        <v/>
      </c>
      <c r="T969">
        <f>IMAGE("https://mitra.stanford.edu/kundaje/oak/projects/neuro-variants/variant_position/credible/roussos_2024/variant_figures/roussos_2024.adolescence.GLU/rs9567419_profile_position.png",4,220,900)</f>
        <v/>
      </c>
    </row>
    <row r="970">
      <c r="A970" t="inlineStr">
        <is>
          <t>chr13</t>
        </is>
      </c>
      <c r="B970" t="n">
        <v>32202016</v>
      </c>
      <c r="C970" t="inlineStr">
        <is>
          <t>T</t>
        </is>
      </c>
      <c r="D970" t="inlineStr">
        <is>
          <t>C</t>
        </is>
      </c>
      <c r="E970" t="inlineStr">
        <is>
          <t>rs9567420</t>
        </is>
      </c>
      <c r="F970" t="n">
        <v>0.048139608</v>
      </c>
      <c r="G970" t="n">
        <v>0.06693844563090399</v>
      </c>
      <c r="H970" t="n">
        <v>0.0098876535110389</v>
      </c>
      <c r="I970" t="n">
        <v>0.5505155008745939</v>
      </c>
      <c r="J970" t="n">
        <v>0.0346557501196675</v>
      </c>
      <c r="K970" t="n">
        <v>0.7512769711692433</v>
      </c>
      <c r="L970" t="b">
        <v>0</v>
      </c>
      <c r="M970" t="b">
        <v>0</v>
      </c>
      <c r="N970" t="inlineStr">
        <is>
          <t>alt</t>
        </is>
      </c>
      <c r="O970" t="n">
        <v>100</v>
      </c>
      <c r="P970" t="n">
        <v>0.009140000000000001</v>
      </c>
      <c r="Q970" t="n">
        <v>-85</v>
      </c>
      <c r="R970" t="n">
        <v>0.04095</v>
      </c>
      <c r="S970">
        <f>IMAGE("https://mitra.stanford.edu/kundaje/oak/projects/neuro-variants/variant_position/credible/roussos_2024/variant_figures/roussos_2024.adolescence.GLU/rs9567420_count_position.png",4,220,900)</f>
        <v/>
      </c>
      <c r="T970">
        <f>IMAGE("https://mitra.stanford.edu/kundaje/oak/projects/neuro-variants/variant_position/credible/roussos_2024/variant_figures/roussos_2024.adolescence.GLU/rs9567420_profile_position.png",4,220,900)</f>
        <v/>
      </c>
    </row>
    <row r="971">
      <c r="A971" t="inlineStr">
        <is>
          <t>chr13</t>
        </is>
      </c>
      <c r="B971" t="n">
        <v>32202479</v>
      </c>
      <c r="C971" t="inlineStr">
        <is>
          <t>T</t>
        </is>
      </c>
      <c r="D971" t="inlineStr">
        <is>
          <t>A</t>
        </is>
      </c>
      <c r="E971" t="inlineStr">
        <is>
          <t>rs61750791</t>
        </is>
      </c>
      <c r="F971" t="n">
        <v>-0.0393203918</v>
      </c>
      <c r="G971" t="n">
        <v>0.1205267978893868</v>
      </c>
      <c r="H971" t="n">
        <v>0.017526601762373</v>
      </c>
      <c r="I971" t="n">
        <v>0.0987254215249892</v>
      </c>
      <c r="J971" t="n">
        <v>0.0495831279336433</v>
      </c>
      <c r="K971" t="n">
        <v>0.6990528297759366</v>
      </c>
      <c r="L971" t="b">
        <v>0</v>
      </c>
      <c r="M971" t="b">
        <v>0</v>
      </c>
      <c r="N971" t="inlineStr">
        <is>
          <t>ref</t>
        </is>
      </c>
      <c r="O971" t="n">
        <v>100</v>
      </c>
      <c r="P971" t="n">
        <v>0.01785</v>
      </c>
      <c r="Q971" t="n">
        <v>-35</v>
      </c>
      <c r="R971" t="n">
        <v>0.03345</v>
      </c>
      <c r="S971">
        <f>IMAGE("https://mitra.stanford.edu/kundaje/oak/projects/neuro-variants/variant_position/credible/roussos_2024/variant_figures/roussos_2024.adolescence.GLU/rs61750791_count_position.png",4,220,900)</f>
        <v/>
      </c>
      <c r="T971">
        <f>IMAGE("https://mitra.stanford.edu/kundaje/oak/projects/neuro-variants/variant_position/credible/roussos_2024/variant_figures/roussos_2024.adolescence.GLU/rs61750791_profile_position.png",4,220,900)</f>
        <v/>
      </c>
    </row>
    <row r="972">
      <c r="A972" t="inlineStr">
        <is>
          <t>chr13</t>
        </is>
      </c>
      <c r="B972" t="n">
        <v>37576532</v>
      </c>
      <c r="C972" t="inlineStr">
        <is>
          <t>A</t>
        </is>
      </c>
      <c r="D972" t="inlineStr">
        <is>
          <t>G</t>
        </is>
      </c>
      <c r="E972" t="inlineStr">
        <is>
          <t>rs4512969</t>
        </is>
      </c>
      <c r="F972" t="n">
        <v>0.0358730252</v>
      </c>
      <c r="G972" t="n">
        <v>0.1250856872403789</v>
      </c>
      <c r="H972" t="n">
        <v>0.010094446303341</v>
      </c>
      <c r="I972" t="n">
        <v>0.5119036447318512</v>
      </c>
      <c r="J972" t="n">
        <v>0.0364775560651848</v>
      </c>
      <c r="K972" t="n">
        <v>0.7537301215250142</v>
      </c>
      <c r="L972" t="b">
        <v>0</v>
      </c>
      <c r="M972" t="b">
        <v>0</v>
      </c>
      <c r="N972" t="inlineStr">
        <is>
          <t>alt</t>
        </is>
      </c>
      <c r="O972" t="n">
        <v>90</v>
      </c>
      <c r="P972" t="n">
        <v>0.00859</v>
      </c>
      <c r="Q972" t="n">
        <v>-75</v>
      </c>
      <c r="R972" t="n">
        <v>0.06976</v>
      </c>
      <c r="S972">
        <f>IMAGE("https://mitra.stanford.edu/kundaje/oak/projects/neuro-variants/variant_position/credible/roussos_2024/variant_figures/roussos_2024.adolescence.GLU/rs4512969_count_position.png",4,220,900)</f>
        <v/>
      </c>
      <c r="T972">
        <f>IMAGE("https://mitra.stanford.edu/kundaje/oak/projects/neuro-variants/variant_position/credible/roussos_2024/variant_figures/roussos_2024.adolescence.GLU/rs4512969_profile_position.png",4,220,900)</f>
        <v/>
      </c>
    </row>
    <row r="973">
      <c r="A973" t="inlineStr">
        <is>
          <t>chr13</t>
        </is>
      </c>
      <c r="B973" t="n">
        <v>37612750</v>
      </c>
      <c r="C973" t="inlineStr">
        <is>
          <t>C</t>
        </is>
      </c>
      <c r="D973" t="inlineStr">
        <is>
          <t>T</t>
        </is>
      </c>
      <c r="E973" t="inlineStr">
        <is>
          <t>rs17258158</t>
        </is>
      </c>
      <c r="F973" t="n">
        <v>-0.076560343</v>
      </c>
      <c r="G973" t="n">
        <v>0.0177756435110884</v>
      </c>
      <c r="H973" t="n">
        <v>0.0138470120064975</v>
      </c>
      <c r="I973" t="n">
        <v>0.2178146649962041</v>
      </c>
      <c r="J973" t="n">
        <v>0.0771931328632359</v>
      </c>
      <c r="K973" t="n">
        <v>0.6280437102440177</v>
      </c>
      <c r="L973" t="b">
        <v>1</v>
      </c>
      <c r="M973" t="b">
        <v>0</v>
      </c>
      <c r="N973" t="inlineStr">
        <is>
          <t>ref</t>
        </is>
      </c>
      <c r="O973" t="n">
        <v>80</v>
      </c>
      <c r="P973" t="n">
        <v>0.005238</v>
      </c>
      <c r="Q973" t="n">
        <v>-45</v>
      </c>
      <c r="R973" t="n">
        <v>0.02097</v>
      </c>
      <c r="S973">
        <f>IMAGE("https://mitra.stanford.edu/kundaje/oak/projects/neuro-variants/variant_position/credible/roussos_2024/variant_figures/roussos_2024.adolescence.GLU/rs17258158_count_position.png",4,220,900)</f>
        <v/>
      </c>
      <c r="T973">
        <f>IMAGE("https://mitra.stanford.edu/kundaje/oak/projects/neuro-variants/variant_position/credible/roussos_2024/variant_figures/roussos_2024.adolescence.GLU/rs17258158_profile_position.png",4,220,900)</f>
        <v/>
      </c>
    </row>
    <row r="974">
      <c r="A974" t="inlineStr">
        <is>
          <t>chr13</t>
        </is>
      </c>
      <c r="B974" t="n">
        <v>37636007</v>
      </c>
      <c r="C974" t="inlineStr">
        <is>
          <t>G</t>
        </is>
      </c>
      <c r="D974" t="inlineStr">
        <is>
          <t>T</t>
        </is>
      </c>
      <c r="E974" t="inlineStr">
        <is>
          <t>rs73184532</t>
        </is>
      </c>
      <c r="F974" t="n">
        <v>0.0047229516215999</v>
      </c>
      <c r="G974" t="n">
        <v>0.7374259406428147</v>
      </c>
      <c r="H974" t="n">
        <v>0.0258855886718328</v>
      </c>
      <c r="I974" t="n">
        <v>0.018553773696469</v>
      </c>
      <c r="J974" t="n">
        <v>0.0107793757278293</v>
      </c>
      <c r="K974" t="n">
        <v>0.8702393319892728</v>
      </c>
      <c r="L974" t="b">
        <v>1</v>
      </c>
      <c r="M974" t="b">
        <v>0</v>
      </c>
      <c r="N974" t="inlineStr">
        <is>
          <t>alt</t>
        </is>
      </c>
      <c r="O974" t="n">
        <v>-10</v>
      </c>
      <c r="P974" t="n">
        <v>0.0004673</v>
      </c>
      <c r="Q974" t="n">
        <v>90</v>
      </c>
      <c r="R974" t="n">
        <v>0.05457</v>
      </c>
      <c r="S974">
        <f>IMAGE("https://mitra.stanford.edu/kundaje/oak/projects/neuro-variants/variant_position/credible/roussos_2024/variant_figures/roussos_2024.adolescence.GLU/rs73184532_count_position.png",4,220,900)</f>
        <v/>
      </c>
      <c r="T974">
        <f>IMAGE("https://mitra.stanford.edu/kundaje/oak/projects/neuro-variants/variant_position/credible/roussos_2024/variant_figures/roussos_2024.adolescence.GLU/rs73184532_profile_position.png",4,220,900)</f>
        <v/>
      </c>
    </row>
    <row r="975">
      <c r="A975" t="inlineStr">
        <is>
          <t>chr13</t>
        </is>
      </c>
      <c r="B975" t="n">
        <v>37638916</v>
      </c>
      <c r="C975" t="inlineStr">
        <is>
          <t>A</t>
        </is>
      </c>
      <c r="D975" t="inlineStr">
        <is>
          <t>G</t>
        </is>
      </c>
      <c r="E975" t="inlineStr">
        <is>
          <t>rs73184537</t>
        </is>
      </c>
      <c r="F975" t="n">
        <v>-0.0412446446</v>
      </c>
      <c r="G975" t="n">
        <v>0.1048098648024649</v>
      </c>
      <c r="H975" t="n">
        <v>0.0357102949467834</v>
      </c>
      <c r="I975" t="n">
        <v>0.0046361506997324</v>
      </c>
      <c r="J975" t="n">
        <v>0.0611069435811703</v>
      </c>
      <c r="K975" t="n">
        <v>0.6633707238140428</v>
      </c>
      <c r="L975" t="b">
        <v>1</v>
      </c>
      <c r="M975" t="b">
        <v>1</v>
      </c>
      <c r="N975" t="inlineStr">
        <is>
          <t>ref</t>
        </is>
      </c>
      <c r="O975" t="n">
        <v>-75</v>
      </c>
      <c r="P975" t="n">
        <v>0.01424</v>
      </c>
      <c r="Q975" t="n">
        <v>-45</v>
      </c>
      <c r="R975" t="n">
        <v>0.08136</v>
      </c>
      <c r="S975">
        <f>IMAGE("https://mitra.stanford.edu/kundaje/oak/projects/neuro-variants/variant_position/credible/roussos_2024/variant_figures/roussos_2024.adolescence.GLU/rs73184537_count_position.png",4,220,900)</f>
        <v/>
      </c>
      <c r="T975">
        <f>IMAGE("https://mitra.stanford.edu/kundaje/oak/projects/neuro-variants/variant_position/credible/roussos_2024/variant_figures/roussos_2024.adolescence.GLU/rs73184537_profile_position.png",4,220,900)</f>
        <v/>
      </c>
    </row>
    <row r="976">
      <c r="A976" t="inlineStr">
        <is>
          <t>chr13</t>
        </is>
      </c>
      <c r="B976" t="n">
        <v>37737646</v>
      </c>
      <c r="C976" t="inlineStr">
        <is>
          <t>C</t>
        </is>
      </c>
      <c r="D976" t="inlineStr">
        <is>
          <t>T</t>
        </is>
      </c>
      <c r="E976" t="inlineStr">
        <is>
          <t>rs1924300</t>
        </is>
      </c>
      <c r="F976" t="n">
        <v>0.00592572602</v>
      </c>
      <c r="G976" t="n">
        <v>0.6645732020167933</v>
      </c>
      <c r="H976" t="n">
        <v>0.0350635897540022</v>
      </c>
      <c r="I976" t="n">
        <v>0.0045650843751907</v>
      </c>
      <c r="J976" t="n">
        <v>0.0123954247665587</v>
      </c>
      <c r="K976" t="n">
        <v>0.8609297577621732</v>
      </c>
      <c r="L976" t="b">
        <v>1</v>
      </c>
      <c r="M976" t="b">
        <v>0</v>
      </c>
      <c r="N976" t="inlineStr">
        <is>
          <t>alt</t>
        </is>
      </c>
      <c r="O976" t="n">
        <v>70</v>
      </c>
      <c r="P976" t="n">
        <v>0.01173</v>
      </c>
      <c r="Q976" t="n">
        <v>-10</v>
      </c>
      <c r="R976" t="n">
        <v>0.009220000000000001</v>
      </c>
      <c r="S976">
        <f>IMAGE("https://mitra.stanford.edu/kundaje/oak/projects/neuro-variants/variant_position/credible/roussos_2024/variant_figures/roussos_2024.adolescence.GLU/rs1924300_count_position.png",4,220,900)</f>
        <v/>
      </c>
      <c r="T976">
        <f>IMAGE("https://mitra.stanford.edu/kundaje/oak/projects/neuro-variants/variant_position/credible/roussos_2024/variant_figures/roussos_2024.adolescence.GLU/rs1924300_profile_position.png",4,220,900)</f>
        <v/>
      </c>
    </row>
    <row r="977">
      <c r="A977" t="inlineStr">
        <is>
          <t>chr13</t>
        </is>
      </c>
      <c r="B977" t="n">
        <v>37740503</v>
      </c>
      <c r="C977" t="inlineStr">
        <is>
          <t>G</t>
        </is>
      </c>
      <c r="D977" t="inlineStr">
        <is>
          <t>A</t>
        </is>
      </c>
      <c r="E977" t="inlineStr">
        <is>
          <t>rs12858218</t>
        </is>
      </c>
      <c r="F977" t="n">
        <v>0.007861123940000001</v>
      </c>
      <c r="G977" t="n">
        <v>0.5924916431468347</v>
      </c>
      <c r="H977" t="n">
        <v>0.0109558236031237</v>
      </c>
      <c r="I977" t="n">
        <v>0.4225797586816686</v>
      </c>
      <c r="J977" t="n">
        <v>0.0121710925834636</v>
      </c>
      <c r="K977" t="n">
        <v>0.8650185617808817</v>
      </c>
      <c r="L977" t="b">
        <v>0</v>
      </c>
      <c r="M977" t="b">
        <v>0</v>
      </c>
      <c r="N977" t="inlineStr">
        <is>
          <t>alt</t>
        </is>
      </c>
      <c r="O977" t="n">
        <v>40</v>
      </c>
      <c r="P977" t="n">
        <v>0.002312</v>
      </c>
      <c r="Q977" t="n">
        <v>95</v>
      </c>
      <c r="R977" t="n">
        <v>0.09719999999999999</v>
      </c>
      <c r="S977">
        <f>IMAGE("https://mitra.stanford.edu/kundaje/oak/projects/neuro-variants/variant_position/credible/roussos_2024/variant_figures/roussos_2024.adolescence.GLU/rs12858218_count_position.png",4,220,900)</f>
        <v/>
      </c>
      <c r="T977">
        <f>IMAGE("https://mitra.stanford.edu/kundaje/oak/projects/neuro-variants/variant_position/credible/roussos_2024/variant_figures/roussos_2024.adolescence.GLU/rs12858218_profile_position.png",4,220,900)</f>
        <v/>
      </c>
    </row>
    <row r="978">
      <c r="A978" t="inlineStr">
        <is>
          <t>chr13</t>
        </is>
      </c>
      <c r="B978" t="n">
        <v>37743884</v>
      </c>
      <c r="C978" t="inlineStr">
        <is>
          <t>G</t>
        </is>
      </c>
      <c r="D978" t="inlineStr">
        <is>
          <t>T</t>
        </is>
      </c>
      <c r="E978" t="inlineStr">
        <is>
          <t>rs2025402</t>
        </is>
      </c>
      <c r="F978" t="n">
        <v>0.0106146125</v>
      </c>
      <c r="G978" t="n">
        <v>0.5057002888648624</v>
      </c>
      <c r="H978" t="n">
        <v>0.026370267074053</v>
      </c>
      <c r="I978" t="n">
        <v>0.0163502466566308</v>
      </c>
      <c r="J978" t="n">
        <v>0.0207328660936907</v>
      </c>
      <c r="K978" t="n">
        <v>0.815525147225578</v>
      </c>
      <c r="L978" t="b">
        <v>1</v>
      </c>
      <c r="M978" t="b">
        <v>0</v>
      </c>
      <c r="N978" t="inlineStr">
        <is>
          <t>alt</t>
        </is>
      </c>
      <c r="O978" t="n">
        <v>-35</v>
      </c>
      <c r="P978" t="n">
        <v>0.00822</v>
      </c>
      <c r="Q978" t="n">
        <v>10</v>
      </c>
      <c r="R978" t="n">
        <v>0.01306</v>
      </c>
      <c r="S978">
        <f>IMAGE("https://mitra.stanford.edu/kundaje/oak/projects/neuro-variants/variant_position/credible/roussos_2024/variant_figures/roussos_2024.adolescence.GLU/rs2025402_count_position.png",4,220,900)</f>
        <v/>
      </c>
      <c r="T978">
        <f>IMAGE("https://mitra.stanford.edu/kundaje/oak/projects/neuro-variants/variant_position/credible/roussos_2024/variant_figures/roussos_2024.adolescence.GLU/rs2025402_profile_position.png",4,220,900)</f>
        <v/>
      </c>
    </row>
    <row r="979">
      <c r="A979" t="inlineStr">
        <is>
          <t>chr13</t>
        </is>
      </c>
      <c r="B979" t="n">
        <v>37748922</v>
      </c>
      <c r="C979" t="inlineStr">
        <is>
          <t>G</t>
        </is>
      </c>
      <c r="D979" t="inlineStr">
        <is>
          <t>T</t>
        </is>
      </c>
      <c r="E979" t="inlineStr">
        <is>
          <t>rs11620255</t>
        </is>
      </c>
      <c r="F979" t="n">
        <v>-0.0250668353999999</v>
      </c>
      <c r="G979" t="n">
        <v>0.2259162811403177</v>
      </c>
      <c r="H979" t="n">
        <v>0.0124303198758419</v>
      </c>
      <c r="I979" t="n">
        <v>0.2878788256158525</v>
      </c>
      <c r="J979" t="n">
        <v>0.0150631202177593</v>
      </c>
      <c r="K979" t="n">
        <v>0.8429857485875102</v>
      </c>
      <c r="L979" t="b">
        <v>0</v>
      </c>
      <c r="M979" t="b">
        <v>0</v>
      </c>
      <c r="N979" t="inlineStr">
        <is>
          <t>ref</t>
        </is>
      </c>
      <c r="O979" t="n">
        <v>-100</v>
      </c>
      <c r="P979" t="n">
        <v>0.02557</v>
      </c>
      <c r="Q979" t="n">
        <v>100</v>
      </c>
      <c r="R979" t="n">
        <v>0.0853</v>
      </c>
      <c r="S979">
        <f>IMAGE("https://mitra.stanford.edu/kundaje/oak/projects/neuro-variants/variant_position/credible/roussos_2024/variant_figures/roussos_2024.adolescence.GLU/rs11620255_count_position.png",4,220,900)</f>
        <v/>
      </c>
      <c r="T979">
        <f>IMAGE("https://mitra.stanford.edu/kundaje/oak/projects/neuro-variants/variant_position/credible/roussos_2024/variant_figures/roussos_2024.adolescence.GLU/rs11620255_profile_position.png",4,220,900)</f>
        <v/>
      </c>
    </row>
    <row r="980">
      <c r="A980" t="inlineStr">
        <is>
          <t>chr13</t>
        </is>
      </c>
      <c r="B980" t="n">
        <v>37778264</v>
      </c>
      <c r="C980" t="inlineStr">
        <is>
          <t>C</t>
        </is>
      </c>
      <c r="D980" t="inlineStr">
        <is>
          <t>T</t>
        </is>
      </c>
      <c r="E980" t="inlineStr">
        <is>
          <t>rs7330208</t>
        </is>
      </c>
      <c r="F980" t="n">
        <v>-0.13092613</v>
      </c>
      <c r="G980" t="n">
        <v>0.0036020161714573</v>
      </c>
      <c r="H980" t="n">
        <v>0.0228737876812511</v>
      </c>
      <c r="I980" t="n">
        <v>0.033712178411369</v>
      </c>
      <c r="J980" t="n">
        <v>0.0151231326489057</v>
      </c>
      <c r="K980" t="n">
        <v>0.8475498544534854</v>
      </c>
      <c r="L980" t="b">
        <v>1</v>
      </c>
      <c r="M980" t="b">
        <v>1</v>
      </c>
      <c r="N980" t="inlineStr">
        <is>
          <t>ref</t>
        </is>
      </c>
      <c r="O980" t="n">
        <v>-35</v>
      </c>
      <c r="P980" t="n">
        <v>0.003693</v>
      </c>
      <c r="Q980" t="n">
        <v>-75</v>
      </c>
      <c r="R980" t="n">
        <v>0.02591</v>
      </c>
      <c r="S980">
        <f>IMAGE("https://mitra.stanford.edu/kundaje/oak/projects/neuro-variants/variant_position/credible/roussos_2024/variant_figures/roussos_2024.adolescence.GLU/rs7330208_count_position.png",4,220,900)</f>
        <v/>
      </c>
      <c r="T980">
        <f>IMAGE("https://mitra.stanford.edu/kundaje/oak/projects/neuro-variants/variant_position/credible/roussos_2024/variant_figures/roussos_2024.adolescence.GLU/rs7330208_profile_position.png",4,220,900)</f>
        <v/>
      </c>
    </row>
    <row r="981">
      <c r="A981" t="inlineStr">
        <is>
          <t>chr13</t>
        </is>
      </c>
      <c r="B981" t="n">
        <v>37779028</v>
      </c>
      <c r="C981" t="inlineStr">
        <is>
          <t>G</t>
        </is>
      </c>
      <c r="D981" t="inlineStr">
        <is>
          <t>A</t>
        </is>
      </c>
      <c r="E981" t="inlineStr">
        <is>
          <t>rs9566253</t>
        </is>
      </c>
      <c r="F981" t="n">
        <v>0.0055654573999999</v>
      </c>
      <c r="G981" t="n">
        <v>0.5362938732117754</v>
      </c>
      <c r="H981" t="n">
        <v>0.0102135441683795</v>
      </c>
      <c r="I981" t="n">
        <v>0.508187410856594</v>
      </c>
      <c r="J981" t="n">
        <v>0.0327567853341048</v>
      </c>
      <c r="K981" t="n">
        <v>0.7611271183613274</v>
      </c>
      <c r="L981" t="b">
        <v>0</v>
      </c>
      <c r="M981" t="b">
        <v>0</v>
      </c>
      <c r="N981" t="inlineStr">
        <is>
          <t>alt</t>
        </is>
      </c>
      <c r="O981" t="n">
        <v>10</v>
      </c>
      <c r="P981" t="n">
        <v>0.00431</v>
      </c>
      <c r="Q981" t="n">
        <v>5</v>
      </c>
      <c r="R981" t="n">
        <v>0.005005</v>
      </c>
      <c r="S981">
        <f>IMAGE("https://mitra.stanford.edu/kundaje/oak/projects/neuro-variants/variant_position/credible/roussos_2024/variant_figures/roussos_2024.adolescence.GLU/rs9566253_count_position.png",4,220,900)</f>
        <v/>
      </c>
      <c r="T981">
        <f>IMAGE("https://mitra.stanford.edu/kundaje/oak/projects/neuro-variants/variant_position/credible/roussos_2024/variant_figures/roussos_2024.adolescence.GLU/rs9566253_profile_position.png",4,220,900)</f>
        <v/>
      </c>
    </row>
    <row r="982">
      <c r="A982" t="inlineStr">
        <is>
          <t>chr13</t>
        </is>
      </c>
      <c r="B982" t="n">
        <v>37779963</v>
      </c>
      <c r="C982" t="inlineStr">
        <is>
          <t>C</t>
        </is>
      </c>
      <c r="D982" t="inlineStr">
        <is>
          <t>T</t>
        </is>
      </c>
      <c r="E982" t="inlineStr">
        <is>
          <t>rs1333376</t>
        </is>
      </c>
      <c r="F982" t="n">
        <v>-0.003778525784</v>
      </c>
      <c r="G982" t="n">
        <v>0.8049390477142526</v>
      </c>
      <c r="H982" t="n">
        <v>0.0086361545468445</v>
      </c>
      <c r="I982" t="n">
        <v>0.7187607448507667</v>
      </c>
      <c r="J982" t="n">
        <v>0.0151288481185387</v>
      </c>
      <c r="K982" t="n">
        <v>0.846515712436383</v>
      </c>
      <c r="L982" t="b">
        <v>0</v>
      </c>
      <c r="M982" t="b">
        <v>0</v>
      </c>
      <c r="N982" t="inlineStr">
        <is>
          <t>ref</t>
        </is>
      </c>
      <c r="O982" t="n">
        <v>70</v>
      </c>
      <c r="P982" t="n">
        <v>0.0038</v>
      </c>
      <c r="Q982" t="n">
        <v>30</v>
      </c>
      <c r="R982" t="n">
        <v>0.02899</v>
      </c>
      <c r="S982">
        <f>IMAGE("https://mitra.stanford.edu/kundaje/oak/projects/neuro-variants/variant_position/credible/roussos_2024/variant_figures/roussos_2024.adolescence.GLU/rs1333376_count_position.png",4,220,900)</f>
        <v/>
      </c>
      <c r="T982">
        <f>IMAGE("https://mitra.stanford.edu/kundaje/oak/projects/neuro-variants/variant_position/credible/roussos_2024/variant_figures/roussos_2024.adolescence.GLU/rs1333376_profile_position.png",4,220,900)</f>
        <v/>
      </c>
    </row>
    <row r="983">
      <c r="A983" t="inlineStr">
        <is>
          <t>chr13</t>
        </is>
      </c>
      <c r="B983" t="n">
        <v>38036983</v>
      </c>
      <c r="C983" t="inlineStr">
        <is>
          <t>A</t>
        </is>
      </c>
      <c r="D983" t="inlineStr">
        <is>
          <t>C</t>
        </is>
      </c>
      <c r="E983" t="inlineStr">
        <is>
          <t>rs78587501</t>
        </is>
      </c>
      <c r="F983" t="n">
        <v>0.0214009024</v>
      </c>
      <c r="G983" t="n">
        <v>0.2622793504402691</v>
      </c>
      <c r="H983" t="n">
        <v>0.0116307890184486</v>
      </c>
      <c r="I983" t="n">
        <v>0.3567940315772298</v>
      </c>
      <c r="J983" t="n">
        <v>0.0010816526280443</v>
      </c>
      <c r="K983" t="n">
        <v>0.9768083759466318</v>
      </c>
      <c r="L983" t="b">
        <v>0</v>
      </c>
      <c r="M983" t="b">
        <v>0</v>
      </c>
      <c r="N983" t="inlineStr">
        <is>
          <t>alt</t>
        </is>
      </c>
      <c r="O983" t="n">
        <v>-15</v>
      </c>
      <c r="P983" t="n">
        <v>0.001877</v>
      </c>
      <c r="Q983" t="n">
        <v>-70</v>
      </c>
      <c r="R983" t="n">
        <v>0.05908</v>
      </c>
      <c r="S983">
        <f>IMAGE("https://mitra.stanford.edu/kundaje/oak/projects/neuro-variants/variant_position/credible/roussos_2024/variant_figures/roussos_2024.adolescence.GLU/rs78587501_count_position.png",4,220,900)</f>
        <v/>
      </c>
      <c r="T983">
        <f>IMAGE("https://mitra.stanford.edu/kundaje/oak/projects/neuro-variants/variant_position/credible/roussos_2024/variant_figures/roussos_2024.adolescence.GLU/rs78587501_profile_position.png",4,220,900)</f>
        <v/>
      </c>
    </row>
    <row r="984">
      <c r="A984" t="inlineStr">
        <is>
          <t>chr13</t>
        </is>
      </c>
      <c r="B984" t="n">
        <v>38290033</v>
      </c>
      <c r="C984" t="inlineStr">
        <is>
          <t>G</t>
        </is>
      </c>
      <c r="D984" t="inlineStr">
        <is>
          <t>T</t>
        </is>
      </c>
      <c r="E984" t="inlineStr">
        <is>
          <t>rs2652578</t>
        </is>
      </c>
      <c r="F984" t="n">
        <v>-0.0269725847999999</v>
      </c>
      <c r="G984" t="n">
        <v>0.2135864398413473</v>
      </c>
      <c r="H984" t="n">
        <v>0.0145048355399842</v>
      </c>
      <c r="I984" t="n">
        <v>0.2268786742971296</v>
      </c>
      <c r="J984" t="n">
        <v>0.0682469940201898</v>
      </c>
      <c r="K984" t="n">
        <v>0.6465294803077341</v>
      </c>
      <c r="L984" t="b">
        <v>0</v>
      </c>
      <c r="M984" t="b">
        <v>0</v>
      </c>
      <c r="N984" t="inlineStr">
        <is>
          <t>ref</t>
        </is>
      </c>
      <c r="O984" t="n">
        <v>-35</v>
      </c>
      <c r="P984" t="n">
        <v>0.003265</v>
      </c>
      <c r="Q984" t="n">
        <v>-90</v>
      </c>
      <c r="R984" t="n">
        <v>0.07056</v>
      </c>
      <c r="S984">
        <f>IMAGE("https://mitra.stanford.edu/kundaje/oak/projects/neuro-variants/variant_position/credible/roussos_2024/variant_figures/roussos_2024.adolescence.GLU/rs2652578_count_position.png",4,220,900)</f>
        <v/>
      </c>
      <c r="T984">
        <f>IMAGE("https://mitra.stanford.edu/kundaje/oak/projects/neuro-variants/variant_position/credible/roussos_2024/variant_figures/roussos_2024.adolescence.GLU/rs2652578_profile_position.png",4,220,900)</f>
        <v/>
      </c>
    </row>
    <row r="985">
      <c r="A985" t="inlineStr">
        <is>
          <t>chr13</t>
        </is>
      </c>
      <c r="B985" t="n">
        <v>38291192</v>
      </c>
      <c r="C985" t="inlineStr">
        <is>
          <t>A</t>
        </is>
      </c>
      <c r="D985" t="inlineStr">
        <is>
          <t>G</t>
        </is>
      </c>
      <c r="E985" t="inlineStr">
        <is>
          <t>rs9548286</t>
        </is>
      </c>
      <c r="F985" t="n">
        <v>0.0019283569599999</v>
      </c>
      <c r="G985" t="n">
        <v>0.7672215162529479</v>
      </c>
      <c r="H985" t="n">
        <v>0.008143165533572701</v>
      </c>
      <c r="I985" t="n">
        <v>0.7847864033036812</v>
      </c>
      <c r="J985" t="n">
        <v>0.0780604553800429</v>
      </c>
      <c r="K985" t="n">
        <v>0.6281933625181826</v>
      </c>
      <c r="L985" t="b">
        <v>0</v>
      </c>
      <c r="M985" t="b">
        <v>0</v>
      </c>
      <c r="N985" t="inlineStr">
        <is>
          <t>alt</t>
        </is>
      </c>
      <c r="O985" t="n">
        <v>55</v>
      </c>
      <c r="P985" t="n">
        <v>0.002441</v>
      </c>
      <c r="Q985" t="n">
        <v>-100</v>
      </c>
      <c r="R985" t="n">
        <v>0.04315</v>
      </c>
      <c r="S985">
        <f>IMAGE("https://mitra.stanford.edu/kundaje/oak/projects/neuro-variants/variant_position/credible/roussos_2024/variant_figures/roussos_2024.adolescence.GLU/rs9548286_count_position.png",4,220,900)</f>
        <v/>
      </c>
      <c r="T985">
        <f>IMAGE("https://mitra.stanford.edu/kundaje/oak/projects/neuro-variants/variant_position/credible/roussos_2024/variant_figures/roussos_2024.adolescence.GLU/rs9548286_profile_position.png",4,220,900)</f>
        <v/>
      </c>
    </row>
    <row r="986">
      <c r="A986" t="inlineStr">
        <is>
          <t>chr13</t>
        </is>
      </c>
      <c r="B986" t="n">
        <v>38293102</v>
      </c>
      <c r="C986" t="inlineStr">
        <is>
          <t>A</t>
        </is>
      </c>
      <c r="D986" t="inlineStr">
        <is>
          <t>C</t>
        </is>
      </c>
      <c r="E986" t="inlineStr">
        <is>
          <t>rs665175</t>
        </is>
      </c>
      <c r="F986" t="n">
        <v>0.0017855532759999</v>
      </c>
      <c r="G986" t="n">
        <v>0.8619266711381873</v>
      </c>
      <c r="H986" t="n">
        <v>0.0283013740404734</v>
      </c>
      <c r="I986" t="n">
        <v>0.0122284448497679</v>
      </c>
      <c r="J986" t="n">
        <v>0.0129698294646747</v>
      </c>
      <c r="K986" t="n">
        <v>0.8611982021837629</v>
      </c>
      <c r="L986" t="b">
        <v>1</v>
      </c>
      <c r="M986" t="b">
        <v>0</v>
      </c>
      <c r="N986" t="inlineStr">
        <is>
          <t>alt</t>
        </is>
      </c>
      <c r="O986" t="n">
        <v>75</v>
      </c>
      <c r="P986" t="n">
        <v>0.003479</v>
      </c>
      <c r="Q986" t="n">
        <v>-85</v>
      </c>
      <c r="R986" t="n">
        <v>0.05295</v>
      </c>
      <c r="S986">
        <f>IMAGE("https://mitra.stanford.edu/kundaje/oak/projects/neuro-variants/variant_position/credible/roussos_2024/variant_figures/roussos_2024.adolescence.GLU/rs665175_count_position.png",4,220,900)</f>
        <v/>
      </c>
      <c r="T986">
        <f>IMAGE("https://mitra.stanford.edu/kundaje/oak/projects/neuro-variants/variant_position/credible/roussos_2024/variant_figures/roussos_2024.adolescence.GLU/rs665175_profile_position.png",4,220,900)</f>
        <v/>
      </c>
    </row>
    <row r="987">
      <c r="A987" t="inlineStr">
        <is>
          <t>chr13</t>
        </is>
      </c>
      <c r="B987" t="n">
        <v>38293934</v>
      </c>
      <c r="C987" t="inlineStr">
        <is>
          <t>C</t>
        </is>
      </c>
      <c r="D987" t="inlineStr">
        <is>
          <t>A</t>
        </is>
      </c>
      <c r="E987" t="inlineStr">
        <is>
          <t>rs651360</t>
        </is>
      </c>
      <c r="F987" t="n">
        <v>-0.0139014456999999</v>
      </c>
      <c r="G987" t="n">
        <v>0.4122604383104009</v>
      </c>
      <c r="H987" t="n">
        <v>0.008136778238363399</v>
      </c>
      <c r="I987" t="n">
        <v>0.7608747474676134</v>
      </c>
      <c r="J987" t="n">
        <v>0.0043709054018331</v>
      </c>
      <c r="K987" t="n">
        <v>0.9273699825433378</v>
      </c>
      <c r="L987" t="b">
        <v>0</v>
      </c>
      <c r="M987" t="b">
        <v>0</v>
      </c>
      <c r="N987" t="inlineStr">
        <is>
          <t>ref</t>
        </is>
      </c>
      <c r="O987" t="n">
        <v>0</v>
      </c>
      <c r="P987" t="n">
        <v>0</v>
      </c>
      <c r="Q987" t="n">
        <v>100</v>
      </c>
      <c r="R987" t="n">
        <v>0.0456</v>
      </c>
      <c r="S987">
        <f>IMAGE("https://mitra.stanford.edu/kundaje/oak/projects/neuro-variants/variant_position/credible/roussos_2024/variant_figures/roussos_2024.adolescence.GLU/rs651360_count_position.png",4,220,900)</f>
        <v/>
      </c>
      <c r="T987">
        <f>IMAGE("https://mitra.stanford.edu/kundaje/oak/projects/neuro-variants/variant_position/credible/roussos_2024/variant_figures/roussos_2024.adolescence.GLU/rs651360_profile_position.png",4,220,900)</f>
        <v/>
      </c>
    </row>
    <row r="988">
      <c r="A988" t="inlineStr">
        <is>
          <t>chr13</t>
        </is>
      </c>
      <c r="B988" t="n">
        <v>39982666</v>
      </c>
      <c r="C988" t="inlineStr">
        <is>
          <t>C</t>
        </is>
      </c>
      <c r="D988" t="inlineStr">
        <is>
          <t>A</t>
        </is>
      </c>
      <c r="E988" t="inlineStr">
        <is>
          <t>rs7322623</t>
        </is>
      </c>
      <c r="F988" t="n">
        <v>0.0163542254</v>
      </c>
      <c r="G988" t="n">
        <v>0.3395598473728933</v>
      </c>
      <c r="H988" t="n">
        <v>0.0118419751823656</v>
      </c>
      <c r="I988" t="n">
        <v>0.3374315215835808</v>
      </c>
      <c r="J988" t="n">
        <v>0.3679590772374277</v>
      </c>
      <c r="K988" t="n">
        <v>0.1971006578153753</v>
      </c>
      <c r="L988" t="b">
        <v>0</v>
      </c>
      <c r="M988" t="b">
        <v>0</v>
      </c>
      <c r="N988" t="inlineStr">
        <is>
          <t>alt</t>
        </is>
      </c>
      <c r="O988" t="n">
        <v>-10</v>
      </c>
      <c r="P988" t="n">
        <v>0.000641</v>
      </c>
      <c r="Q988" t="n">
        <v>-70</v>
      </c>
      <c r="R988" t="n">
        <v>0.02295</v>
      </c>
      <c r="S988">
        <f>IMAGE("https://mitra.stanford.edu/kundaje/oak/projects/neuro-variants/variant_position/credible/roussos_2024/variant_figures/roussos_2024.adolescence.GLU/rs7322623_count_position.png",4,220,900)</f>
        <v/>
      </c>
      <c r="T988">
        <f>IMAGE("https://mitra.stanford.edu/kundaje/oak/projects/neuro-variants/variant_position/credible/roussos_2024/variant_figures/roussos_2024.adolescence.GLU/rs7322623_profile_position.png",4,220,900)</f>
        <v/>
      </c>
    </row>
    <row r="989">
      <c r="A989" t="inlineStr">
        <is>
          <t>chr13</t>
        </is>
      </c>
      <c r="B989" t="n">
        <v>39990357</v>
      </c>
      <c r="C989" t="inlineStr">
        <is>
          <t>G</t>
        </is>
      </c>
      <c r="D989" t="inlineStr">
        <is>
          <t>A</t>
        </is>
      </c>
      <c r="E989" t="inlineStr">
        <is>
          <t>rs276423</t>
        </is>
      </c>
      <c r="F989" t="n">
        <v>-0.0457644682</v>
      </c>
      <c r="G989" t="n">
        <v>0.08013674428320861</v>
      </c>
      <c r="H989" t="n">
        <v>0.0116747926982812</v>
      </c>
      <c r="I989" t="n">
        <v>0.322780814749298</v>
      </c>
      <c r="J989" t="n">
        <v>0.2157146837559208</v>
      </c>
      <c r="K989" t="n">
        <v>0.3816635351235</v>
      </c>
      <c r="L989" t="b">
        <v>0</v>
      </c>
      <c r="M989" t="b">
        <v>0</v>
      </c>
      <c r="N989" t="inlineStr">
        <is>
          <t>ref</t>
        </is>
      </c>
      <c r="O989" t="n">
        <v>100</v>
      </c>
      <c r="P989" t="n">
        <v>0.004425</v>
      </c>
      <c r="Q989" t="n">
        <v>-70</v>
      </c>
      <c r="R989" t="n">
        <v>0.08400000000000001</v>
      </c>
      <c r="S989">
        <f>IMAGE("https://mitra.stanford.edu/kundaje/oak/projects/neuro-variants/variant_position/credible/roussos_2024/variant_figures/roussos_2024.adolescence.GLU/rs276423_count_position.png",4,220,900)</f>
        <v/>
      </c>
      <c r="T989">
        <f>IMAGE("https://mitra.stanford.edu/kundaje/oak/projects/neuro-variants/variant_position/credible/roussos_2024/variant_figures/roussos_2024.adolescence.GLU/rs276423_profile_position.png",4,220,900)</f>
        <v/>
      </c>
    </row>
    <row r="990">
      <c r="A990" t="inlineStr">
        <is>
          <t>chr13</t>
        </is>
      </c>
      <c r="B990" t="n">
        <v>40062244</v>
      </c>
      <c r="C990" t="inlineStr">
        <is>
          <t>C</t>
        </is>
      </c>
      <c r="D990" t="inlineStr">
        <is>
          <t>T</t>
        </is>
      </c>
      <c r="E990" t="inlineStr">
        <is>
          <t>rs277293</t>
        </is>
      </c>
      <c r="F990" t="n">
        <v>-0.178040342</v>
      </c>
      <c r="G990" t="n">
        <v>0.00214929067841</v>
      </c>
      <c r="H990" t="n">
        <v>0.0374655714503946</v>
      </c>
      <c r="I990" t="n">
        <v>0.0074674169964911</v>
      </c>
      <c r="J990" t="n">
        <v>0.3048817255002822</v>
      </c>
      <c r="K990" t="n">
        <v>0.2637070435316082</v>
      </c>
      <c r="L990" t="b">
        <v>1</v>
      </c>
      <c r="M990" t="b">
        <v>1</v>
      </c>
      <c r="N990" t="inlineStr">
        <is>
          <t>ref</t>
        </is>
      </c>
      <c r="O990" t="n">
        <v>-10</v>
      </c>
      <c r="P990" t="n">
        <v>0.002121</v>
      </c>
      <c r="Q990" t="n">
        <v>-100</v>
      </c>
      <c r="R990" t="n">
        <v>0.1505</v>
      </c>
      <c r="S990">
        <f>IMAGE("https://mitra.stanford.edu/kundaje/oak/projects/neuro-variants/variant_position/credible/roussos_2024/variant_figures/roussos_2024.adolescence.GLU/rs277293_count_position.png",4,220,900)</f>
        <v/>
      </c>
      <c r="T990">
        <f>IMAGE("https://mitra.stanford.edu/kundaje/oak/projects/neuro-variants/variant_position/credible/roussos_2024/variant_figures/roussos_2024.adolescence.GLU/rs277293_profile_position.png",4,220,900)</f>
        <v/>
      </c>
    </row>
    <row r="991">
      <c r="A991" t="inlineStr">
        <is>
          <t>chr13</t>
        </is>
      </c>
      <c r="B991" t="n">
        <v>43665632</v>
      </c>
      <c r="C991" t="inlineStr">
        <is>
          <t>T</t>
        </is>
      </c>
      <c r="D991" t="inlineStr">
        <is>
          <t>C</t>
        </is>
      </c>
      <c r="E991" t="inlineStr">
        <is>
          <t>rs9567243</t>
        </is>
      </c>
      <c r="F991" t="n">
        <v>-0.01835326114</v>
      </c>
      <c r="G991" t="n">
        <v>0.3248819792452845</v>
      </c>
      <c r="H991" t="n">
        <v>0.0171114921182802</v>
      </c>
      <c r="I991" t="n">
        <v>0.1036097915861502</v>
      </c>
      <c r="J991" t="n">
        <v>0.2465282094148073</v>
      </c>
      <c r="K991" t="n">
        <v>0.3370724793736424</v>
      </c>
      <c r="L991" t="b">
        <v>0</v>
      </c>
      <c r="M991" t="b">
        <v>0</v>
      </c>
      <c r="N991" t="inlineStr">
        <is>
          <t>ref</t>
        </is>
      </c>
      <c r="O991" t="n">
        <v>-30</v>
      </c>
      <c r="P991" t="n">
        <v>0.002441</v>
      </c>
      <c r="Q991" t="n">
        <v>-70</v>
      </c>
      <c r="R991" t="n">
        <v>0.07770000000000001</v>
      </c>
      <c r="S991">
        <f>IMAGE("https://mitra.stanford.edu/kundaje/oak/projects/neuro-variants/variant_position/credible/roussos_2024/variant_figures/roussos_2024.adolescence.GLU/rs9567243_count_position.png",4,220,900)</f>
        <v/>
      </c>
      <c r="T991">
        <f>IMAGE("https://mitra.stanford.edu/kundaje/oak/projects/neuro-variants/variant_position/credible/roussos_2024/variant_figures/roussos_2024.adolescence.GLU/rs9567243_profile_position.png",4,220,900)</f>
        <v/>
      </c>
    </row>
    <row r="992">
      <c r="A992" t="inlineStr">
        <is>
          <t>chr13</t>
        </is>
      </c>
      <c r="B992" t="n">
        <v>43720364</v>
      </c>
      <c r="C992" t="inlineStr">
        <is>
          <t>G</t>
        </is>
      </c>
      <c r="D992" t="inlineStr">
        <is>
          <t>A</t>
        </is>
      </c>
      <c r="E992" t="inlineStr">
        <is>
          <t>rs12864863</t>
        </is>
      </c>
      <c r="F992" t="n">
        <v>-0.0400989796</v>
      </c>
      <c r="G992" t="n">
        <v>0.1084663632757511</v>
      </c>
      <c r="H992" t="n">
        <v>0.0085398357234129</v>
      </c>
      <c r="I992" t="n">
        <v>0.7288683240642353</v>
      </c>
      <c r="J992" t="n">
        <v>0.1073208021661629</v>
      </c>
      <c r="K992" t="n">
        <v>0.5572163756885569</v>
      </c>
      <c r="L992" t="b">
        <v>0</v>
      </c>
      <c r="M992" t="b">
        <v>0</v>
      </c>
      <c r="N992" t="inlineStr">
        <is>
          <t>ref</t>
        </is>
      </c>
      <c r="O992" t="n">
        <v>-100</v>
      </c>
      <c r="P992" t="n">
        <v>0.001144</v>
      </c>
      <c r="Q992" t="n">
        <v>40</v>
      </c>
      <c r="R992" t="n">
        <v>0.011536</v>
      </c>
      <c r="S992">
        <f>IMAGE("https://mitra.stanford.edu/kundaje/oak/projects/neuro-variants/variant_position/credible/roussos_2024/variant_figures/roussos_2024.adolescence.GLU/rs12864863_count_position.png",4,220,900)</f>
        <v/>
      </c>
      <c r="T992">
        <f>IMAGE("https://mitra.stanford.edu/kundaje/oak/projects/neuro-variants/variant_position/credible/roussos_2024/variant_figures/roussos_2024.adolescence.GLU/rs12864863_profile_position.png",4,220,900)</f>
        <v/>
      </c>
    </row>
    <row r="993">
      <c r="A993" t="inlineStr">
        <is>
          <t>chr13</t>
        </is>
      </c>
      <c r="B993" t="n">
        <v>43743746</v>
      </c>
      <c r="C993" t="inlineStr">
        <is>
          <t>T</t>
        </is>
      </c>
      <c r="D993" t="inlineStr">
        <is>
          <t>G</t>
        </is>
      </c>
      <c r="E993" t="inlineStr">
        <is>
          <t>rs11147926</t>
        </is>
      </c>
      <c r="F993" t="n">
        <v>0.0007228591999999</v>
      </c>
      <c r="G993" t="n">
        <v>0.2477671499705512</v>
      </c>
      <c r="H993" t="n">
        <v>0.0213163707488078</v>
      </c>
      <c r="I993" t="n">
        <v>0.0506825013932962</v>
      </c>
      <c r="J993" t="n">
        <v>0.143586885854927</v>
      </c>
      <c r="K993" t="n">
        <v>0.4916137823079307</v>
      </c>
      <c r="L993" t="b">
        <v>0</v>
      </c>
      <c r="M993" t="b">
        <v>0</v>
      </c>
      <c r="N993" t="inlineStr">
        <is>
          <t>alt</t>
        </is>
      </c>
      <c r="O993" t="n">
        <v>-100</v>
      </c>
      <c r="P993" t="n">
        <v>0.00386</v>
      </c>
      <c r="Q993" t="n">
        <v>75</v>
      </c>
      <c r="R993" t="n">
        <v>0.02606</v>
      </c>
      <c r="S993">
        <f>IMAGE("https://mitra.stanford.edu/kundaje/oak/projects/neuro-variants/variant_position/credible/roussos_2024/variant_figures/roussos_2024.adolescence.GLU/rs11147926_count_position.png",4,220,900)</f>
        <v/>
      </c>
      <c r="T993">
        <f>IMAGE("https://mitra.stanford.edu/kundaje/oak/projects/neuro-variants/variant_position/credible/roussos_2024/variant_figures/roussos_2024.adolescence.GLU/rs11147926_profile_position.png",4,220,900)</f>
        <v/>
      </c>
    </row>
    <row r="994">
      <c r="A994" t="inlineStr">
        <is>
          <t>chr13</t>
        </is>
      </c>
      <c r="B994" t="n">
        <v>43775613</v>
      </c>
      <c r="C994" t="inlineStr">
        <is>
          <t>T</t>
        </is>
      </c>
      <c r="D994" t="inlineStr">
        <is>
          <t>C</t>
        </is>
      </c>
      <c r="E994" t="inlineStr">
        <is>
          <t>rs11619519</t>
        </is>
      </c>
      <c r="F994" t="n">
        <v>-0.0500504312</v>
      </c>
      <c r="G994" t="n">
        <v>0.0595453515038786</v>
      </c>
      <c r="H994" t="n">
        <v>0.0162577758425206</v>
      </c>
      <c r="I994" t="n">
        <v>0.108311495223769</v>
      </c>
      <c r="J994" t="n">
        <v>0.1364225446699672</v>
      </c>
      <c r="K994" t="n">
        <v>0.5083657135652028</v>
      </c>
      <c r="L994" t="b">
        <v>0</v>
      </c>
      <c r="M994" t="b">
        <v>0</v>
      </c>
      <c r="N994" t="inlineStr">
        <is>
          <t>ref</t>
        </is>
      </c>
      <c r="O994" t="n">
        <v>-100</v>
      </c>
      <c r="P994" t="n">
        <v>0.008359999999999999</v>
      </c>
      <c r="Q994" t="n">
        <v>50</v>
      </c>
      <c r="R994" t="n">
        <v>0.06616</v>
      </c>
      <c r="S994">
        <f>IMAGE("https://mitra.stanford.edu/kundaje/oak/projects/neuro-variants/variant_position/credible/roussos_2024/variant_figures/roussos_2024.adolescence.GLU/rs11619519_count_position.png",4,220,900)</f>
        <v/>
      </c>
      <c r="T994">
        <f>IMAGE("https://mitra.stanford.edu/kundaje/oak/projects/neuro-variants/variant_position/credible/roussos_2024/variant_figures/roussos_2024.adolescence.GLU/rs11619519_profile_position.png",4,220,900)</f>
        <v/>
      </c>
    </row>
    <row r="995">
      <c r="A995" t="inlineStr">
        <is>
          <t>chr13</t>
        </is>
      </c>
      <c r="B995" t="n">
        <v>43777097</v>
      </c>
      <c r="C995" t="inlineStr">
        <is>
          <t>G</t>
        </is>
      </c>
      <c r="D995" t="inlineStr">
        <is>
          <t>A</t>
        </is>
      </c>
      <c r="E995" t="inlineStr">
        <is>
          <t>rs11147928</t>
        </is>
      </c>
      <c r="F995" t="n">
        <v>-0.01085413112</v>
      </c>
      <c r="G995" t="n">
        <v>0.5283591805370389</v>
      </c>
      <c r="H995" t="n">
        <v>0.0088966160617175</v>
      </c>
      <c r="I995" t="n">
        <v>0.6852528552648125</v>
      </c>
      <c r="J995" t="n">
        <v>0.2454236949082309</v>
      </c>
      <c r="K995" t="n">
        <v>0.337604877075897</v>
      </c>
      <c r="L995" t="b">
        <v>0</v>
      </c>
      <c r="M995" t="b">
        <v>0</v>
      </c>
      <c r="N995" t="inlineStr">
        <is>
          <t>ref</t>
        </is>
      </c>
      <c r="O995" t="n">
        <v>95</v>
      </c>
      <c r="P995" t="n">
        <v>0.01498</v>
      </c>
      <c r="Q995" t="n">
        <v>-75</v>
      </c>
      <c r="R995" t="n">
        <v>0.03125</v>
      </c>
      <c r="S995">
        <f>IMAGE("https://mitra.stanford.edu/kundaje/oak/projects/neuro-variants/variant_position/credible/roussos_2024/variant_figures/roussos_2024.adolescence.GLU/rs11147928_count_position.png",4,220,900)</f>
        <v/>
      </c>
      <c r="T995">
        <f>IMAGE("https://mitra.stanford.edu/kundaje/oak/projects/neuro-variants/variant_position/credible/roussos_2024/variant_figures/roussos_2024.adolescence.GLU/rs11147928_profile_position.png",4,220,900)</f>
        <v/>
      </c>
    </row>
    <row r="996">
      <c r="A996" t="inlineStr">
        <is>
          <t>chr13</t>
        </is>
      </c>
      <c r="B996" t="n">
        <v>43777105</v>
      </c>
      <c r="C996" t="inlineStr">
        <is>
          <t>A</t>
        </is>
      </c>
      <c r="D996" t="inlineStr">
        <is>
          <t>G</t>
        </is>
      </c>
      <c r="E996" t="inlineStr">
        <is>
          <t>rs10870772</t>
        </is>
      </c>
      <c r="F996" t="n">
        <v>0.0324343744</v>
      </c>
      <c r="G996" t="n">
        <v>0.1642531958778072</v>
      </c>
      <c r="H996" t="n">
        <v>0.01325323490839</v>
      </c>
      <c r="I996" t="n">
        <v>0.2748741743682834</v>
      </c>
      <c r="J996" t="n">
        <v>0.2579905837637796</v>
      </c>
      <c r="K996" t="n">
        <v>0.3204837543494114</v>
      </c>
      <c r="L996" t="b">
        <v>0</v>
      </c>
      <c r="M996" t="b">
        <v>0</v>
      </c>
      <c r="N996" t="inlineStr">
        <is>
          <t>alt</t>
        </is>
      </c>
      <c r="O996" t="n">
        <v>85</v>
      </c>
      <c r="P996" t="n">
        <v>0.01593</v>
      </c>
      <c r="Q996" t="n">
        <v>-80</v>
      </c>
      <c r="R996" t="n">
        <v>0.04895</v>
      </c>
      <c r="S996">
        <f>IMAGE("https://mitra.stanford.edu/kundaje/oak/projects/neuro-variants/variant_position/credible/roussos_2024/variant_figures/roussos_2024.adolescence.GLU/rs10870772_count_position.png",4,220,900)</f>
        <v/>
      </c>
      <c r="T996">
        <f>IMAGE("https://mitra.stanford.edu/kundaje/oak/projects/neuro-variants/variant_position/credible/roussos_2024/variant_figures/roussos_2024.adolescence.GLU/rs10870772_profile_position.png",4,220,900)</f>
        <v/>
      </c>
    </row>
    <row r="997">
      <c r="A997" t="inlineStr">
        <is>
          <t>chr13</t>
        </is>
      </c>
      <c r="B997" t="n">
        <v>43836417</v>
      </c>
      <c r="C997" t="inlineStr">
        <is>
          <t>G</t>
        </is>
      </c>
      <c r="D997" t="inlineStr">
        <is>
          <t>A</t>
        </is>
      </c>
      <c r="E997" t="inlineStr">
        <is>
          <t>rs12872943</t>
        </is>
      </c>
      <c r="F997" t="n">
        <v>0.0024139538</v>
      </c>
      <c r="G997" t="n">
        <v>0.6951887198024026</v>
      </c>
      <c r="H997" t="n">
        <v>0.0281624048342518</v>
      </c>
      <c r="I997" t="n">
        <v>0.0132933414213857</v>
      </c>
      <c r="J997" t="n">
        <v>0.1025240942766715</v>
      </c>
      <c r="K997" t="n">
        <v>0.5617055413864903</v>
      </c>
      <c r="L997" t="b">
        <v>1</v>
      </c>
      <c r="M997" t="b">
        <v>0</v>
      </c>
      <c r="N997" t="inlineStr">
        <is>
          <t>alt</t>
        </is>
      </c>
      <c r="O997" t="n">
        <v>-70</v>
      </c>
      <c r="P997" t="n">
        <v>0.004486</v>
      </c>
      <c r="Q997" t="n">
        <v>75</v>
      </c>
      <c r="R997" t="n">
        <v>0.0803</v>
      </c>
      <c r="S997">
        <f>IMAGE("https://mitra.stanford.edu/kundaje/oak/projects/neuro-variants/variant_position/credible/roussos_2024/variant_figures/roussos_2024.adolescence.GLU/rs12872943_count_position.png",4,220,900)</f>
        <v/>
      </c>
      <c r="T997">
        <f>IMAGE("https://mitra.stanford.edu/kundaje/oak/projects/neuro-variants/variant_position/credible/roussos_2024/variant_figures/roussos_2024.adolescence.GLU/rs12872943_profile_position.png",4,220,900)</f>
        <v/>
      </c>
    </row>
    <row r="998">
      <c r="A998" t="inlineStr">
        <is>
          <t>chr13</t>
        </is>
      </c>
      <c r="B998" t="n">
        <v>43843305</v>
      </c>
      <c r="C998" t="inlineStr">
        <is>
          <t>G</t>
        </is>
      </c>
      <c r="D998" t="inlineStr">
        <is>
          <t>T</t>
        </is>
      </c>
      <c r="E998" t="inlineStr">
        <is>
          <t>rs2875541</t>
        </is>
      </c>
      <c r="F998" t="n">
        <v>-0.01542547688</v>
      </c>
      <c r="G998" t="n">
        <v>0.3929973104386454</v>
      </c>
      <c r="H998" t="n">
        <v>0.0132800440420757</v>
      </c>
      <c r="I998" t="n">
        <v>0.2494654129254372</v>
      </c>
      <c r="J998" t="n">
        <v>0.0013559951704281</v>
      </c>
      <c r="K998" t="n">
        <v>0.9690551441761568</v>
      </c>
      <c r="L998" t="b">
        <v>0</v>
      </c>
      <c r="M998" t="b">
        <v>0</v>
      </c>
      <c r="N998" t="inlineStr">
        <is>
          <t>ref</t>
        </is>
      </c>
      <c r="O998" t="n">
        <v>-45</v>
      </c>
      <c r="P998" t="n">
        <v>0.005474</v>
      </c>
      <c r="Q998" t="n">
        <v>50</v>
      </c>
      <c r="R998" t="n">
        <v>0.0243</v>
      </c>
      <c r="S998">
        <f>IMAGE("https://mitra.stanford.edu/kundaje/oak/projects/neuro-variants/variant_position/credible/roussos_2024/variant_figures/roussos_2024.adolescence.GLU/rs2875541_count_position.png",4,220,900)</f>
        <v/>
      </c>
      <c r="T998">
        <f>IMAGE("https://mitra.stanford.edu/kundaje/oak/projects/neuro-variants/variant_position/credible/roussos_2024/variant_figures/roussos_2024.adolescence.GLU/rs2875541_profile_position.png",4,220,900)</f>
        <v/>
      </c>
    </row>
    <row r="999">
      <c r="A999" t="inlineStr">
        <is>
          <t>chr13</t>
        </is>
      </c>
      <c r="B999" t="n">
        <v>43877708</v>
      </c>
      <c r="C999" t="inlineStr">
        <is>
          <t>T</t>
        </is>
      </c>
      <c r="D999" t="inlineStr">
        <is>
          <t>A</t>
        </is>
      </c>
      <c r="E999" t="inlineStr">
        <is>
          <t>rs4942255</t>
        </is>
      </c>
      <c r="F999" t="n">
        <v>-0.01060094462</v>
      </c>
      <c r="G999" t="n">
        <v>0.5165025547363878</v>
      </c>
      <c r="H999" t="n">
        <v>0.0131468447446304</v>
      </c>
      <c r="I999" t="n">
        <v>0.2383759769558476</v>
      </c>
      <c r="J999" t="n">
        <v>0.0703860085303383</v>
      </c>
      <c r="K999" t="n">
        <v>0.6394546165109711</v>
      </c>
      <c r="L999" t="b">
        <v>0</v>
      </c>
      <c r="M999" t="b">
        <v>0</v>
      </c>
      <c r="N999" t="inlineStr">
        <is>
          <t>ref</t>
        </is>
      </c>
      <c r="O999" t="n">
        <v>100</v>
      </c>
      <c r="P999" t="n">
        <v>0.01421</v>
      </c>
      <c r="Q999" t="n">
        <v>10</v>
      </c>
      <c r="R999" t="n">
        <v>0.00496</v>
      </c>
      <c r="S999">
        <f>IMAGE("https://mitra.stanford.edu/kundaje/oak/projects/neuro-variants/variant_position/credible/roussos_2024/variant_figures/roussos_2024.adolescence.GLU/rs4942255_count_position.png",4,220,900)</f>
        <v/>
      </c>
      <c r="T999">
        <f>IMAGE("https://mitra.stanford.edu/kundaje/oak/projects/neuro-variants/variant_position/credible/roussos_2024/variant_figures/roussos_2024.adolescence.GLU/rs4942255_profile_position.png",4,220,900)</f>
        <v/>
      </c>
    </row>
    <row r="1000">
      <c r="A1000" t="inlineStr">
        <is>
          <t>chr13</t>
        </is>
      </c>
      <c r="B1000" t="n">
        <v>43890691</v>
      </c>
      <c r="C1000" t="inlineStr">
        <is>
          <t>C</t>
        </is>
      </c>
      <c r="D1000" t="inlineStr">
        <is>
          <t>T</t>
        </is>
      </c>
      <c r="E1000" t="inlineStr">
        <is>
          <t>rs1445557</t>
        </is>
      </c>
      <c r="F1000" t="n">
        <v>-0.0085298722</v>
      </c>
      <c r="G1000" t="n">
        <v>0.5780970882255515</v>
      </c>
      <c r="H1000" t="n">
        <v>0.016225732991342</v>
      </c>
      <c r="I1000" t="n">
        <v>0.1294581376581908</v>
      </c>
      <c r="J1000" t="n">
        <v>0.0491387501696779</v>
      </c>
      <c r="K1000" t="n">
        <v>0.7027249683068854</v>
      </c>
      <c r="L1000" t="b">
        <v>0</v>
      </c>
      <c r="M1000" t="b">
        <v>0</v>
      </c>
      <c r="N1000" t="inlineStr">
        <is>
          <t>ref</t>
        </is>
      </c>
      <c r="O1000" t="n">
        <v>60</v>
      </c>
      <c r="P1000" t="n">
        <v>0.001648</v>
      </c>
      <c r="Q1000" t="n">
        <v>90</v>
      </c>
      <c r="R1000" t="n">
        <v>0.06207</v>
      </c>
      <c r="S1000">
        <f>IMAGE("https://mitra.stanford.edu/kundaje/oak/projects/neuro-variants/variant_position/credible/roussos_2024/variant_figures/roussos_2024.adolescence.GLU/rs1445557_count_position.png",4,220,900)</f>
        <v/>
      </c>
      <c r="T1000">
        <f>IMAGE("https://mitra.stanford.edu/kundaje/oak/projects/neuro-variants/variant_position/credible/roussos_2024/variant_figures/roussos_2024.adolescence.GLU/rs1445557_profile_position.png",4,220,900)</f>
        <v/>
      </c>
    </row>
    <row r="1001">
      <c r="A1001" t="inlineStr">
        <is>
          <t>chr13</t>
        </is>
      </c>
      <c r="B1001" t="n">
        <v>43901378</v>
      </c>
      <c r="C1001" t="inlineStr">
        <is>
          <t>G</t>
        </is>
      </c>
      <c r="D1001" t="inlineStr">
        <is>
          <t>T</t>
        </is>
      </c>
      <c r="E1001" t="inlineStr">
        <is>
          <t>rs1373903</t>
        </is>
      </c>
      <c r="F1001" t="n">
        <v>0.0143176181279999</v>
      </c>
      <c r="G1001" t="n">
        <v>0.4394216420839422</v>
      </c>
      <c r="H1001" t="n">
        <v>0.012555763986809</v>
      </c>
      <c r="I1001" t="n">
        <v>0.2971821138508288</v>
      </c>
      <c r="J1001" t="n">
        <v>0.1996084903301397</v>
      </c>
      <c r="K1001" t="n">
        <v>0.4043413624199526</v>
      </c>
      <c r="L1001" t="b">
        <v>0</v>
      </c>
      <c r="M1001" t="b">
        <v>0</v>
      </c>
      <c r="N1001" t="inlineStr">
        <is>
          <t>alt</t>
        </is>
      </c>
      <c r="O1001" t="n">
        <v>65</v>
      </c>
      <c r="P1001" t="n">
        <v>0.005657</v>
      </c>
      <c r="Q1001" t="n">
        <v>100</v>
      </c>
      <c r="R1001" t="n">
        <v>0.01828</v>
      </c>
      <c r="S1001">
        <f>IMAGE("https://mitra.stanford.edu/kundaje/oak/projects/neuro-variants/variant_position/credible/roussos_2024/variant_figures/roussos_2024.adolescence.GLU/rs1373903_count_position.png",4,220,900)</f>
        <v/>
      </c>
      <c r="T1001">
        <f>IMAGE("https://mitra.stanford.edu/kundaje/oak/projects/neuro-variants/variant_position/credible/roussos_2024/variant_figures/roussos_2024.adolescence.GLU/rs1373903_profile_position.png",4,220,900)</f>
        <v/>
      </c>
    </row>
    <row r="1002">
      <c r="A1002" t="inlineStr">
        <is>
          <t>chr13</t>
        </is>
      </c>
      <c r="B1002" t="n">
        <v>43904669</v>
      </c>
      <c r="C1002" t="inlineStr">
        <is>
          <t>C</t>
        </is>
      </c>
      <c r="D1002" t="inlineStr">
        <is>
          <t>T</t>
        </is>
      </c>
      <c r="E1002" t="inlineStr">
        <is>
          <t>rs7994883</t>
        </is>
      </c>
      <c r="F1002" t="n">
        <v>-0.0090373740399999</v>
      </c>
      <c r="G1002" t="n">
        <v>0.5689488339157275</v>
      </c>
      <c r="H1002" t="n">
        <v>0.0118237802904317</v>
      </c>
      <c r="I1002" t="n">
        <v>0.3404230486177408</v>
      </c>
      <c r="J1002" t="n">
        <v>0.0457480478099034</v>
      </c>
      <c r="K1002" t="n">
        <v>0.7177804808546649</v>
      </c>
      <c r="L1002" t="b">
        <v>0</v>
      </c>
      <c r="M1002" t="b">
        <v>0</v>
      </c>
      <c r="N1002" t="inlineStr">
        <is>
          <t>ref</t>
        </is>
      </c>
      <c r="O1002" t="n">
        <v>95</v>
      </c>
      <c r="P1002" t="n">
        <v>0.00247</v>
      </c>
      <c r="Q1002" t="n">
        <v>-100</v>
      </c>
      <c r="R1002" t="n">
        <v>0.07086000000000001</v>
      </c>
      <c r="S1002">
        <f>IMAGE("https://mitra.stanford.edu/kundaje/oak/projects/neuro-variants/variant_position/credible/roussos_2024/variant_figures/roussos_2024.adolescence.GLU/rs7994883_count_position.png",4,220,900)</f>
        <v/>
      </c>
      <c r="T1002">
        <f>IMAGE("https://mitra.stanford.edu/kundaje/oak/projects/neuro-variants/variant_position/credible/roussos_2024/variant_figures/roussos_2024.adolescence.GLU/rs7994883_profile_position.png",4,220,900)</f>
        <v/>
      </c>
    </row>
    <row r="1003">
      <c r="A1003" t="inlineStr">
        <is>
          <t>chr13</t>
        </is>
      </c>
      <c r="B1003" t="n">
        <v>49584803</v>
      </c>
      <c r="C1003" t="inlineStr">
        <is>
          <t>A</t>
        </is>
      </c>
      <c r="D1003" t="inlineStr">
        <is>
          <t>G</t>
        </is>
      </c>
      <c r="E1003" t="inlineStr">
        <is>
          <t>rs1359541</t>
        </is>
      </c>
      <c r="F1003" t="n">
        <v>0.00771182852</v>
      </c>
      <c r="G1003" t="n">
        <v>0.5713027548160345</v>
      </c>
      <c r="H1003" t="n">
        <v>0.0105416638018895</v>
      </c>
      <c r="I1003" t="n">
        <v>0.4722161738866262</v>
      </c>
      <c r="J1003" t="n">
        <v>0.5847068321295126</v>
      </c>
      <c r="K1003" t="n">
        <v>0.0440112203191396</v>
      </c>
      <c r="L1003" t="b">
        <v>0</v>
      </c>
      <c r="M1003" t="b">
        <v>0</v>
      </c>
      <c r="N1003" t="inlineStr">
        <is>
          <t>alt</t>
        </is>
      </c>
      <c r="O1003" t="n">
        <v>-95</v>
      </c>
      <c r="P1003" t="n">
        <v>0.01333</v>
      </c>
      <c r="Q1003" t="n">
        <v>85</v>
      </c>
      <c r="R1003" t="n">
        <v>0.1487</v>
      </c>
      <c r="S1003">
        <f>IMAGE("https://mitra.stanford.edu/kundaje/oak/projects/neuro-variants/variant_position/credible/roussos_2024/variant_figures/roussos_2024.adolescence.GLU/rs1359541_count_position.png",4,220,900)</f>
        <v/>
      </c>
      <c r="T1003">
        <f>IMAGE("https://mitra.stanford.edu/kundaje/oak/projects/neuro-variants/variant_position/credible/roussos_2024/variant_figures/roussos_2024.adolescence.GLU/rs1359541_profile_position.png",4,220,900)</f>
        <v/>
      </c>
    </row>
    <row r="1004">
      <c r="A1004" t="inlineStr">
        <is>
          <t>chr13</t>
        </is>
      </c>
      <c r="B1004" t="n">
        <v>49602185</v>
      </c>
      <c r="C1004" t="inlineStr">
        <is>
          <t>A</t>
        </is>
      </c>
      <c r="D1004" t="inlineStr">
        <is>
          <t>G</t>
        </is>
      </c>
      <c r="E1004" t="inlineStr">
        <is>
          <t>rs9316462</t>
        </is>
      </c>
      <c r="F1004" t="n">
        <v>0.0372526705999999</v>
      </c>
      <c r="G1004" t="n">
        <v>0.1216499245167992</v>
      </c>
      <c r="H1004" t="n">
        <v>0.0131956860538677</v>
      </c>
      <c r="I1004" t="n">
        <v>0.2756287372152312</v>
      </c>
      <c r="J1004" t="n">
        <v>0.32808938994506</v>
      </c>
      <c r="K1004" t="n">
        <v>0.2363839199511374</v>
      </c>
      <c r="L1004" t="b">
        <v>0</v>
      </c>
      <c r="M1004" t="b">
        <v>0</v>
      </c>
      <c r="N1004" t="inlineStr">
        <is>
          <t>alt</t>
        </is>
      </c>
      <c r="O1004" t="n">
        <v>-35</v>
      </c>
      <c r="P1004" t="n">
        <v>0.002563</v>
      </c>
      <c r="Q1004" t="n">
        <v>100</v>
      </c>
      <c r="R1004" t="n">
        <v>0.02338</v>
      </c>
      <c r="S1004">
        <f>IMAGE("https://mitra.stanford.edu/kundaje/oak/projects/neuro-variants/variant_position/credible/roussos_2024/variant_figures/roussos_2024.adolescence.GLU/rs9316462_count_position.png",4,220,900)</f>
        <v/>
      </c>
      <c r="T1004">
        <f>IMAGE("https://mitra.stanford.edu/kundaje/oak/projects/neuro-variants/variant_position/credible/roussos_2024/variant_figures/roussos_2024.adolescence.GLU/rs9316462_profile_position.png",4,220,900)</f>
        <v/>
      </c>
    </row>
    <row r="1005">
      <c r="A1005" t="inlineStr">
        <is>
          <t>chr13</t>
        </is>
      </c>
      <c r="B1005" t="n">
        <v>53619055</v>
      </c>
      <c r="C1005" t="inlineStr">
        <is>
          <t>C</t>
        </is>
      </c>
      <c r="D1005" t="inlineStr">
        <is>
          <t>T</t>
        </is>
      </c>
      <c r="E1005" t="inlineStr">
        <is>
          <t>rs4619272</t>
        </is>
      </c>
      <c r="F1005" t="n">
        <v>0.00727833476</v>
      </c>
      <c r="G1005" t="n">
        <v>0.6163711873981672</v>
      </c>
      <c r="H1005" t="n">
        <v>0.0259325602368148</v>
      </c>
      <c r="I1005" t="n">
        <v>0.0162422369720088</v>
      </c>
      <c r="J1005" t="n">
        <v>0.0127412106793549</v>
      </c>
      <c r="K1005" t="n">
        <v>0.8704484518772214</v>
      </c>
      <c r="L1005" t="b">
        <v>1</v>
      </c>
      <c r="M1005" t="b">
        <v>0</v>
      </c>
      <c r="N1005" t="inlineStr">
        <is>
          <t>alt</t>
        </is>
      </c>
      <c r="O1005" t="n">
        <v>-45</v>
      </c>
      <c r="P1005" t="n">
        <v>0.003712</v>
      </c>
      <c r="Q1005" t="n">
        <v>100</v>
      </c>
      <c r="R1005" t="n">
        <v>0.05554</v>
      </c>
      <c r="S1005">
        <f>IMAGE("https://mitra.stanford.edu/kundaje/oak/projects/neuro-variants/variant_position/credible/roussos_2024/variant_figures/roussos_2024.adolescence.GLU/rs4619272_count_position.png",4,220,900)</f>
        <v/>
      </c>
      <c r="T1005">
        <f>IMAGE("https://mitra.stanford.edu/kundaje/oak/projects/neuro-variants/variant_position/credible/roussos_2024/variant_figures/roussos_2024.adolescence.GLU/rs4619272_profile_position.png",4,220,900)</f>
        <v/>
      </c>
    </row>
    <row r="1006">
      <c r="A1006" t="inlineStr">
        <is>
          <t>chr13</t>
        </is>
      </c>
      <c r="B1006" t="n">
        <v>53668007</v>
      </c>
      <c r="C1006" t="inlineStr">
        <is>
          <t>G</t>
        </is>
      </c>
      <c r="D1006" t="inlineStr">
        <is>
          <t>A</t>
        </is>
      </c>
      <c r="E1006" t="inlineStr">
        <is>
          <t>rs7989647</t>
        </is>
      </c>
      <c r="F1006" t="n">
        <v>0.0169102197999999</v>
      </c>
      <c r="G1006" t="n">
        <v>0.3649937014149843</v>
      </c>
      <c r="H1006" t="n">
        <v>0.0149360406147899</v>
      </c>
      <c r="I1006" t="n">
        <v>0.1674615735333349</v>
      </c>
      <c r="J1006" t="n">
        <v>0.07585571296911491</v>
      </c>
      <c r="K1006" t="n">
        <v>0.6222624390668992</v>
      </c>
      <c r="L1006" t="b">
        <v>0</v>
      </c>
      <c r="M1006" t="b">
        <v>0</v>
      </c>
      <c r="N1006" t="inlineStr">
        <is>
          <t>alt</t>
        </is>
      </c>
      <c r="O1006" t="n">
        <v>60</v>
      </c>
      <c r="P1006" t="n">
        <v>0.00891</v>
      </c>
      <c r="Q1006" t="n">
        <v>60</v>
      </c>
      <c r="R1006" t="n">
        <v>0.05005</v>
      </c>
      <c r="S1006">
        <f>IMAGE("https://mitra.stanford.edu/kundaje/oak/projects/neuro-variants/variant_position/credible/roussos_2024/variant_figures/roussos_2024.adolescence.GLU/rs7989647_count_position.png",4,220,900)</f>
        <v/>
      </c>
      <c r="T1006">
        <f>IMAGE("https://mitra.stanford.edu/kundaje/oak/projects/neuro-variants/variant_position/credible/roussos_2024/variant_figures/roussos_2024.adolescence.GLU/rs7989647_profile_position.png",4,220,900)</f>
        <v/>
      </c>
    </row>
    <row r="1007">
      <c r="A1007" t="inlineStr">
        <is>
          <t>chr13</t>
        </is>
      </c>
      <c r="B1007" t="n">
        <v>53716198</v>
      </c>
      <c r="C1007" t="inlineStr">
        <is>
          <t>C</t>
        </is>
      </c>
      <c r="D1007" t="inlineStr">
        <is>
          <t>T</t>
        </is>
      </c>
      <c r="E1007" t="inlineStr">
        <is>
          <t>rs2806731</t>
        </is>
      </c>
      <c r="F1007" t="n">
        <v>-0.01897352</v>
      </c>
      <c r="G1007" t="n">
        <v>0.3211334428884658</v>
      </c>
      <c r="H1007" t="n">
        <v>0.0102465629965715</v>
      </c>
      <c r="I1007" t="n">
        <v>0.5088294987299851</v>
      </c>
      <c r="J1007" t="n">
        <v>0.0037479192118367</v>
      </c>
      <c r="K1007" t="n">
        <v>0.936218333722836</v>
      </c>
      <c r="L1007" t="b">
        <v>0</v>
      </c>
      <c r="M1007" t="b">
        <v>0</v>
      </c>
      <c r="N1007" t="inlineStr">
        <is>
          <t>ref</t>
        </is>
      </c>
      <c r="O1007" t="n">
        <v>-100</v>
      </c>
      <c r="P1007" t="n">
        <v>0.02536</v>
      </c>
      <c r="Q1007" t="n">
        <v>85</v>
      </c>
      <c r="R1007" t="n">
        <v>0.03247</v>
      </c>
      <c r="S1007">
        <f>IMAGE("https://mitra.stanford.edu/kundaje/oak/projects/neuro-variants/variant_position/credible/roussos_2024/variant_figures/roussos_2024.adolescence.GLU/rs2806731_count_position.png",4,220,900)</f>
        <v/>
      </c>
      <c r="T1007">
        <f>IMAGE("https://mitra.stanford.edu/kundaje/oak/projects/neuro-variants/variant_position/credible/roussos_2024/variant_figures/roussos_2024.adolescence.GLU/rs2806731_profile_position.png",4,220,900)</f>
        <v/>
      </c>
    </row>
    <row r="1008">
      <c r="A1008" t="inlineStr">
        <is>
          <t>chr13</t>
        </is>
      </c>
      <c r="B1008" t="n">
        <v>53724171</v>
      </c>
      <c r="C1008" t="inlineStr">
        <is>
          <t>G</t>
        </is>
      </c>
      <c r="D1008" t="inlineStr">
        <is>
          <t>A</t>
        </is>
      </c>
      <c r="E1008" t="inlineStr">
        <is>
          <t>rs2806738</t>
        </is>
      </c>
      <c r="F1008" t="n">
        <v>-0.0509131956</v>
      </c>
      <c r="G1008" t="n">
        <v>0.0582189656374722</v>
      </c>
      <c r="H1008" t="n">
        <v>0.0122736159732976</v>
      </c>
      <c r="I1008" t="n">
        <v>0.3015068637156376</v>
      </c>
      <c r="J1008" t="n">
        <v>0.06967729029584691</v>
      </c>
      <c r="K1008" t="n">
        <v>0.6408405731078199</v>
      </c>
      <c r="L1008" t="b">
        <v>0</v>
      </c>
      <c r="M1008" t="b">
        <v>0</v>
      </c>
      <c r="N1008" t="inlineStr">
        <is>
          <t>ref</t>
        </is>
      </c>
      <c r="O1008" t="n">
        <v>-95</v>
      </c>
      <c r="P1008" t="n">
        <v>0.002655</v>
      </c>
      <c r="Q1008" t="n">
        <v>65</v>
      </c>
      <c r="R1008" t="n">
        <v>0.02734</v>
      </c>
      <c r="S1008">
        <f>IMAGE("https://mitra.stanford.edu/kundaje/oak/projects/neuro-variants/variant_position/credible/roussos_2024/variant_figures/roussos_2024.adolescence.GLU/rs2806738_count_position.png",4,220,900)</f>
        <v/>
      </c>
      <c r="T1008">
        <f>IMAGE("https://mitra.stanford.edu/kundaje/oak/projects/neuro-variants/variant_position/credible/roussos_2024/variant_figures/roussos_2024.adolescence.GLU/rs2806738_profile_position.png",4,220,900)</f>
        <v/>
      </c>
    </row>
    <row r="1009">
      <c r="A1009" t="inlineStr">
        <is>
          <t>chr13</t>
        </is>
      </c>
      <c r="B1009" t="n">
        <v>55165620</v>
      </c>
      <c r="C1009" t="inlineStr">
        <is>
          <t>G</t>
        </is>
      </c>
      <c r="D1009" t="inlineStr">
        <is>
          <t>A</t>
        </is>
      </c>
      <c r="E1009" t="inlineStr">
        <is>
          <t>rs3120869</t>
        </is>
      </c>
      <c r="F1009" t="n">
        <v>-0.01568996906</v>
      </c>
      <c r="G1009" t="n">
        <v>0.3952015783618862</v>
      </c>
      <c r="H1009" t="n">
        <v>0.0100436125251718</v>
      </c>
      <c r="I1009" t="n">
        <v>0.546314315182249</v>
      </c>
      <c r="J1009" t="n">
        <v>0.1823106214858791</v>
      </c>
      <c r="K1009" t="n">
        <v>0.4255186113632087</v>
      </c>
      <c r="L1009" t="b">
        <v>0</v>
      </c>
      <c r="M1009" t="b">
        <v>0</v>
      </c>
      <c r="N1009" t="inlineStr">
        <is>
          <t>ref</t>
        </is>
      </c>
      <c r="O1009" t="n">
        <v>60</v>
      </c>
      <c r="P1009" t="n">
        <v>0.00573</v>
      </c>
      <c r="Q1009" t="n">
        <v>-100</v>
      </c>
      <c r="R1009" t="n">
        <v>0.04785</v>
      </c>
      <c r="S1009">
        <f>IMAGE("https://mitra.stanford.edu/kundaje/oak/projects/neuro-variants/variant_position/credible/roussos_2024/variant_figures/roussos_2024.adolescence.GLU/rs3120869_count_position.png",4,220,900)</f>
        <v/>
      </c>
      <c r="T1009">
        <f>IMAGE("https://mitra.stanford.edu/kundaje/oak/projects/neuro-variants/variant_position/credible/roussos_2024/variant_figures/roussos_2024.adolescence.GLU/rs3120869_profile_position.png",4,220,900)</f>
        <v/>
      </c>
    </row>
    <row r="1010">
      <c r="A1010" t="inlineStr">
        <is>
          <t>chr13</t>
        </is>
      </c>
      <c r="B1010" t="n">
        <v>55250174</v>
      </c>
      <c r="C1010" t="inlineStr">
        <is>
          <t>A</t>
        </is>
      </c>
      <c r="D1010" t="inlineStr">
        <is>
          <t>G</t>
        </is>
      </c>
      <c r="E1010" t="inlineStr">
        <is>
          <t>rs9527348</t>
        </is>
      </c>
      <c r="F1010" t="n">
        <v>-0.0026758548199999</v>
      </c>
      <c r="G1010" t="n">
        <v>0.7148246338742572</v>
      </c>
      <c r="H1010" t="n">
        <v>0.0102088687402568</v>
      </c>
      <c r="I1010" t="n">
        <v>0.5083487517808911</v>
      </c>
      <c r="J1010" t="n">
        <v>0.0205028184409627</v>
      </c>
      <c r="K1010" t="n">
        <v>0.8133053054780265</v>
      </c>
      <c r="L1010" t="b">
        <v>0</v>
      </c>
      <c r="M1010" t="b">
        <v>0</v>
      </c>
      <c r="N1010" t="inlineStr">
        <is>
          <t>ref</t>
        </is>
      </c>
      <c r="O1010" t="n">
        <v>90</v>
      </c>
      <c r="P1010" t="n">
        <v>0.008156</v>
      </c>
      <c r="Q1010" t="n">
        <v>100</v>
      </c>
      <c r="R1010" t="n">
        <v>0.06033</v>
      </c>
      <c r="S1010">
        <f>IMAGE("https://mitra.stanford.edu/kundaje/oak/projects/neuro-variants/variant_position/credible/roussos_2024/variant_figures/roussos_2024.adolescence.GLU/rs9527348_count_position.png",4,220,900)</f>
        <v/>
      </c>
      <c r="T1010">
        <f>IMAGE("https://mitra.stanford.edu/kundaje/oak/projects/neuro-variants/variant_position/credible/roussos_2024/variant_figures/roussos_2024.adolescence.GLU/rs9527348_profile_position.png",4,220,900)</f>
        <v/>
      </c>
    </row>
    <row r="1011">
      <c r="A1011" t="inlineStr">
        <is>
          <t>chr13</t>
        </is>
      </c>
      <c r="B1011" t="n">
        <v>55251042</v>
      </c>
      <c r="C1011" t="inlineStr">
        <is>
          <t>T</t>
        </is>
      </c>
      <c r="D1011" t="inlineStr">
        <is>
          <t>G</t>
        </is>
      </c>
      <c r="E1011" t="inlineStr">
        <is>
          <t>rs3124390</t>
        </is>
      </c>
      <c r="F1011" t="n">
        <v>0.0432780418</v>
      </c>
      <c r="G1011" t="n">
        <v>0.0872855008228071</v>
      </c>
      <c r="H1011" t="n">
        <v>0.0179421998406287</v>
      </c>
      <c r="I1011" t="n">
        <v>0.0868809959743763</v>
      </c>
      <c r="J1011" t="n">
        <v>0.2807681591186745</v>
      </c>
      <c r="K1011" t="n">
        <v>0.2911489629292761</v>
      </c>
      <c r="L1011" t="b">
        <v>0</v>
      </c>
      <c r="M1011" t="b">
        <v>0</v>
      </c>
      <c r="N1011" t="inlineStr">
        <is>
          <t>alt</t>
        </is>
      </c>
      <c r="O1011" t="n">
        <v>45</v>
      </c>
      <c r="P1011" t="n">
        <v>0.00293</v>
      </c>
      <c r="Q1011" t="n">
        <v>55</v>
      </c>
      <c r="R1011" t="n">
        <v>0.0803</v>
      </c>
      <c r="S1011">
        <f>IMAGE("https://mitra.stanford.edu/kundaje/oak/projects/neuro-variants/variant_position/credible/roussos_2024/variant_figures/roussos_2024.adolescence.GLU/rs3124390_count_position.png",4,220,900)</f>
        <v/>
      </c>
      <c r="T1011">
        <f>IMAGE("https://mitra.stanford.edu/kundaje/oak/projects/neuro-variants/variant_position/credible/roussos_2024/variant_figures/roussos_2024.adolescence.GLU/rs3124390_profile_position.png",4,220,900)</f>
        <v/>
      </c>
    </row>
    <row r="1012">
      <c r="A1012" t="inlineStr">
        <is>
          <t>chr13</t>
        </is>
      </c>
      <c r="B1012" t="n">
        <v>55261356</v>
      </c>
      <c r="C1012" t="inlineStr">
        <is>
          <t>C</t>
        </is>
      </c>
      <c r="D1012" t="inlineStr">
        <is>
          <t>T</t>
        </is>
      </c>
      <c r="E1012" t="inlineStr">
        <is>
          <t>rs9537039</t>
        </is>
      </c>
      <c r="F1012" t="n">
        <v>-0.005020189718</v>
      </c>
      <c r="G1012" t="n">
        <v>0.7275013541277285</v>
      </c>
      <c r="H1012" t="n">
        <v>0.011529602855769</v>
      </c>
      <c r="I1012" t="n">
        <v>0.360164223011049</v>
      </c>
      <c r="J1012" t="n">
        <v>0.0411442370205256</v>
      </c>
      <c r="K1012" t="n">
        <v>0.7279346576466923</v>
      </c>
      <c r="L1012" t="b">
        <v>0</v>
      </c>
      <c r="M1012" t="b">
        <v>0</v>
      </c>
      <c r="N1012" t="inlineStr">
        <is>
          <t>ref</t>
        </is>
      </c>
      <c r="O1012" t="n">
        <v>85</v>
      </c>
      <c r="P1012" t="n">
        <v>0.00859</v>
      </c>
      <c r="Q1012" t="n">
        <v>-80</v>
      </c>
      <c r="R1012" t="n">
        <v>0.05472</v>
      </c>
      <c r="S1012">
        <f>IMAGE("https://mitra.stanford.edu/kundaje/oak/projects/neuro-variants/variant_position/credible/roussos_2024/variant_figures/roussos_2024.adolescence.GLU/rs9537039_count_position.png",4,220,900)</f>
        <v/>
      </c>
      <c r="T1012">
        <f>IMAGE("https://mitra.stanford.edu/kundaje/oak/projects/neuro-variants/variant_position/credible/roussos_2024/variant_figures/roussos_2024.adolescence.GLU/rs9537039_profile_position.png",4,220,900)</f>
        <v/>
      </c>
    </row>
    <row r="1013">
      <c r="A1013" t="inlineStr">
        <is>
          <t>chr13</t>
        </is>
      </c>
      <c r="B1013" t="n">
        <v>55268998</v>
      </c>
      <c r="C1013" t="inlineStr">
        <is>
          <t>A</t>
        </is>
      </c>
      <c r="D1013" t="inlineStr">
        <is>
          <t>G</t>
        </is>
      </c>
      <c r="E1013" t="inlineStr">
        <is>
          <t>rs3098275</t>
        </is>
      </c>
      <c r="F1013" t="n">
        <v>0.0174727096</v>
      </c>
      <c r="G1013" t="n">
        <v>0.3357468603094101</v>
      </c>
      <c r="H1013" t="n">
        <v>0.0091665274365808</v>
      </c>
      <c r="I1013" t="n">
        <v>0.6063421732649349</v>
      </c>
      <c r="J1013" t="n">
        <v>0.0401240256910359</v>
      </c>
      <c r="K1013" t="n">
        <v>0.7363680002976154</v>
      </c>
      <c r="L1013" t="b">
        <v>0</v>
      </c>
      <c r="M1013" t="b">
        <v>0</v>
      </c>
      <c r="N1013" t="inlineStr">
        <is>
          <t>alt</t>
        </is>
      </c>
      <c r="O1013" t="n">
        <v>-10</v>
      </c>
      <c r="P1013" t="n">
        <v>0.0005283</v>
      </c>
      <c r="Q1013" t="n">
        <v>95</v>
      </c>
      <c r="R1013" t="n">
        <v>0.05392</v>
      </c>
      <c r="S1013">
        <f>IMAGE("https://mitra.stanford.edu/kundaje/oak/projects/neuro-variants/variant_position/credible/roussos_2024/variant_figures/roussos_2024.adolescence.GLU/rs3098275_count_position.png",4,220,900)</f>
        <v/>
      </c>
      <c r="T1013">
        <f>IMAGE("https://mitra.stanford.edu/kundaje/oak/projects/neuro-variants/variant_position/credible/roussos_2024/variant_figures/roussos_2024.adolescence.GLU/rs3098275_profile_position.png",4,220,900)</f>
        <v/>
      </c>
    </row>
    <row r="1014">
      <c r="A1014" t="inlineStr">
        <is>
          <t>chr13</t>
        </is>
      </c>
      <c r="B1014" t="n">
        <v>55286759</v>
      </c>
      <c r="C1014" t="inlineStr">
        <is>
          <t>T</t>
        </is>
      </c>
      <c r="D1014" t="inlineStr">
        <is>
          <t>C</t>
        </is>
      </c>
      <c r="E1014" t="inlineStr">
        <is>
          <t>rs3098269</t>
        </is>
      </c>
      <c r="F1014" t="n">
        <v>0.0583809381999999</v>
      </c>
      <c r="G1014" t="n">
        <v>0.0432752431215116</v>
      </c>
      <c r="H1014" t="n">
        <v>0.01308585639951</v>
      </c>
      <c r="I1014" t="n">
        <v>0.2486396515445321</v>
      </c>
      <c r="J1014" t="n">
        <v>0.0027034171364067</v>
      </c>
      <c r="K1014" t="n">
        <v>0.943773605735318</v>
      </c>
      <c r="L1014" t="b">
        <v>0</v>
      </c>
      <c r="M1014" t="b">
        <v>0</v>
      </c>
      <c r="N1014" t="inlineStr">
        <is>
          <t>alt</t>
        </is>
      </c>
      <c r="O1014" t="n">
        <v>-100</v>
      </c>
      <c r="P1014" t="n">
        <v>0.007713</v>
      </c>
      <c r="Q1014" t="n">
        <v>10</v>
      </c>
      <c r="R1014" t="n">
        <v>0.01428</v>
      </c>
      <c r="S1014">
        <f>IMAGE("https://mitra.stanford.edu/kundaje/oak/projects/neuro-variants/variant_position/credible/roussos_2024/variant_figures/roussos_2024.adolescence.GLU/rs3098269_count_position.png",4,220,900)</f>
        <v/>
      </c>
      <c r="T1014">
        <f>IMAGE("https://mitra.stanford.edu/kundaje/oak/projects/neuro-variants/variant_position/credible/roussos_2024/variant_figures/roussos_2024.adolescence.GLU/rs3098269_profile_position.png",4,220,900)</f>
        <v/>
      </c>
    </row>
    <row r="1015">
      <c r="A1015" t="inlineStr">
        <is>
          <t>chr13</t>
        </is>
      </c>
      <c r="B1015" t="n">
        <v>55292856</v>
      </c>
      <c r="C1015" t="inlineStr">
        <is>
          <t>T</t>
        </is>
      </c>
      <c r="D1015" t="inlineStr">
        <is>
          <t>C</t>
        </is>
      </c>
      <c r="E1015" t="inlineStr">
        <is>
          <t>rs3098265</t>
        </is>
      </c>
      <c r="F1015" t="n">
        <v>0.01090070168</v>
      </c>
      <c r="G1015" t="n">
        <v>0.4855532008608368</v>
      </c>
      <c r="H1015" t="n">
        <v>0.0288061579944614</v>
      </c>
      <c r="I1015" t="n">
        <v>0.0112475919858447</v>
      </c>
      <c r="J1015" t="n">
        <v>0.0389837894992533</v>
      </c>
      <c r="K1015" t="n">
        <v>0.743126328269937</v>
      </c>
      <c r="L1015" t="b">
        <v>1</v>
      </c>
      <c r="M1015" t="b">
        <v>0</v>
      </c>
      <c r="N1015" t="inlineStr">
        <is>
          <t>alt</t>
        </is>
      </c>
      <c r="O1015" t="n">
        <v>100</v>
      </c>
      <c r="P1015" t="n">
        <v>0.01011</v>
      </c>
      <c r="Q1015" t="n">
        <v>-95</v>
      </c>
      <c r="R1015" t="n">
        <v>0.02475</v>
      </c>
      <c r="S1015">
        <f>IMAGE("https://mitra.stanford.edu/kundaje/oak/projects/neuro-variants/variant_position/credible/roussos_2024/variant_figures/roussos_2024.adolescence.GLU/rs3098265_count_position.png",4,220,900)</f>
        <v/>
      </c>
      <c r="T1015">
        <f>IMAGE("https://mitra.stanford.edu/kundaje/oak/projects/neuro-variants/variant_position/credible/roussos_2024/variant_figures/roussos_2024.adolescence.GLU/rs3098265_profile_position.png",4,220,900)</f>
        <v/>
      </c>
    </row>
    <row r="1016">
      <c r="A1016" t="inlineStr">
        <is>
          <t>chr13</t>
        </is>
      </c>
      <c r="B1016" t="n">
        <v>55328403</v>
      </c>
      <c r="C1016" t="inlineStr">
        <is>
          <t>G</t>
        </is>
      </c>
      <c r="D1016" t="inlineStr">
        <is>
          <t>A</t>
        </is>
      </c>
      <c r="E1016" t="inlineStr">
        <is>
          <t>rs3098271</t>
        </is>
      </c>
      <c r="F1016" t="n">
        <v>0.00157963822</v>
      </c>
      <c r="G1016" t="n">
        <v>0.793359057207043</v>
      </c>
      <c r="H1016" t="n">
        <v>0.0284831115577694</v>
      </c>
      <c r="I1016" t="n">
        <v>0.0104751579082536</v>
      </c>
      <c r="J1016" t="n">
        <v>0.0124325753191732</v>
      </c>
      <c r="K1016" t="n">
        <v>0.8675787105841283</v>
      </c>
      <c r="L1016" t="b">
        <v>1</v>
      </c>
      <c r="M1016" t="b">
        <v>0</v>
      </c>
      <c r="N1016" t="inlineStr">
        <is>
          <t>alt</t>
        </is>
      </c>
      <c r="O1016" t="n">
        <v>-35</v>
      </c>
      <c r="P1016" t="n">
        <v>0.001617</v>
      </c>
      <c r="Q1016" t="n">
        <v>25</v>
      </c>
      <c r="R1016" t="n">
        <v>0.021</v>
      </c>
      <c r="S1016">
        <f>IMAGE("https://mitra.stanford.edu/kundaje/oak/projects/neuro-variants/variant_position/credible/roussos_2024/variant_figures/roussos_2024.adolescence.GLU/rs3098271_count_position.png",4,220,900)</f>
        <v/>
      </c>
      <c r="T1016">
        <f>IMAGE("https://mitra.stanford.edu/kundaje/oak/projects/neuro-variants/variant_position/credible/roussos_2024/variant_figures/roussos_2024.adolescence.GLU/rs3098271_profile_position.png",4,220,900)</f>
        <v/>
      </c>
    </row>
    <row r="1017">
      <c r="A1017" t="inlineStr">
        <is>
          <t>chr13</t>
        </is>
      </c>
      <c r="B1017" t="n">
        <v>55333351</v>
      </c>
      <c r="C1017" t="inlineStr">
        <is>
          <t>T</t>
        </is>
      </c>
      <c r="D1017" t="inlineStr">
        <is>
          <t>C</t>
        </is>
      </c>
      <c r="E1017" t="inlineStr">
        <is>
          <t>rs1657205</t>
        </is>
      </c>
      <c r="F1017" t="n">
        <v>-0.0197291921399999</v>
      </c>
      <c r="G1017" t="n">
        <v>0.2702665691380268</v>
      </c>
      <c r="H1017" t="n">
        <v>0.0137717458562785</v>
      </c>
      <c r="I1017" t="n">
        <v>0.2135756332280968</v>
      </c>
      <c r="J1017" t="n">
        <v>0.1540847747033313</v>
      </c>
      <c r="K1017" t="n">
        <v>0.4726498309381136</v>
      </c>
      <c r="L1017" t="b">
        <v>0</v>
      </c>
      <c r="M1017" t="b">
        <v>0</v>
      </c>
      <c r="N1017" t="inlineStr">
        <is>
          <t>ref</t>
        </is>
      </c>
      <c r="O1017" t="n">
        <v>-100</v>
      </c>
      <c r="P1017" t="n">
        <v>0.01816</v>
      </c>
      <c r="Q1017" t="n">
        <v>-25</v>
      </c>
      <c r="R1017" t="n">
        <v>0.04858</v>
      </c>
      <c r="S1017">
        <f>IMAGE("https://mitra.stanford.edu/kundaje/oak/projects/neuro-variants/variant_position/credible/roussos_2024/variant_figures/roussos_2024.adolescence.GLU/rs1657205_count_position.png",4,220,900)</f>
        <v/>
      </c>
      <c r="T1017">
        <f>IMAGE("https://mitra.stanford.edu/kundaje/oak/projects/neuro-variants/variant_position/credible/roussos_2024/variant_figures/roussos_2024.adolescence.GLU/rs1657205_profile_position.png",4,220,900)</f>
        <v/>
      </c>
    </row>
    <row r="1018">
      <c r="A1018" t="inlineStr">
        <is>
          <t>chr13</t>
        </is>
      </c>
      <c r="B1018" t="n">
        <v>55363211</v>
      </c>
      <c r="C1018" t="inlineStr">
        <is>
          <t>C</t>
        </is>
      </c>
      <c r="D1018" t="inlineStr">
        <is>
          <t>T</t>
        </is>
      </c>
      <c r="E1018" t="inlineStr">
        <is>
          <t>rs3124426</t>
        </is>
      </c>
      <c r="F1018" t="n">
        <v>-0.00232293374</v>
      </c>
      <c r="G1018" t="n">
        <v>0.8050986401894547</v>
      </c>
      <c r="H1018" t="n">
        <v>0.0227107614513323</v>
      </c>
      <c r="I1018" t="n">
        <v>0.0355788688534875</v>
      </c>
      <c r="J1018" t="n">
        <v>0.0401711783155081</v>
      </c>
      <c r="K1018" t="n">
        <v>0.7440224666772024</v>
      </c>
      <c r="L1018" t="b">
        <v>0</v>
      </c>
      <c r="M1018" t="b">
        <v>0</v>
      </c>
      <c r="N1018" t="inlineStr">
        <is>
          <t>ref</t>
        </is>
      </c>
      <c r="O1018" t="n">
        <v>80</v>
      </c>
      <c r="P1018" t="n">
        <v>0.005623</v>
      </c>
      <c r="Q1018" t="n">
        <v>-65</v>
      </c>
      <c r="R1018" t="n">
        <v>0.12305</v>
      </c>
      <c r="S1018">
        <f>IMAGE("https://mitra.stanford.edu/kundaje/oak/projects/neuro-variants/variant_position/credible/roussos_2024/variant_figures/roussos_2024.adolescence.GLU/rs3124426_count_position.png",4,220,900)</f>
        <v/>
      </c>
      <c r="T1018">
        <f>IMAGE("https://mitra.stanford.edu/kundaje/oak/projects/neuro-variants/variant_position/credible/roussos_2024/variant_figures/roussos_2024.adolescence.GLU/rs3124426_profile_position.png",4,220,900)</f>
        <v/>
      </c>
    </row>
    <row r="1019">
      <c r="A1019" t="inlineStr">
        <is>
          <t>chr13</t>
        </is>
      </c>
      <c r="B1019" t="n">
        <v>55372303</v>
      </c>
      <c r="C1019" t="inlineStr">
        <is>
          <t>A</t>
        </is>
      </c>
      <c r="D1019" t="inlineStr">
        <is>
          <t>G</t>
        </is>
      </c>
      <c r="E1019" t="inlineStr">
        <is>
          <t>rs9537096</t>
        </is>
      </c>
      <c r="F1019" t="n">
        <v>0.00178405242</v>
      </c>
      <c r="G1019" t="n">
        <v>0.8140622636631323</v>
      </c>
      <c r="H1019" t="n">
        <v>0.018953113048526</v>
      </c>
      <c r="I1019" t="n">
        <v>0.0710265475024983</v>
      </c>
      <c r="J1019" t="n">
        <v>0.0214015760407512</v>
      </c>
      <c r="K1019" t="n">
        <v>0.808519563590639</v>
      </c>
      <c r="L1019" t="b">
        <v>0</v>
      </c>
      <c r="M1019" t="b">
        <v>0</v>
      </c>
      <c r="N1019" t="inlineStr">
        <is>
          <t>alt</t>
        </is>
      </c>
      <c r="O1019" t="n">
        <v>-100</v>
      </c>
      <c r="P1019" t="n">
        <v>0.01541</v>
      </c>
      <c r="Q1019" t="n">
        <v>-100</v>
      </c>
      <c r="R1019" t="n">
        <v>0.1346</v>
      </c>
      <c r="S1019">
        <f>IMAGE("https://mitra.stanford.edu/kundaje/oak/projects/neuro-variants/variant_position/credible/roussos_2024/variant_figures/roussos_2024.adolescence.GLU/rs9537096_count_position.png",4,220,900)</f>
        <v/>
      </c>
      <c r="T1019">
        <f>IMAGE("https://mitra.stanford.edu/kundaje/oak/projects/neuro-variants/variant_position/credible/roussos_2024/variant_figures/roussos_2024.adolescence.GLU/rs9537096_profile_position.png",4,220,900)</f>
        <v/>
      </c>
    </row>
    <row r="1020">
      <c r="A1020" t="inlineStr">
        <is>
          <t>chr13</t>
        </is>
      </c>
      <c r="B1020" t="n">
        <v>55377716</v>
      </c>
      <c r="C1020" t="inlineStr">
        <is>
          <t>A</t>
        </is>
      </c>
      <c r="D1020" t="inlineStr">
        <is>
          <t>C</t>
        </is>
      </c>
      <c r="E1020" t="inlineStr">
        <is>
          <t>rs4885824</t>
        </is>
      </c>
      <c r="F1020" t="n">
        <v>-0.03620546906</v>
      </c>
      <c r="G1020" t="n">
        <v>0.153094577679429</v>
      </c>
      <c r="H1020" t="n">
        <v>0.0146434702252672</v>
      </c>
      <c r="I1020" t="n">
        <v>0.2224180583879497</v>
      </c>
      <c r="J1020" t="n">
        <v>0.2113637824978031</v>
      </c>
      <c r="K1020" t="n">
        <v>0.3785997374215544</v>
      </c>
      <c r="L1020" t="b">
        <v>0</v>
      </c>
      <c r="M1020" t="b">
        <v>0</v>
      </c>
      <c r="N1020" t="inlineStr">
        <is>
          <t>ref</t>
        </is>
      </c>
      <c r="O1020" t="n">
        <v>-75</v>
      </c>
      <c r="P1020" t="n">
        <v>0.04837</v>
      </c>
      <c r="Q1020" t="n">
        <v>-85</v>
      </c>
      <c r="R1020" t="n">
        <v>0.09080000000000001</v>
      </c>
      <c r="S1020">
        <f>IMAGE("https://mitra.stanford.edu/kundaje/oak/projects/neuro-variants/variant_position/credible/roussos_2024/variant_figures/roussos_2024.adolescence.GLU/rs4885824_count_position.png",4,220,900)</f>
        <v/>
      </c>
      <c r="T1020">
        <f>IMAGE("https://mitra.stanford.edu/kundaje/oak/projects/neuro-variants/variant_position/credible/roussos_2024/variant_figures/roussos_2024.adolescence.GLU/rs4885824_profile_position.png",4,220,900)</f>
        <v/>
      </c>
    </row>
    <row r="1021">
      <c r="A1021" t="inlineStr">
        <is>
          <t>chr13</t>
        </is>
      </c>
      <c r="B1021" t="n">
        <v>55403301</v>
      </c>
      <c r="C1021" t="inlineStr">
        <is>
          <t>C</t>
        </is>
      </c>
      <c r="D1021" t="inlineStr">
        <is>
          <t>G</t>
        </is>
      </c>
      <c r="E1021" t="inlineStr">
        <is>
          <t>rs3124395</t>
        </is>
      </c>
      <c r="F1021" t="n">
        <v>0.0037186669799999</v>
      </c>
      <c r="G1021" t="n">
        <v>0.6459045411845394</v>
      </c>
      <c r="H1021" t="n">
        <v>0.0095382092081764</v>
      </c>
      <c r="I1021" t="n">
        <v>0.5952497472726396</v>
      </c>
      <c r="J1021" t="n">
        <v>0.0103278536268226</v>
      </c>
      <c r="K1021" t="n">
        <v>0.8796271430457966</v>
      </c>
      <c r="L1021" t="b">
        <v>0</v>
      </c>
      <c r="M1021" t="b">
        <v>0</v>
      </c>
      <c r="N1021" t="inlineStr">
        <is>
          <t>alt</t>
        </is>
      </c>
      <c r="O1021" t="n">
        <v>30</v>
      </c>
      <c r="P1021" t="n">
        <v>0.003006</v>
      </c>
      <c r="Q1021" t="n">
        <v>35</v>
      </c>
      <c r="R1021" t="n">
        <v>0.02832</v>
      </c>
      <c r="S1021">
        <f>IMAGE("https://mitra.stanford.edu/kundaje/oak/projects/neuro-variants/variant_position/credible/roussos_2024/variant_figures/roussos_2024.adolescence.GLU/rs3124395_count_position.png",4,220,900)</f>
        <v/>
      </c>
      <c r="T1021">
        <f>IMAGE("https://mitra.stanford.edu/kundaje/oak/projects/neuro-variants/variant_position/credible/roussos_2024/variant_figures/roussos_2024.adolescence.GLU/rs3124395_profile_position.png",4,220,900)</f>
        <v/>
      </c>
    </row>
    <row r="1022">
      <c r="A1022" t="inlineStr">
        <is>
          <t>chr13</t>
        </is>
      </c>
      <c r="B1022" t="n">
        <v>55405727</v>
      </c>
      <c r="C1022" t="inlineStr">
        <is>
          <t>C</t>
        </is>
      </c>
      <c r="D1022" t="inlineStr">
        <is>
          <t>T</t>
        </is>
      </c>
      <c r="E1022" t="inlineStr">
        <is>
          <t>rs3105072</t>
        </is>
      </c>
      <c r="F1022" t="n">
        <v>-0.0022355027139999</v>
      </c>
      <c r="G1022" t="n">
        <v>0.8866690672897616</v>
      </c>
      <c r="H1022" t="n">
        <v>0.0187870857672496</v>
      </c>
      <c r="I1022" t="n">
        <v>0.07286378659952709</v>
      </c>
      <c r="J1022" t="n">
        <v>0.0031320773588814</v>
      </c>
      <c r="K1022" t="n">
        <v>0.9392498045626322</v>
      </c>
      <c r="L1022" t="b">
        <v>0</v>
      </c>
      <c r="M1022" t="b">
        <v>0</v>
      </c>
      <c r="N1022" t="inlineStr">
        <is>
          <t>ref</t>
        </is>
      </c>
      <c r="O1022" t="n">
        <v>-85</v>
      </c>
      <c r="P1022" t="n">
        <v>0.006958</v>
      </c>
      <c r="Q1022" t="n">
        <v>50</v>
      </c>
      <c r="R1022" t="n">
        <v>0.03137</v>
      </c>
      <c r="S1022">
        <f>IMAGE("https://mitra.stanford.edu/kundaje/oak/projects/neuro-variants/variant_position/credible/roussos_2024/variant_figures/roussos_2024.adolescence.GLU/rs3105072_count_position.png",4,220,900)</f>
        <v/>
      </c>
      <c r="T1022">
        <f>IMAGE("https://mitra.stanford.edu/kundaje/oak/projects/neuro-variants/variant_position/credible/roussos_2024/variant_figures/roussos_2024.adolescence.GLU/rs3105072_profile_position.png",4,220,900)</f>
        <v/>
      </c>
    </row>
    <row r="1023">
      <c r="A1023" t="inlineStr">
        <is>
          <t>chr13</t>
        </is>
      </c>
      <c r="B1023" t="n">
        <v>55406060</v>
      </c>
      <c r="C1023" t="inlineStr">
        <is>
          <t>C</t>
        </is>
      </c>
      <c r="D1023" t="inlineStr">
        <is>
          <t>T</t>
        </is>
      </c>
      <c r="E1023" t="inlineStr">
        <is>
          <t>rs4242982</t>
        </is>
      </c>
      <c r="F1023" t="n">
        <v>0.00776431856</v>
      </c>
      <c r="G1023" t="n">
        <v>0.5946010678243745</v>
      </c>
      <c r="H1023" t="n">
        <v>0.0319533462884367</v>
      </c>
      <c r="I1023" t="n">
        <v>0.0061405522214467</v>
      </c>
      <c r="J1023" t="n">
        <v>0.0027620007001449</v>
      </c>
      <c r="K1023" t="n">
        <v>0.944689091190396</v>
      </c>
      <c r="L1023" t="b">
        <v>0</v>
      </c>
      <c r="M1023" t="b">
        <v>0</v>
      </c>
      <c r="N1023" t="inlineStr">
        <is>
          <t>alt</t>
        </is>
      </c>
      <c r="O1023" t="n">
        <v>55</v>
      </c>
      <c r="P1023" t="n">
        <v>0.002258</v>
      </c>
      <c r="Q1023" t="n">
        <v>-75</v>
      </c>
      <c r="R1023" t="n">
        <v>0.04095</v>
      </c>
      <c r="S1023">
        <f>IMAGE("https://mitra.stanford.edu/kundaje/oak/projects/neuro-variants/variant_position/credible/roussos_2024/variant_figures/roussos_2024.adolescence.GLU/rs4242982_count_position.png",4,220,900)</f>
        <v/>
      </c>
      <c r="T1023">
        <f>IMAGE("https://mitra.stanford.edu/kundaje/oak/projects/neuro-variants/variant_position/credible/roussos_2024/variant_figures/roussos_2024.adolescence.GLU/rs4242982_profile_position.png",4,220,900)</f>
        <v/>
      </c>
    </row>
    <row r="1024">
      <c r="A1024" t="inlineStr">
        <is>
          <t>chr13</t>
        </is>
      </c>
      <c r="B1024" t="n">
        <v>55421579</v>
      </c>
      <c r="C1024" t="inlineStr">
        <is>
          <t>T</t>
        </is>
      </c>
      <c r="D1024" t="inlineStr">
        <is>
          <t>A</t>
        </is>
      </c>
      <c r="E1024" t="inlineStr">
        <is>
          <t>rs3105090</t>
        </is>
      </c>
      <c r="F1024" t="n">
        <v>0.001236335726</v>
      </c>
      <c r="G1024" t="n">
        <v>0.9041434440907689</v>
      </c>
      <c r="H1024" t="n">
        <v>0.0147110711072617</v>
      </c>
      <c r="I1024" t="n">
        <v>0.1766534635683962</v>
      </c>
      <c r="J1024" t="n">
        <v>0.0288273999614205</v>
      </c>
      <c r="K1024" t="n">
        <v>0.7769927003120962</v>
      </c>
      <c r="L1024" t="b">
        <v>0</v>
      </c>
      <c r="M1024" t="b">
        <v>0</v>
      </c>
      <c r="N1024" t="inlineStr">
        <is>
          <t>alt</t>
        </is>
      </c>
      <c r="O1024" t="n">
        <v>95</v>
      </c>
      <c r="P1024" t="n">
        <v>0.00724</v>
      </c>
      <c r="Q1024" t="n">
        <v>-100</v>
      </c>
      <c r="R1024" t="n">
        <v>0.0528</v>
      </c>
      <c r="S1024">
        <f>IMAGE("https://mitra.stanford.edu/kundaje/oak/projects/neuro-variants/variant_position/credible/roussos_2024/variant_figures/roussos_2024.adolescence.GLU/rs3105090_count_position.png",4,220,900)</f>
        <v/>
      </c>
      <c r="T1024">
        <f>IMAGE("https://mitra.stanford.edu/kundaje/oak/projects/neuro-variants/variant_position/credible/roussos_2024/variant_figures/roussos_2024.adolescence.GLU/rs3105090_profile_position.png",4,220,900)</f>
        <v/>
      </c>
    </row>
    <row r="1025">
      <c r="A1025" t="inlineStr">
        <is>
          <t>chr13</t>
        </is>
      </c>
      <c r="B1025" t="n">
        <v>55503184</v>
      </c>
      <c r="C1025" t="inlineStr">
        <is>
          <t>T</t>
        </is>
      </c>
      <c r="D1025" t="inlineStr">
        <is>
          <t>C</t>
        </is>
      </c>
      <c r="E1025" t="inlineStr">
        <is>
          <t>rs73191591</t>
        </is>
      </c>
      <c r="F1025" t="n">
        <v>0.0207867462</v>
      </c>
      <c r="G1025" t="n">
        <v>0.2786918709399472</v>
      </c>
      <c r="H1025" t="n">
        <v>0.0115970592004195</v>
      </c>
      <c r="I1025" t="n">
        <v>0.3731712290140616</v>
      </c>
      <c r="J1025" t="n">
        <v>0.0015846139557479</v>
      </c>
      <c r="K1025" t="n">
        <v>0.9635354643357328</v>
      </c>
      <c r="L1025" t="b">
        <v>0</v>
      </c>
      <c r="M1025" t="b">
        <v>0</v>
      </c>
      <c r="N1025" t="inlineStr">
        <is>
          <t>alt</t>
        </is>
      </c>
      <c r="O1025" t="n">
        <v>-45</v>
      </c>
      <c r="P1025" t="n">
        <v>0.001923</v>
      </c>
      <c r="Q1025" t="n">
        <v>60</v>
      </c>
      <c r="R1025" t="n">
        <v>0.02887</v>
      </c>
      <c r="S1025">
        <f>IMAGE("https://mitra.stanford.edu/kundaje/oak/projects/neuro-variants/variant_position/credible/roussos_2024/variant_figures/roussos_2024.adolescence.GLU/rs73191591_count_position.png",4,220,900)</f>
        <v/>
      </c>
      <c r="T1025">
        <f>IMAGE("https://mitra.stanford.edu/kundaje/oak/projects/neuro-variants/variant_position/credible/roussos_2024/variant_figures/roussos_2024.adolescence.GLU/rs73191591_profile_position.png",4,220,900)</f>
        <v/>
      </c>
    </row>
    <row r="1026">
      <c r="A1026" t="inlineStr">
        <is>
          <t>chr13</t>
        </is>
      </c>
      <c r="B1026" t="n">
        <v>55551859</v>
      </c>
      <c r="C1026" t="inlineStr">
        <is>
          <t>T</t>
        </is>
      </c>
      <c r="D1026" t="inlineStr">
        <is>
          <t>C</t>
        </is>
      </c>
      <c r="E1026" t="inlineStr">
        <is>
          <t>rs73193533</t>
        </is>
      </c>
      <c r="F1026" t="n">
        <v>0.0348209497</v>
      </c>
      <c r="G1026" t="n">
        <v>0.1166452810869712</v>
      </c>
      <c r="H1026" t="n">
        <v>0.0134184528373294</v>
      </c>
      <c r="I1026" t="n">
        <v>0.2478811916044073</v>
      </c>
      <c r="J1026" t="n">
        <v>0.1538504404483785</v>
      </c>
      <c r="K1026" t="n">
        <v>0.4673298574290739</v>
      </c>
      <c r="L1026" t="b">
        <v>0</v>
      </c>
      <c r="M1026" t="b">
        <v>0</v>
      </c>
      <c r="N1026" t="inlineStr">
        <is>
          <t>alt</t>
        </is>
      </c>
      <c r="O1026" t="n">
        <v>-30</v>
      </c>
      <c r="P1026" t="n">
        <v>0.00595</v>
      </c>
      <c r="Q1026" t="n">
        <v>-25</v>
      </c>
      <c r="R1026" t="n">
        <v>0.02222</v>
      </c>
      <c r="S1026">
        <f>IMAGE("https://mitra.stanford.edu/kundaje/oak/projects/neuro-variants/variant_position/credible/roussos_2024/variant_figures/roussos_2024.adolescence.GLU/rs73193533_count_position.png",4,220,900)</f>
        <v/>
      </c>
      <c r="T1026">
        <f>IMAGE("https://mitra.stanford.edu/kundaje/oak/projects/neuro-variants/variant_position/credible/roussos_2024/variant_figures/roussos_2024.adolescence.GLU/rs73193533_profile_position.png",4,220,900)</f>
        <v/>
      </c>
    </row>
    <row r="1027">
      <c r="A1027" t="inlineStr">
        <is>
          <t>chr13</t>
        </is>
      </c>
      <c r="B1027" t="n">
        <v>55587333</v>
      </c>
      <c r="C1027" t="inlineStr">
        <is>
          <t>G</t>
        </is>
      </c>
      <c r="D1027" t="inlineStr">
        <is>
          <t>A</t>
        </is>
      </c>
      <c r="E1027" t="inlineStr">
        <is>
          <t>rs112311254</t>
        </is>
      </c>
      <c r="F1027" t="n">
        <v>0.04853759106</v>
      </c>
      <c r="G1027" t="n">
        <v>0.0880265760747635</v>
      </c>
      <c r="H1027" t="n">
        <v>0.0348540606037556</v>
      </c>
      <c r="I1027" t="n">
        <v>0.0062679728571275</v>
      </c>
      <c r="J1027" t="n">
        <v>0.1988026091118874</v>
      </c>
      <c r="K1027" t="n">
        <v>0.3866258967215553</v>
      </c>
      <c r="L1027" t="b">
        <v>1</v>
      </c>
      <c r="M1027" t="b">
        <v>1</v>
      </c>
      <c r="N1027" t="inlineStr">
        <is>
          <t>alt</t>
        </is>
      </c>
      <c r="O1027" t="n">
        <v>100</v>
      </c>
      <c r="P1027" t="n">
        <v>0.010315</v>
      </c>
      <c r="Q1027" t="n">
        <v>100</v>
      </c>
      <c r="R1027" t="n">
        <v>0.1328</v>
      </c>
      <c r="S1027">
        <f>IMAGE("https://mitra.stanford.edu/kundaje/oak/projects/neuro-variants/variant_position/credible/roussos_2024/variant_figures/roussos_2024.adolescence.GLU/rs112311254_count_position.png",4,220,900)</f>
        <v/>
      </c>
      <c r="T1027">
        <f>IMAGE("https://mitra.stanford.edu/kundaje/oak/projects/neuro-variants/variant_position/credible/roussos_2024/variant_figures/roussos_2024.adolescence.GLU/rs112311254_profile_position.png",4,220,900)</f>
        <v/>
      </c>
    </row>
    <row r="1028">
      <c r="A1028" t="inlineStr">
        <is>
          <t>chr13</t>
        </is>
      </c>
      <c r="B1028" t="n">
        <v>55587944</v>
      </c>
      <c r="C1028" t="inlineStr">
        <is>
          <t>G</t>
        </is>
      </c>
      <c r="D1028" t="inlineStr">
        <is>
          <t>A</t>
        </is>
      </c>
      <c r="E1028" t="inlineStr">
        <is>
          <t>rs611686</t>
        </is>
      </c>
      <c r="F1028" t="n">
        <v>-0.0263533389999999</v>
      </c>
      <c r="G1028" t="n">
        <v>0.2115009788242839</v>
      </c>
      <c r="H1028" t="n">
        <v>0.0125936935523724</v>
      </c>
      <c r="I1028" t="n">
        <v>0.2778949721685513</v>
      </c>
      <c r="J1028" t="n">
        <v>0.2385851354923519</v>
      </c>
      <c r="K1028" t="n">
        <v>0.3454145468799605</v>
      </c>
      <c r="L1028" t="b">
        <v>0</v>
      </c>
      <c r="M1028" t="b">
        <v>0</v>
      </c>
      <c r="N1028" t="inlineStr">
        <is>
          <t>ref</t>
        </is>
      </c>
      <c r="O1028" t="n">
        <v>-45</v>
      </c>
      <c r="P1028" t="n">
        <v>0.002659</v>
      </c>
      <c r="Q1028" t="n">
        <v>-100</v>
      </c>
      <c r="R1028" t="n">
        <v>0.08093</v>
      </c>
      <c r="S1028">
        <f>IMAGE("https://mitra.stanford.edu/kundaje/oak/projects/neuro-variants/variant_position/credible/roussos_2024/variant_figures/roussos_2024.adolescence.GLU/rs611686_count_position.png",4,220,900)</f>
        <v/>
      </c>
      <c r="T1028">
        <f>IMAGE("https://mitra.stanford.edu/kundaje/oak/projects/neuro-variants/variant_position/credible/roussos_2024/variant_figures/roussos_2024.adolescence.GLU/rs611686_profile_position.png",4,220,900)</f>
        <v/>
      </c>
    </row>
    <row r="1029">
      <c r="A1029" t="inlineStr">
        <is>
          <t>chr13</t>
        </is>
      </c>
      <c r="B1029" t="n">
        <v>55607494</v>
      </c>
      <c r="C1029" t="inlineStr">
        <is>
          <t>C</t>
        </is>
      </c>
      <c r="D1029" t="inlineStr">
        <is>
          <t>A</t>
        </is>
      </c>
      <c r="E1029" t="inlineStr">
        <is>
          <t>rs73193578</t>
        </is>
      </c>
      <c r="F1029" t="n">
        <v>0.00438519339</v>
      </c>
      <c r="G1029" t="n">
        <v>0.7278421464960881</v>
      </c>
      <c r="H1029" t="n">
        <v>0.0272195588558564</v>
      </c>
      <c r="I1029" t="n">
        <v>0.0140177404213011</v>
      </c>
      <c r="J1029" t="n">
        <v>0.0010945124347185</v>
      </c>
      <c r="K1029" t="n">
        <v>0.9722963986741272</v>
      </c>
      <c r="L1029" t="b">
        <v>0</v>
      </c>
      <c r="M1029" t="b">
        <v>0</v>
      </c>
      <c r="N1029" t="inlineStr">
        <is>
          <t>alt</t>
        </is>
      </c>
      <c r="O1029" t="n">
        <v>0</v>
      </c>
      <c r="P1029" t="n">
        <v>0</v>
      </c>
      <c r="Q1029" t="n">
        <v>55</v>
      </c>
      <c r="R1029" t="n">
        <v>0.02606</v>
      </c>
      <c r="S1029">
        <f>IMAGE("https://mitra.stanford.edu/kundaje/oak/projects/neuro-variants/variant_position/credible/roussos_2024/variant_figures/roussos_2024.adolescence.GLU/rs73193578_count_position.png",4,220,900)</f>
        <v/>
      </c>
      <c r="T1029">
        <f>IMAGE("https://mitra.stanford.edu/kundaje/oak/projects/neuro-variants/variant_position/credible/roussos_2024/variant_figures/roussos_2024.adolescence.GLU/rs73193578_profile_position.png",4,220,900)</f>
        <v/>
      </c>
    </row>
    <row r="1030">
      <c r="A1030" t="inlineStr">
        <is>
          <t>chr13</t>
        </is>
      </c>
      <c r="B1030" t="n">
        <v>56115935</v>
      </c>
      <c r="C1030" t="inlineStr">
        <is>
          <t>T</t>
        </is>
      </c>
      <c r="D1030" t="inlineStr">
        <is>
          <t>C</t>
        </is>
      </c>
      <c r="E1030" t="inlineStr">
        <is>
          <t>rs517462</t>
        </is>
      </c>
      <c r="F1030" t="n">
        <v>0.074110076</v>
      </c>
      <c r="G1030" t="n">
        <v>0.0209468798915389</v>
      </c>
      <c r="H1030" t="n">
        <v>0.015541890461362</v>
      </c>
      <c r="I1030" t="n">
        <v>0.1610377935008476</v>
      </c>
      <c r="J1030" t="n">
        <v>0.4540697715955447</v>
      </c>
      <c r="K1030" t="n">
        <v>0.1185231776344205</v>
      </c>
      <c r="L1030" t="b">
        <v>0</v>
      </c>
      <c r="M1030" t="b">
        <v>0</v>
      </c>
      <c r="N1030" t="inlineStr">
        <is>
          <t>alt</t>
        </is>
      </c>
      <c r="O1030" t="n">
        <v>-60</v>
      </c>
      <c r="P1030" t="n">
        <v>0.006645</v>
      </c>
      <c r="Q1030" t="n">
        <v>-95</v>
      </c>
      <c r="R1030" t="n">
        <v>0.07886</v>
      </c>
      <c r="S1030">
        <f>IMAGE("https://mitra.stanford.edu/kundaje/oak/projects/neuro-variants/variant_position/credible/roussos_2024/variant_figures/roussos_2024.adolescence.GLU/rs517462_count_position.png",4,220,900)</f>
        <v/>
      </c>
      <c r="T1030">
        <f>IMAGE("https://mitra.stanford.edu/kundaje/oak/projects/neuro-variants/variant_position/credible/roussos_2024/variant_figures/roussos_2024.adolescence.GLU/rs517462_profile_position.png",4,220,900)</f>
        <v/>
      </c>
    </row>
    <row r="1031">
      <c r="A1031" t="inlineStr">
        <is>
          <t>chr13</t>
        </is>
      </c>
      <c r="B1031" t="n">
        <v>56148317</v>
      </c>
      <c r="C1031" t="inlineStr">
        <is>
          <t>C</t>
        </is>
      </c>
      <c r="D1031" t="inlineStr">
        <is>
          <t>T</t>
        </is>
      </c>
      <c r="E1031" t="inlineStr">
        <is>
          <t>rs3121501</t>
        </is>
      </c>
      <c r="F1031" t="n">
        <v>-0.0009668451199999</v>
      </c>
      <c r="G1031" t="n">
        <v>0.8518502837927839</v>
      </c>
      <c r="H1031" t="n">
        <v>0.0218288761944835</v>
      </c>
      <c r="I1031" t="n">
        <v>0.039102052669127</v>
      </c>
      <c r="J1031" t="n">
        <v>0.0001014495859856</v>
      </c>
      <c r="K1031" t="n">
        <v>0.995126871960078</v>
      </c>
      <c r="L1031" t="b">
        <v>0</v>
      </c>
      <c r="M1031" t="b">
        <v>0</v>
      </c>
      <c r="N1031" t="inlineStr">
        <is>
          <t>ref</t>
        </is>
      </c>
      <c r="O1031" t="n">
        <v>-75</v>
      </c>
      <c r="P1031" t="n">
        <v>0.02246</v>
      </c>
      <c r="Q1031" t="n">
        <v>-55</v>
      </c>
      <c r="R1031" t="n">
        <v>0.00634</v>
      </c>
      <c r="S1031">
        <f>IMAGE("https://mitra.stanford.edu/kundaje/oak/projects/neuro-variants/variant_position/credible/roussos_2024/variant_figures/roussos_2024.adolescence.GLU/rs3121501_count_position.png",4,220,900)</f>
        <v/>
      </c>
      <c r="T1031">
        <f>IMAGE("https://mitra.stanford.edu/kundaje/oak/projects/neuro-variants/variant_position/credible/roussos_2024/variant_figures/roussos_2024.adolescence.GLU/rs3121501_profile_position.png",4,220,900)</f>
        <v/>
      </c>
    </row>
    <row r="1032">
      <c r="A1032" t="inlineStr">
        <is>
          <t>chr13</t>
        </is>
      </c>
      <c r="B1032" t="n">
        <v>56229052</v>
      </c>
      <c r="C1032" t="inlineStr">
        <is>
          <t>T</t>
        </is>
      </c>
      <c r="D1032" t="inlineStr">
        <is>
          <t>G</t>
        </is>
      </c>
      <c r="E1032" t="inlineStr">
        <is>
          <t>rs2137410</t>
        </is>
      </c>
      <c r="F1032" t="n">
        <v>0.00819285952</v>
      </c>
      <c r="G1032" t="n">
        <v>0.5732144216545259</v>
      </c>
      <c r="H1032" t="n">
        <v>0.0178627720794609</v>
      </c>
      <c r="I1032" t="n">
        <v>0.0861082548483043</v>
      </c>
      <c r="J1032" t="n">
        <v>0.008068814254381201</v>
      </c>
      <c r="K1032" t="n">
        <v>0.8895133198749097</v>
      </c>
      <c r="L1032" t="b">
        <v>0</v>
      </c>
      <c r="M1032" t="b">
        <v>0</v>
      </c>
      <c r="N1032" t="inlineStr">
        <is>
          <t>alt</t>
        </is>
      </c>
      <c r="O1032" t="n">
        <v>-100</v>
      </c>
      <c r="P1032" t="n">
        <v>0.00412</v>
      </c>
      <c r="Q1032" t="n">
        <v>-75</v>
      </c>
      <c r="R1032" t="n">
        <v>0.10144</v>
      </c>
      <c r="S1032">
        <f>IMAGE("https://mitra.stanford.edu/kundaje/oak/projects/neuro-variants/variant_position/credible/roussos_2024/variant_figures/roussos_2024.adolescence.GLU/rs2137410_count_position.png",4,220,900)</f>
        <v/>
      </c>
      <c r="T1032">
        <f>IMAGE("https://mitra.stanford.edu/kundaje/oak/projects/neuro-variants/variant_position/credible/roussos_2024/variant_figures/roussos_2024.adolescence.GLU/rs2137410_profile_position.png",4,220,900)</f>
        <v/>
      </c>
    </row>
    <row r="1033">
      <c r="A1033" t="inlineStr">
        <is>
          <t>chr13</t>
        </is>
      </c>
      <c r="B1033" t="n">
        <v>56237999</v>
      </c>
      <c r="C1033" t="inlineStr">
        <is>
          <t>C</t>
        </is>
      </c>
      <c r="D1033" t="inlineStr">
        <is>
          <t>A</t>
        </is>
      </c>
      <c r="E1033" t="inlineStr">
        <is>
          <t>rs9569448</t>
        </is>
      </c>
      <c r="F1033" t="n">
        <v>-0.00084299974</v>
      </c>
      <c r="G1033" t="n">
        <v>0.7722462095723597</v>
      </c>
      <c r="H1033" t="n">
        <v>0.0272699691556469</v>
      </c>
      <c r="I1033" t="n">
        <v>0.013311820009783</v>
      </c>
      <c r="J1033" t="n">
        <v>0.2461324131427224</v>
      </c>
      <c r="K1033" t="n">
        <v>0.3343133063450391</v>
      </c>
      <c r="L1033" t="b">
        <v>1</v>
      </c>
      <c r="M1033" t="b">
        <v>0</v>
      </c>
      <c r="N1033" t="inlineStr">
        <is>
          <t>ref</t>
        </is>
      </c>
      <c r="O1033" t="n">
        <v>95</v>
      </c>
      <c r="P1033" t="n">
        <v>0.03198</v>
      </c>
      <c r="Q1033" t="n">
        <v>95</v>
      </c>
      <c r="R1033" t="n">
        <v>0.12244</v>
      </c>
      <c r="S1033">
        <f>IMAGE("https://mitra.stanford.edu/kundaje/oak/projects/neuro-variants/variant_position/credible/roussos_2024/variant_figures/roussos_2024.adolescence.GLU/rs9569448_count_position.png",4,220,900)</f>
        <v/>
      </c>
      <c r="T1033">
        <f>IMAGE("https://mitra.stanford.edu/kundaje/oak/projects/neuro-variants/variant_position/credible/roussos_2024/variant_figures/roussos_2024.adolescence.GLU/rs9569448_profile_position.png",4,220,900)</f>
        <v/>
      </c>
    </row>
    <row r="1034">
      <c r="A1034" t="inlineStr">
        <is>
          <t>chr13</t>
        </is>
      </c>
      <c r="B1034" t="n">
        <v>56355578</v>
      </c>
      <c r="C1034" t="inlineStr">
        <is>
          <t>C</t>
        </is>
      </c>
      <c r="D1034" t="inlineStr">
        <is>
          <t>T</t>
        </is>
      </c>
      <c r="E1034" t="inlineStr">
        <is>
          <t>rs9597389</t>
        </is>
      </c>
      <c r="F1034" t="n">
        <v>-0.0401488572</v>
      </c>
      <c r="G1034" t="n">
        <v>0.1085058085585176</v>
      </c>
      <c r="H1034" t="n">
        <v>0.0127857674659773</v>
      </c>
      <c r="I1034" t="n">
        <v>0.2592586511058891</v>
      </c>
      <c r="J1034" t="n">
        <v>0.0311750291131734</v>
      </c>
      <c r="K1034" t="n">
        <v>0.7660087883254093</v>
      </c>
      <c r="L1034" t="b">
        <v>0</v>
      </c>
      <c r="M1034" t="b">
        <v>0</v>
      </c>
      <c r="N1034" t="inlineStr">
        <is>
          <t>ref</t>
        </is>
      </c>
      <c r="O1034" t="n">
        <v>50</v>
      </c>
      <c r="P1034" t="n">
        <v>0.0067</v>
      </c>
      <c r="Q1034" t="n">
        <v>-30</v>
      </c>
      <c r="R1034" t="n">
        <v>0.02405</v>
      </c>
      <c r="S1034">
        <f>IMAGE("https://mitra.stanford.edu/kundaje/oak/projects/neuro-variants/variant_position/credible/roussos_2024/variant_figures/roussos_2024.adolescence.GLU/rs9597389_count_position.png",4,220,900)</f>
        <v/>
      </c>
      <c r="T1034">
        <f>IMAGE("https://mitra.stanford.edu/kundaje/oak/projects/neuro-variants/variant_position/credible/roussos_2024/variant_figures/roussos_2024.adolescence.GLU/rs9597389_profile_position.png",4,220,900)</f>
        <v/>
      </c>
    </row>
    <row r="1035">
      <c r="A1035" t="inlineStr">
        <is>
          <t>chr13</t>
        </is>
      </c>
      <c r="B1035" t="n">
        <v>56365881</v>
      </c>
      <c r="C1035" t="inlineStr">
        <is>
          <t>T</t>
        </is>
      </c>
      <c r="D1035" t="inlineStr">
        <is>
          <t>C</t>
        </is>
      </c>
      <c r="E1035" t="inlineStr">
        <is>
          <t>rs2784002</t>
        </is>
      </c>
      <c r="F1035" t="n">
        <v>0.0339828298</v>
      </c>
      <c r="G1035" t="n">
        <v>0.1436286653775813</v>
      </c>
      <c r="H1035" t="n">
        <v>0.0193418318767794</v>
      </c>
      <c r="I1035" t="n">
        <v>0.07825329792585831</v>
      </c>
      <c r="J1035" t="n">
        <v>0.008021661629908999</v>
      </c>
      <c r="K1035" t="n">
        <v>0.8963479389949253</v>
      </c>
      <c r="L1035" t="b">
        <v>0</v>
      </c>
      <c r="M1035" t="b">
        <v>0</v>
      </c>
      <c r="N1035" t="inlineStr">
        <is>
          <t>alt</t>
        </is>
      </c>
      <c r="O1035" t="n">
        <v>45</v>
      </c>
      <c r="P1035" t="n">
        <v>0.003956</v>
      </c>
      <c r="Q1035" t="n">
        <v>40</v>
      </c>
      <c r="R1035" t="n">
        <v>0.03973</v>
      </c>
      <c r="S1035">
        <f>IMAGE("https://mitra.stanford.edu/kundaje/oak/projects/neuro-variants/variant_position/credible/roussos_2024/variant_figures/roussos_2024.adolescence.GLU/rs2784002_count_position.png",4,220,900)</f>
        <v/>
      </c>
      <c r="T1035">
        <f>IMAGE("https://mitra.stanford.edu/kundaje/oak/projects/neuro-variants/variant_position/credible/roussos_2024/variant_figures/roussos_2024.adolescence.GLU/rs2784002_profile_position.png",4,220,900)</f>
        <v/>
      </c>
    </row>
    <row r="1036">
      <c r="A1036" t="inlineStr">
        <is>
          <t>chr13</t>
        </is>
      </c>
      <c r="B1036" t="n">
        <v>56370450</v>
      </c>
      <c r="C1036" t="inlineStr">
        <is>
          <t>C</t>
        </is>
      </c>
      <c r="D1036" t="inlineStr">
        <is>
          <t>A</t>
        </is>
      </c>
      <c r="E1036" t="inlineStr">
        <is>
          <t>rs9591754</t>
        </is>
      </c>
      <c r="F1036" t="n">
        <v>-0.0139040357599999</v>
      </c>
      <c r="G1036" t="n">
        <v>0.4172984682439836</v>
      </c>
      <c r="H1036" t="n">
        <v>0.0125686700908037</v>
      </c>
      <c r="I1036" t="n">
        <v>0.2929729296374618</v>
      </c>
      <c r="J1036" t="n">
        <v>0.0331611548106392</v>
      </c>
      <c r="K1036" t="n">
        <v>0.7630538006105537</v>
      </c>
      <c r="L1036" t="b">
        <v>0</v>
      </c>
      <c r="M1036" t="b">
        <v>0</v>
      </c>
      <c r="N1036" t="inlineStr">
        <is>
          <t>ref</t>
        </is>
      </c>
      <c r="O1036" t="n">
        <v>-100</v>
      </c>
      <c r="P1036" t="n">
        <v>0.003494</v>
      </c>
      <c r="Q1036" t="n">
        <v>-70</v>
      </c>
      <c r="R1036" t="n">
        <v>0.01697</v>
      </c>
      <c r="S1036">
        <f>IMAGE("https://mitra.stanford.edu/kundaje/oak/projects/neuro-variants/variant_position/credible/roussos_2024/variant_figures/roussos_2024.adolescence.GLU/rs9591754_count_position.png",4,220,900)</f>
        <v/>
      </c>
      <c r="T1036">
        <f>IMAGE("https://mitra.stanford.edu/kundaje/oak/projects/neuro-variants/variant_position/credible/roussos_2024/variant_figures/roussos_2024.adolescence.GLU/rs9591754_profile_position.png",4,220,900)</f>
        <v/>
      </c>
    </row>
    <row r="1037">
      <c r="A1037" t="inlineStr">
        <is>
          <t>chr13</t>
        </is>
      </c>
      <c r="B1037" t="n">
        <v>56391810</v>
      </c>
      <c r="C1037" t="inlineStr">
        <is>
          <t>A</t>
        </is>
      </c>
      <c r="D1037" t="inlineStr">
        <is>
          <t>T</t>
        </is>
      </c>
      <c r="E1037" t="inlineStr">
        <is>
          <t>rs9316851</t>
        </is>
      </c>
      <c r="F1037" t="n">
        <v>0.0086283312</v>
      </c>
      <c r="G1037" t="n">
        <v>0.5244921608828865</v>
      </c>
      <c r="H1037" t="n">
        <v>0.0077421815007082</v>
      </c>
      <c r="I1037" t="n">
        <v>0.8222122005043079</v>
      </c>
      <c r="J1037" t="n">
        <v>0.1457487622436075</v>
      </c>
      <c r="K1037" t="n">
        <v>0.4927401862339123</v>
      </c>
      <c r="L1037" t="b">
        <v>0</v>
      </c>
      <c r="M1037" t="b">
        <v>0</v>
      </c>
      <c r="N1037" t="inlineStr">
        <is>
          <t>alt</t>
        </is>
      </c>
      <c r="O1037" t="n">
        <v>-50</v>
      </c>
      <c r="P1037" t="n">
        <v>0.006218</v>
      </c>
      <c r="Q1037" t="n">
        <v>0</v>
      </c>
      <c r="R1037" t="n">
        <v>0</v>
      </c>
      <c r="S1037">
        <f>IMAGE("https://mitra.stanford.edu/kundaje/oak/projects/neuro-variants/variant_position/credible/roussos_2024/variant_figures/roussos_2024.adolescence.GLU/rs9316851_count_position.png",4,220,900)</f>
        <v/>
      </c>
      <c r="T1037">
        <f>IMAGE("https://mitra.stanford.edu/kundaje/oak/projects/neuro-variants/variant_position/credible/roussos_2024/variant_figures/roussos_2024.adolescence.GLU/rs9316851_profile_position.png",4,220,900)</f>
        <v/>
      </c>
    </row>
    <row r="1038">
      <c r="A1038" t="inlineStr">
        <is>
          <t>chr13</t>
        </is>
      </c>
      <c r="B1038" t="n">
        <v>56405802</v>
      </c>
      <c r="C1038" t="inlineStr">
        <is>
          <t>C</t>
        </is>
      </c>
      <c r="D1038" t="inlineStr">
        <is>
          <t>G</t>
        </is>
      </c>
      <c r="E1038" t="inlineStr">
        <is>
          <t>rs59918226</t>
        </is>
      </c>
      <c r="F1038" t="n">
        <v>0.0126531176</v>
      </c>
      <c r="G1038" t="n">
        <v>0.4381151350749871</v>
      </c>
      <c r="H1038" t="n">
        <v>0.0091648983720956</v>
      </c>
      <c r="I1038" t="n">
        <v>0.6432905936579235</v>
      </c>
      <c r="J1038" t="n">
        <v>0.0146458909345506</v>
      </c>
      <c r="K1038" t="n">
        <v>0.851251799993774</v>
      </c>
      <c r="L1038" t="b">
        <v>0</v>
      </c>
      <c r="M1038" t="b">
        <v>0</v>
      </c>
      <c r="N1038" t="inlineStr">
        <is>
          <t>alt</t>
        </is>
      </c>
      <c r="O1038" t="n">
        <v>-15</v>
      </c>
      <c r="P1038" t="n">
        <v>0.00185</v>
      </c>
      <c r="Q1038" t="n">
        <v>-5</v>
      </c>
      <c r="R1038" t="n">
        <v>0.003906</v>
      </c>
      <c r="S1038">
        <f>IMAGE("https://mitra.stanford.edu/kundaje/oak/projects/neuro-variants/variant_position/credible/roussos_2024/variant_figures/roussos_2024.adolescence.GLU/rs59918226_count_position.png",4,220,900)</f>
        <v/>
      </c>
      <c r="T1038">
        <f>IMAGE("https://mitra.stanford.edu/kundaje/oak/projects/neuro-variants/variant_position/credible/roussos_2024/variant_figures/roussos_2024.adolescence.GLU/rs59918226_profile_position.png",4,220,900)</f>
        <v/>
      </c>
    </row>
    <row r="1039">
      <c r="A1039" t="inlineStr">
        <is>
          <t>chr13</t>
        </is>
      </c>
      <c r="B1039" t="n">
        <v>56417466</v>
      </c>
      <c r="C1039" t="inlineStr">
        <is>
          <t>G</t>
        </is>
      </c>
      <c r="D1039" t="inlineStr">
        <is>
          <t>A</t>
        </is>
      </c>
      <c r="E1039" t="inlineStr">
        <is>
          <t>rs9316853</t>
        </is>
      </c>
      <c r="F1039" t="n">
        <v>0.00130740716</v>
      </c>
      <c r="G1039" t="n">
        <v>0.6969029867921732</v>
      </c>
      <c r="H1039" t="n">
        <v>0.0133058776630021</v>
      </c>
      <c r="I1039" t="n">
        <v>0.263157138153207</v>
      </c>
      <c r="J1039" t="n">
        <v>0.0180423087639582</v>
      </c>
      <c r="K1039" t="n">
        <v>0.833402975455666</v>
      </c>
      <c r="L1039" t="b">
        <v>0</v>
      </c>
      <c r="M1039" t="b">
        <v>0</v>
      </c>
      <c r="N1039" t="inlineStr">
        <is>
          <t>alt</t>
        </is>
      </c>
      <c r="O1039" t="n">
        <v>-85</v>
      </c>
      <c r="P1039" t="n">
        <v>0.00392</v>
      </c>
      <c r="Q1039" t="n">
        <v>65</v>
      </c>
      <c r="R1039" t="n">
        <v>0.06137</v>
      </c>
      <c r="S1039">
        <f>IMAGE("https://mitra.stanford.edu/kundaje/oak/projects/neuro-variants/variant_position/credible/roussos_2024/variant_figures/roussos_2024.adolescence.GLU/rs9316853_count_position.png",4,220,900)</f>
        <v/>
      </c>
      <c r="T1039">
        <f>IMAGE("https://mitra.stanford.edu/kundaje/oak/projects/neuro-variants/variant_position/credible/roussos_2024/variant_figures/roussos_2024.adolescence.GLU/rs9316853_profile_position.png",4,220,900)</f>
        <v/>
      </c>
    </row>
    <row r="1040">
      <c r="A1040" t="inlineStr">
        <is>
          <t>chr13</t>
        </is>
      </c>
      <c r="B1040" t="n">
        <v>56420701</v>
      </c>
      <c r="C1040" t="inlineStr">
        <is>
          <t>G</t>
        </is>
      </c>
      <c r="D1040" t="inlineStr">
        <is>
          <t>C</t>
        </is>
      </c>
      <c r="E1040" t="inlineStr">
        <is>
          <t>rs12872193</t>
        </is>
      </c>
      <c r="F1040" t="n">
        <v>0.0768068908</v>
      </c>
      <c r="G1040" t="n">
        <v>0.0181675746409585</v>
      </c>
      <c r="H1040" t="n">
        <v>0.0147720048755729</v>
      </c>
      <c r="I1040" t="n">
        <v>0.1847295816634875</v>
      </c>
      <c r="J1040" t="n">
        <v>0.0505604732408855</v>
      </c>
      <c r="K1040" t="n">
        <v>0.696839643114141</v>
      </c>
      <c r="L1040" t="b">
        <v>1</v>
      </c>
      <c r="M1040" t="b">
        <v>0</v>
      </c>
      <c r="N1040" t="inlineStr">
        <is>
          <t>alt</t>
        </is>
      </c>
      <c r="O1040" t="n">
        <v>-100</v>
      </c>
      <c r="P1040" t="n">
        <v>0.00576</v>
      </c>
      <c r="Q1040" t="n">
        <v>-65</v>
      </c>
      <c r="R1040" t="n">
        <v>0.04797</v>
      </c>
      <c r="S1040">
        <f>IMAGE("https://mitra.stanford.edu/kundaje/oak/projects/neuro-variants/variant_position/credible/roussos_2024/variant_figures/roussos_2024.adolescence.GLU/rs12872193_count_position.png",4,220,900)</f>
        <v/>
      </c>
      <c r="T1040">
        <f>IMAGE("https://mitra.stanford.edu/kundaje/oak/projects/neuro-variants/variant_position/credible/roussos_2024/variant_figures/roussos_2024.adolescence.GLU/rs12872193_profile_position.png",4,220,900)</f>
        <v/>
      </c>
    </row>
    <row r="1041">
      <c r="A1041" t="inlineStr">
        <is>
          <t>chr13</t>
        </is>
      </c>
      <c r="B1041" t="n">
        <v>56424533</v>
      </c>
      <c r="C1041" t="inlineStr">
        <is>
          <t>C</t>
        </is>
      </c>
      <c r="D1041" t="inlineStr">
        <is>
          <t>T</t>
        </is>
      </c>
      <c r="E1041" t="inlineStr">
        <is>
          <t>rs9597405</t>
        </is>
      </c>
      <c r="F1041" t="n">
        <v>-0.0784924608</v>
      </c>
      <c r="G1041" t="n">
        <v>0.0175805282561657</v>
      </c>
      <c r="H1041" t="n">
        <v>0.0128760702966531</v>
      </c>
      <c r="I1041" t="n">
        <v>0.2782035648873852</v>
      </c>
      <c r="J1041" t="n">
        <v>0.1527087753891877</v>
      </c>
      <c r="K1041" t="n">
        <v>0.472570252187163</v>
      </c>
      <c r="L1041" t="b">
        <v>1</v>
      </c>
      <c r="M1041" t="b">
        <v>0</v>
      </c>
      <c r="N1041" t="inlineStr">
        <is>
          <t>ref</t>
        </is>
      </c>
      <c r="O1041" t="n">
        <v>40</v>
      </c>
      <c r="P1041" t="n">
        <v>0.003069</v>
      </c>
      <c r="Q1041" t="n">
        <v>-75</v>
      </c>
      <c r="R1041" t="n">
        <v>0.07729999999999999</v>
      </c>
      <c r="S1041">
        <f>IMAGE("https://mitra.stanford.edu/kundaje/oak/projects/neuro-variants/variant_position/credible/roussos_2024/variant_figures/roussos_2024.adolescence.GLU/rs9597405_count_position.png",4,220,900)</f>
        <v/>
      </c>
      <c r="T1041">
        <f>IMAGE("https://mitra.stanford.edu/kundaje/oak/projects/neuro-variants/variant_position/credible/roussos_2024/variant_figures/roussos_2024.adolescence.GLU/rs9597405_profile_position.png",4,220,900)</f>
        <v/>
      </c>
    </row>
    <row r="1042">
      <c r="A1042" t="inlineStr">
        <is>
          <t>chr13</t>
        </is>
      </c>
      <c r="B1042" t="n">
        <v>56429773</v>
      </c>
      <c r="C1042" t="inlineStr">
        <is>
          <t>C</t>
        </is>
      </c>
      <c r="D1042" t="inlineStr">
        <is>
          <t>G</t>
        </is>
      </c>
      <c r="E1042" t="inlineStr">
        <is>
          <t>rs4885970</t>
        </is>
      </c>
      <c r="F1042" t="n">
        <v>-0.0453299209999999</v>
      </c>
      <c r="G1042" t="n">
        <v>0.0863339593844597</v>
      </c>
      <c r="H1042" t="n">
        <v>0.0254384215731882</v>
      </c>
      <c r="I1042" t="n">
        <v>0.0214943224995337</v>
      </c>
      <c r="J1042" t="n">
        <v>0.0370591051003421</v>
      </c>
      <c r="K1042" t="n">
        <v>0.7441470478045004</v>
      </c>
      <c r="L1042" t="b">
        <v>0</v>
      </c>
      <c r="M1042" t="b">
        <v>0</v>
      </c>
      <c r="N1042" t="inlineStr">
        <is>
          <t>ref</t>
        </is>
      </c>
      <c r="O1042" t="n">
        <v>-95</v>
      </c>
      <c r="P1042" t="n">
        <v>0.002377</v>
      </c>
      <c r="Q1042" t="n">
        <v>-45</v>
      </c>
      <c r="R1042" t="n">
        <v>0.03607</v>
      </c>
      <c r="S1042">
        <f>IMAGE("https://mitra.stanford.edu/kundaje/oak/projects/neuro-variants/variant_position/credible/roussos_2024/variant_figures/roussos_2024.adolescence.GLU/rs4885970_count_position.png",4,220,900)</f>
        <v/>
      </c>
      <c r="T1042">
        <f>IMAGE("https://mitra.stanford.edu/kundaje/oak/projects/neuro-variants/variant_position/credible/roussos_2024/variant_figures/roussos_2024.adolescence.GLU/rs4885970_profile_position.png",4,220,900)</f>
        <v/>
      </c>
    </row>
    <row r="1043">
      <c r="A1043" t="inlineStr">
        <is>
          <t>chr13</t>
        </is>
      </c>
      <c r="B1043" t="n">
        <v>56437181</v>
      </c>
      <c r="C1043" t="inlineStr">
        <is>
          <t>C</t>
        </is>
      </c>
      <c r="D1043" t="inlineStr">
        <is>
          <t>A</t>
        </is>
      </c>
      <c r="E1043" t="inlineStr">
        <is>
          <t>rs71428219</t>
        </is>
      </c>
      <c r="F1043" t="n">
        <v>0.00547867774</v>
      </c>
      <c r="G1043" t="n">
        <v>0.6909328442242642</v>
      </c>
      <c r="H1043" t="n">
        <v>0.0289932662122907</v>
      </c>
      <c r="I1043" t="n">
        <v>0.0098793400729059</v>
      </c>
      <c r="J1043" t="n">
        <v>0.00019575483493</v>
      </c>
      <c r="K1043" t="n">
        <v>0.9906565162013162</v>
      </c>
      <c r="L1043" t="b">
        <v>0</v>
      </c>
      <c r="M1043" t="b">
        <v>0</v>
      </c>
      <c r="N1043" t="inlineStr">
        <is>
          <t>alt</t>
        </is>
      </c>
      <c r="O1043" t="n">
        <v>60</v>
      </c>
      <c r="P1043" t="n">
        <v>0.0105</v>
      </c>
      <c r="Q1043" t="n">
        <v>50</v>
      </c>
      <c r="R1043" t="n">
        <v>0.015045</v>
      </c>
      <c r="S1043">
        <f>IMAGE("https://mitra.stanford.edu/kundaje/oak/projects/neuro-variants/variant_position/credible/roussos_2024/variant_figures/roussos_2024.adolescence.GLU/rs71428219_count_position.png",4,220,900)</f>
        <v/>
      </c>
      <c r="T1043">
        <f>IMAGE("https://mitra.stanford.edu/kundaje/oak/projects/neuro-variants/variant_position/credible/roussos_2024/variant_figures/roussos_2024.adolescence.GLU/rs71428219_profile_position.png",4,220,900)</f>
        <v/>
      </c>
    </row>
    <row r="1044">
      <c r="A1044" t="inlineStr">
        <is>
          <t>chr13</t>
        </is>
      </c>
      <c r="B1044" t="n">
        <v>56439331</v>
      </c>
      <c r="C1044" t="inlineStr">
        <is>
          <t>C</t>
        </is>
      </c>
      <c r="D1044" t="inlineStr">
        <is>
          <t>T</t>
        </is>
      </c>
      <c r="E1044" t="inlineStr">
        <is>
          <t>rs9597412</t>
        </is>
      </c>
      <c r="F1044" t="n">
        <v>-0.004093344992</v>
      </c>
      <c r="G1044" t="n">
        <v>0.770958546388085</v>
      </c>
      <c r="H1044" t="n">
        <v>0.0196401264325111</v>
      </c>
      <c r="I1044" t="n">
        <v>0.0633681580450034</v>
      </c>
      <c r="J1044" t="n">
        <v>0.0012345414407269</v>
      </c>
      <c r="K1044" t="n">
        <v>0.966711689435037</v>
      </c>
      <c r="L1044" t="b">
        <v>0</v>
      </c>
      <c r="M1044" t="b">
        <v>0</v>
      </c>
      <c r="N1044" t="inlineStr">
        <is>
          <t>ref</t>
        </is>
      </c>
      <c r="O1044" t="n">
        <v>95</v>
      </c>
      <c r="P1044" t="n">
        <v>0.007675</v>
      </c>
      <c r="Q1044" t="n">
        <v>-60</v>
      </c>
      <c r="R1044" t="n">
        <v>0.02094</v>
      </c>
      <c r="S1044">
        <f>IMAGE("https://mitra.stanford.edu/kundaje/oak/projects/neuro-variants/variant_position/credible/roussos_2024/variant_figures/roussos_2024.adolescence.GLU/rs9597412_count_position.png",4,220,900)</f>
        <v/>
      </c>
      <c r="T1044">
        <f>IMAGE("https://mitra.stanford.edu/kundaje/oak/projects/neuro-variants/variant_position/credible/roussos_2024/variant_figures/roussos_2024.adolescence.GLU/rs9597412_profile_position.png",4,220,900)</f>
        <v/>
      </c>
    </row>
    <row r="1045">
      <c r="A1045" t="inlineStr">
        <is>
          <t>chr13</t>
        </is>
      </c>
      <c r="B1045" t="n">
        <v>56461901</v>
      </c>
      <c r="C1045" t="inlineStr">
        <is>
          <t>G</t>
        </is>
      </c>
      <c r="D1045" t="inlineStr">
        <is>
          <t>T</t>
        </is>
      </c>
      <c r="E1045" t="inlineStr">
        <is>
          <t>rs12853934</t>
        </is>
      </c>
      <c r="F1045" t="n">
        <v>-0.0058661754599999</v>
      </c>
      <c r="G1045" t="n">
        <v>0.7098038896458427</v>
      </c>
      <c r="H1045" t="n">
        <v>0.0225279049888663</v>
      </c>
      <c r="I1045" t="n">
        <v>0.0339035357098984</v>
      </c>
      <c r="J1045" t="n">
        <v>0.0002629116031177</v>
      </c>
      <c r="K1045" t="n">
        <v>0.9885163710048596</v>
      </c>
      <c r="L1045" t="b">
        <v>0</v>
      </c>
      <c r="M1045" t="b">
        <v>0</v>
      </c>
      <c r="N1045" t="inlineStr">
        <is>
          <t>ref</t>
        </is>
      </c>
      <c r="O1045" t="n">
        <v>-100</v>
      </c>
      <c r="P1045" t="n">
        <v>0.010284</v>
      </c>
      <c r="Q1045" t="n">
        <v>10</v>
      </c>
      <c r="R1045" t="n">
        <v>0.00653</v>
      </c>
      <c r="S1045">
        <f>IMAGE("https://mitra.stanford.edu/kundaje/oak/projects/neuro-variants/variant_position/credible/roussos_2024/variant_figures/roussos_2024.adolescence.GLU/rs12853934_count_position.png",4,220,900)</f>
        <v/>
      </c>
      <c r="T1045">
        <f>IMAGE("https://mitra.stanford.edu/kundaje/oak/projects/neuro-variants/variant_position/credible/roussos_2024/variant_figures/roussos_2024.adolescence.GLU/rs12853934_profile_position.png",4,220,900)</f>
        <v/>
      </c>
    </row>
    <row r="1046">
      <c r="A1046" t="inlineStr">
        <is>
          <t>chr13</t>
        </is>
      </c>
      <c r="B1046" t="n">
        <v>56497855</v>
      </c>
      <c r="C1046" t="inlineStr">
        <is>
          <t>T</t>
        </is>
      </c>
      <c r="D1046" t="inlineStr">
        <is>
          <t>C</t>
        </is>
      </c>
      <c r="E1046" t="inlineStr">
        <is>
          <t>rs13378557</t>
        </is>
      </c>
      <c r="F1046" t="n">
        <v>-0.0158736901</v>
      </c>
      <c r="G1046" t="n">
        <v>0.3819123745633964</v>
      </c>
      <c r="H1046" t="n">
        <v>0.0182339770422759</v>
      </c>
      <c r="I1046" t="n">
        <v>0.0855307289386866</v>
      </c>
      <c r="J1046" t="n">
        <v>0.0757428324438633</v>
      </c>
      <c r="K1046" t="n">
        <v>0.63088573481441</v>
      </c>
      <c r="L1046" t="b">
        <v>0</v>
      </c>
      <c r="M1046" t="b">
        <v>0</v>
      </c>
      <c r="N1046" t="inlineStr">
        <is>
          <t>ref</t>
        </is>
      </c>
      <c r="O1046" t="n">
        <v>-100</v>
      </c>
      <c r="P1046" t="n">
        <v>0.005974</v>
      </c>
      <c r="Q1046" t="n">
        <v>-60</v>
      </c>
      <c r="R1046" t="n">
        <v>0.0349</v>
      </c>
      <c r="S1046">
        <f>IMAGE("https://mitra.stanford.edu/kundaje/oak/projects/neuro-variants/variant_position/credible/roussos_2024/variant_figures/roussos_2024.adolescence.GLU/rs13378557_count_position.png",4,220,900)</f>
        <v/>
      </c>
      <c r="T1046">
        <f>IMAGE("https://mitra.stanford.edu/kundaje/oak/projects/neuro-variants/variant_position/credible/roussos_2024/variant_figures/roussos_2024.adolescence.GLU/rs13378557_profile_position.png",4,220,900)</f>
        <v/>
      </c>
    </row>
    <row r="1047">
      <c r="A1047" t="inlineStr">
        <is>
          <t>chr13</t>
        </is>
      </c>
      <c r="B1047" t="n">
        <v>56500393</v>
      </c>
      <c r="C1047" t="inlineStr">
        <is>
          <t>A</t>
        </is>
      </c>
      <c r="D1047" t="inlineStr">
        <is>
          <t>T</t>
        </is>
      </c>
      <c r="E1047" t="inlineStr">
        <is>
          <t>rs12874445</t>
        </is>
      </c>
      <c r="F1047" t="n">
        <v>-0.00322547958</v>
      </c>
      <c r="G1047" t="n">
        <v>0.8384113505882869</v>
      </c>
      <c r="H1047" t="n">
        <v>0.0197002014394289</v>
      </c>
      <c r="I1047" t="n">
        <v>0.0607365939798831</v>
      </c>
      <c r="J1047" t="n">
        <v>0.0382464939165969</v>
      </c>
      <c r="K1047" t="n">
        <v>0.7435052362876351</v>
      </c>
      <c r="L1047" t="b">
        <v>0</v>
      </c>
      <c r="M1047" t="b">
        <v>0</v>
      </c>
      <c r="N1047" t="inlineStr">
        <is>
          <t>ref</t>
        </is>
      </c>
      <c r="O1047" t="n">
        <v>-100</v>
      </c>
      <c r="P1047" t="n">
        <v>0.005234</v>
      </c>
      <c r="Q1047" t="n">
        <v>5</v>
      </c>
      <c r="R1047" t="n">
        <v>0.005234</v>
      </c>
      <c r="S1047">
        <f>IMAGE("https://mitra.stanford.edu/kundaje/oak/projects/neuro-variants/variant_position/credible/roussos_2024/variant_figures/roussos_2024.adolescence.GLU/rs12874445_count_position.png",4,220,900)</f>
        <v/>
      </c>
      <c r="T1047">
        <f>IMAGE("https://mitra.stanford.edu/kundaje/oak/projects/neuro-variants/variant_position/credible/roussos_2024/variant_figures/roussos_2024.adolescence.GLU/rs12874445_profile_position.png",4,220,900)</f>
        <v/>
      </c>
    </row>
    <row r="1048">
      <c r="A1048" t="inlineStr">
        <is>
          <t>chr13</t>
        </is>
      </c>
      <c r="B1048" t="n">
        <v>56514323</v>
      </c>
      <c r="C1048" t="inlineStr">
        <is>
          <t>A</t>
        </is>
      </c>
      <c r="D1048" t="inlineStr">
        <is>
          <t>C</t>
        </is>
      </c>
      <c r="E1048" t="inlineStr">
        <is>
          <t>rs1341548</t>
        </is>
      </c>
      <c r="F1048" t="n">
        <v>-0.00039262444</v>
      </c>
      <c r="G1048" t="n">
        <v>0.8116029933199721</v>
      </c>
      <c r="H1048" t="n">
        <v>0.0245311023653146</v>
      </c>
      <c r="I1048" t="n">
        <v>0.0241720189439469</v>
      </c>
      <c r="J1048" t="n">
        <v>0.008225989669288499</v>
      </c>
      <c r="K1048" t="n">
        <v>0.8884924242420781</v>
      </c>
      <c r="L1048" t="b">
        <v>0</v>
      </c>
      <c r="M1048" t="b">
        <v>0</v>
      </c>
      <c r="N1048" t="inlineStr">
        <is>
          <t>ref</t>
        </is>
      </c>
      <c r="O1048" t="n">
        <v>-10</v>
      </c>
      <c r="P1048" t="n">
        <v>0.001427</v>
      </c>
      <c r="Q1048" t="n">
        <v>100</v>
      </c>
      <c r="R1048" t="n">
        <v>0.05545</v>
      </c>
      <c r="S1048">
        <f>IMAGE("https://mitra.stanford.edu/kundaje/oak/projects/neuro-variants/variant_position/credible/roussos_2024/variant_figures/roussos_2024.adolescence.GLU/rs1341548_count_position.png",4,220,900)</f>
        <v/>
      </c>
      <c r="T1048">
        <f>IMAGE("https://mitra.stanford.edu/kundaje/oak/projects/neuro-variants/variant_position/credible/roussos_2024/variant_figures/roussos_2024.adolescence.GLU/rs1341548_profile_position.png",4,220,900)</f>
        <v/>
      </c>
    </row>
    <row r="1049">
      <c r="A1049" t="inlineStr">
        <is>
          <t>chr13</t>
        </is>
      </c>
      <c r="B1049" t="n">
        <v>57898128</v>
      </c>
      <c r="C1049" t="inlineStr">
        <is>
          <t>A</t>
        </is>
      </c>
      <c r="D1049" t="inlineStr">
        <is>
          <t>C</t>
        </is>
      </c>
      <c r="E1049" t="inlineStr">
        <is>
          <t>rs34927497</t>
        </is>
      </c>
      <c r="F1049" t="n">
        <v>-0.0029431916199999</v>
      </c>
      <c r="G1049" t="n">
        <v>0.8125565991884093</v>
      </c>
      <c r="H1049" t="n">
        <v>0.0186603241709775</v>
      </c>
      <c r="I1049" t="n">
        <v>0.07323466468757441</v>
      </c>
      <c r="J1049" t="n">
        <v>0.001768937851412</v>
      </c>
      <c r="K1049" t="n">
        <v>0.9574181745779724</v>
      </c>
      <c r="L1049" t="b">
        <v>0</v>
      </c>
      <c r="M1049" t="b">
        <v>0</v>
      </c>
      <c r="N1049" t="inlineStr">
        <is>
          <t>ref</t>
        </is>
      </c>
      <c r="O1049" t="n">
        <v>-55</v>
      </c>
      <c r="P1049" t="n">
        <v>0.02203</v>
      </c>
      <c r="Q1049" t="n">
        <v>100</v>
      </c>
      <c r="R1049" t="n">
        <v>0.09279999999999999</v>
      </c>
      <c r="S1049">
        <f>IMAGE("https://mitra.stanford.edu/kundaje/oak/projects/neuro-variants/variant_position/credible/roussos_2024/variant_figures/roussos_2024.adolescence.GLU/rs34927497_count_position.png",4,220,900)</f>
        <v/>
      </c>
      <c r="T1049">
        <f>IMAGE("https://mitra.stanford.edu/kundaje/oak/projects/neuro-variants/variant_position/credible/roussos_2024/variant_figures/roussos_2024.adolescence.GLU/rs34927497_profile_position.png",4,220,900)</f>
        <v/>
      </c>
    </row>
    <row r="1050">
      <c r="A1050" t="inlineStr">
        <is>
          <t>chr13</t>
        </is>
      </c>
      <c r="B1050" t="n">
        <v>57972643</v>
      </c>
      <c r="C1050" t="inlineStr">
        <is>
          <t>A</t>
        </is>
      </c>
      <c r="D1050" t="inlineStr">
        <is>
          <t>G</t>
        </is>
      </c>
      <c r="E1050" t="inlineStr">
        <is>
          <t>rs9563564</t>
        </is>
      </c>
      <c r="F1050" t="n">
        <v>-0.01225493252</v>
      </c>
      <c r="G1050" t="n">
        <v>0.5098750521207925</v>
      </c>
      <c r="H1050" t="n">
        <v>0.0275883879677826</v>
      </c>
      <c r="I1050" t="n">
        <v>0.0128839203234262</v>
      </c>
      <c r="J1050" t="n">
        <v>0.2482985761336276</v>
      </c>
      <c r="K1050" t="n">
        <v>0.334877951053576</v>
      </c>
      <c r="L1050" t="b">
        <v>1</v>
      </c>
      <c r="M1050" t="b">
        <v>0</v>
      </c>
      <c r="N1050" t="inlineStr">
        <is>
          <t>ref</t>
        </is>
      </c>
      <c r="O1050" t="n">
        <v>-100</v>
      </c>
      <c r="P1050" t="n">
        <v>0.007614</v>
      </c>
      <c r="Q1050" t="n">
        <v>-85</v>
      </c>
      <c r="R1050" t="n">
        <v>0.1034</v>
      </c>
      <c r="S1050">
        <f>IMAGE("https://mitra.stanford.edu/kundaje/oak/projects/neuro-variants/variant_position/credible/roussos_2024/variant_figures/roussos_2024.adolescence.GLU/rs9563564_count_position.png",4,220,900)</f>
        <v/>
      </c>
      <c r="T1050">
        <f>IMAGE("https://mitra.stanford.edu/kundaje/oak/projects/neuro-variants/variant_position/credible/roussos_2024/variant_figures/roussos_2024.adolescence.GLU/rs9563564_profile_position.png",4,220,900)</f>
        <v/>
      </c>
    </row>
    <row r="1051">
      <c r="A1051" t="inlineStr">
        <is>
          <t>chr13</t>
        </is>
      </c>
      <c r="B1051" t="n">
        <v>57978174</v>
      </c>
      <c r="C1051" t="inlineStr">
        <is>
          <t>A</t>
        </is>
      </c>
      <c r="D1051" t="inlineStr">
        <is>
          <t>G</t>
        </is>
      </c>
      <c r="E1051" t="inlineStr">
        <is>
          <t>rs9569791</t>
        </is>
      </c>
      <c r="F1051" t="n">
        <v>0.0068090083</v>
      </c>
      <c r="G1051" t="n">
        <v>0.6219323794610886</v>
      </c>
      <c r="H1051" t="n">
        <v>0.0116697392745415</v>
      </c>
      <c r="I1051" t="n">
        <v>0.3663758147503773</v>
      </c>
      <c r="J1051" t="n">
        <v>0.0109536975516356</v>
      </c>
      <c r="K1051" t="n">
        <v>0.8797823036235722</v>
      </c>
      <c r="L1051" t="b">
        <v>0</v>
      </c>
      <c r="M1051" t="b">
        <v>0</v>
      </c>
      <c r="N1051" t="inlineStr">
        <is>
          <t>alt</t>
        </is>
      </c>
      <c r="O1051" t="n">
        <v>-100</v>
      </c>
      <c r="P1051" t="n">
        <v>0.006504</v>
      </c>
      <c r="Q1051" t="n">
        <v>40</v>
      </c>
      <c r="R1051" t="n">
        <v>0.04034</v>
      </c>
      <c r="S1051">
        <f>IMAGE("https://mitra.stanford.edu/kundaje/oak/projects/neuro-variants/variant_position/credible/roussos_2024/variant_figures/roussos_2024.adolescence.GLU/rs9569791_count_position.png",4,220,900)</f>
        <v/>
      </c>
      <c r="T1051">
        <f>IMAGE("https://mitra.stanford.edu/kundaje/oak/projects/neuro-variants/variant_position/credible/roussos_2024/variant_figures/roussos_2024.adolescence.GLU/rs9569791_profile_position.png",4,220,900)</f>
        <v/>
      </c>
    </row>
    <row r="1052">
      <c r="A1052" t="inlineStr">
        <is>
          <t>chr13</t>
        </is>
      </c>
      <c r="B1052" t="n">
        <v>57983580</v>
      </c>
      <c r="C1052" t="inlineStr">
        <is>
          <t>G</t>
        </is>
      </c>
      <c r="D1052" t="inlineStr">
        <is>
          <t>A</t>
        </is>
      </c>
      <c r="E1052" t="inlineStr">
        <is>
          <t>rs9569794</t>
        </is>
      </c>
      <c r="F1052" t="n">
        <v>-0.0893447753999999</v>
      </c>
      <c r="G1052" t="n">
        <v>0.0198942544817733</v>
      </c>
      <c r="H1052" t="n">
        <v>0.0183917439730439</v>
      </c>
      <c r="I1052" t="n">
        <v>0.0991610855983286</v>
      </c>
      <c r="J1052" t="n">
        <v>0.0066013674261096</v>
      </c>
      <c r="K1052" t="n">
        <v>0.9086606273249282</v>
      </c>
      <c r="L1052" t="b">
        <v>1</v>
      </c>
      <c r="M1052" t="b">
        <v>0</v>
      </c>
      <c r="N1052" t="inlineStr">
        <is>
          <t>ref</t>
        </is>
      </c>
      <c r="O1052" t="n">
        <v>100</v>
      </c>
      <c r="P1052" t="n">
        <v>0.02486</v>
      </c>
      <c r="Q1052" t="n">
        <v>-45</v>
      </c>
      <c r="R1052" t="n">
        <v>0.0163</v>
      </c>
      <c r="S1052">
        <f>IMAGE("https://mitra.stanford.edu/kundaje/oak/projects/neuro-variants/variant_position/credible/roussos_2024/variant_figures/roussos_2024.adolescence.GLU/rs9569794_count_position.png",4,220,900)</f>
        <v/>
      </c>
      <c r="T1052">
        <f>IMAGE("https://mitra.stanford.edu/kundaje/oak/projects/neuro-variants/variant_position/credible/roussos_2024/variant_figures/roussos_2024.adolescence.GLU/rs9569794_profile_position.png",4,220,900)</f>
        <v/>
      </c>
    </row>
    <row r="1053">
      <c r="A1053" t="inlineStr">
        <is>
          <t>chr13</t>
        </is>
      </c>
      <c r="B1053" t="n">
        <v>58011963</v>
      </c>
      <c r="C1053" t="inlineStr">
        <is>
          <t>G</t>
        </is>
      </c>
      <c r="D1053" t="inlineStr">
        <is>
          <t>T</t>
        </is>
      </c>
      <c r="E1053" t="inlineStr">
        <is>
          <t>rs9316967</t>
        </is>
      </c>
      <c r="F1053" t="n">
        <v>-0.0176517428</v>
      </c>
      <c r="G1053" t="n">
        <v>0.3591368677942996</v>
      </c>
      <c r="H1053" t="n">
        <v>0.0123564052424293</v>
      </c>
      <c r="I1053" t="n">
        <v>0.3289043480562144</v>
      </c>
      <c r="J1053" t="n">
        <v>0.0546427474262525</v>
      </c>
      <c r="K1053" t="n">
        <v>0.6845328457582279</v>
      </c>
      <c r="L1053" t="b">
        <v>0</v>
      </c>
      <c r="M1053" t="b">
        <v>0</v>
      </c>
      <c r="N1053" t="inlineStr">
        <is>
          <t>ref</t>
        </is>
      </c>
      <c r="O1053" t="n">
        <v>50</v>
      </c>
      <c r="P1053" t="n">
        <v>0.0029</v>
      </c>
      <c r="Q1053" t="n">
        <v>-55</v>
      </c>
      <c r="R1053" t="n">
        <v>0.01819</v>
      </c>
      <c r="S1053">
        <f>IMAGE("https://mitra.stanford.edu/kundaje/oak/projects/neuro-variants/variant_position/credible/roussos_2024/variant_figures/roussos_2024.adolescence.GLU/rs9316967_count_position.png",4,220,900)</f>
        <v/>
      </c>
      <c r="T1053">
        <f>IMAGE("https://mitra.stanford.edu/kundaje/oak/projects/neuro-variants/variant_position/credible/roussos_2024/variant_figures/roussos_2024.adolescence.GLU/rs9316967_profile_position.png",4,220,900)</f>
        <v/>
      </c>
    </row>
    <row r="1054">
      <c r="A1054" t="inlineStr">
        <is>
          <t>chr13</t>
        </is>
      </c>
      <c r="B1054" t="n">
        <v>58042891</v>
      </c>
      <c r="C1054" t="inlineStr">
        <is>
          <t>A</t>
        </is>
      </c>
      <c r="D1054" t="inlineStr">
        <is>
          <t>G</t>
        </is>
      </c>
      <c r="E1054" t="inlineStr">
        <is>
          <t>rs9634882</t>
        </is>
      </c>
      <c r="F1054" t="n">
        <v>0.06601998520000001</v>
      </c>
      <c r="G1054" t="n">
        <v>0.0328707952088606</v>
      </c>
      <c r="H1054" t="n">
        <v>0.0197011091413214</v>
      </c>
      <c r="I1054" t="n">
        <v>0.0579643304219558</v>
      </c>
      <c r="J1054" t="n">
        <v>0.0404326610512177</v>
      </c>
      <c r="K1054" t="n">
        <v>0.7323167964946168</v>
      </c>
      <c r="L1054" t="b">
        <v>0</v>
      </c>
      <c r="M1054" t="b">
        <v>0</v>
      </c>
      <c r="N1054" t="inlineStr">
        <is>
          <t>alt</t>
        </is>
      </c>
      <c r="O1054" t="n">
        <v>-25</v>
      </c>
      <c r="P1054" t="n">
        <v>0.003265</v>
      </c>
      <c r="Q1054" t="n">
        <v>100</v>
      </c>
      <c r="R1054" t="n">
        <v>0.009155</v>
      </c>
      <c r="S1054">
        <f>IMAGE("https://mitra.stanford.edu/kundaje/oak/projects/neuro-variants/variant_position/credible/roussos_2024/variant_figures/roussos_2024.adolescence.GLU/rs9634882_count_position.png",4,220,900)</f>
        <v/>
      </c>
      <c r="T1054">
        <f>IMAGE("https://mitra.stanford.edu/kundaje/oak/projects/neuro-variants/variant_position/credible/roussos_2024/variant_figures/roussos_2024.adolescence.GLU/rs9634882_profile_position.png",4,220,900)</f>
        <v/>
      </c>
    </row>
    <row r="1055">
      <c r="A1055" t="inlineStr">
        <is>
          <t>chr13</t>
        </is>
      </c>
      <c r="B1055" t="n">
        <v>58052335</v>
      </c>
      <c r="C1055" t="inlineStr">
        <is>
          <t>A</t>
        </is>
      </c>
      <c r="D1055" t="inlineStr">
        <is>
          <t>G</t>
        </is>
      </c>
      <c r="E1055" t="inlineStr">
        <is>
          <t>rs11148423</t>
        </is>
      </c>
      <c r="F1055" t="n">
        <v>0.204282106</v>
      </c>
      <c r="G1055" t="n">
        <v>0.000784804331785</v>
      </c>
      <c r="H1055" t="n">
        <v>0.0459154176786893</v>
      </c>
      <c r="I1055" t="n">
        <v>0.0020544623098134</v>
      </c>
      <c r="J1055" t="n">
        <v>0.3701852526594794</v>
      </c>
      <c r="K1055" t="n">
        <v>0.1963084643732406</v>
      </c>
      <c r="L1055" t="b">
        <v>1</v>
      </c>
      <c r="M1055" t="b">
        <v>1</v>
      </c>
      <c r="N1055" t="inlineStr">
        <is>
          <t>alt</t>
        </is>
      </c>
      <c r="O1055" t="n">
        <v>95</v>
      </c>
      <c r="P1055" t="n">
        <v>0.006565</v>
      </c>
      <c r="Q1055" t="n">
        <v>-30</v>
      </c>
      <c r="R1055" t="n">
        <v>0.03564</v>
      </c>
      <c r="S1055">
        <f>IMAGE("https://mitra.stanford.edu/kundaje/oak/projects/neuro-variants/variant_position/credible/roussos_2024/variant_figures/roussos_2024.adolescence.GLU/rs11148423_count_position.png",4,220,900)</f>
        <v/>
      </c>
      <c r="T1055">
        <f>IMAGE("https://mitra.stanford.edu/kundaje/oak/projects/neuro-variants/variant_position/credible/roussos_2024/variant_figures/roussos_2024.adolescence.GLU/rs11148423_profile_position.png",4,220,900)</f>
        <v/>
      </c>
    </row>
    <row r="1056">
      <c r="A1056" t="inlineStr">
        <is>
          <t>chr13</t>
        </is>
      </c>
      <c r="B1056" t="n">
        <v>58057801</v>
      </c>
      <c r="C1056" t="inlineStr">
        <is>
          <t>T</t>
        </is>
      </c>
      <c r="D1056" t="inlineStr">
        <is>
          <t>C</t>
        </is>
      </c>
      <c r="E1056" t="inlineStr">
        <is>
          <t>rs7998206</t>
        </is>
      </c>
      <c r="F1056" t="n">
        <v>-0.028573618</v>
      </c>
      <c r="G1056" t="n">
        <v>0.2011578020426469</v>
      </c>
      <c r="H1056" t="n">
        <v>0.0227852774831966</v>
      </c>
      <c r="I1056" t="n">
        <v>0.0395639355161125</v>
      </c>
      <c r="J1056" t="n">
        <v>0.006741396432118</v>
      </c>
      <c r="K1056" t="n">
        <v>0.9037560294023584</v>
      </c>
      <c r="L1056" t="b">
        <v>0</v>
      </c>
      <c r="M1056" t="b">
        <v>0</v>
      </c>
      <c r="N1056" t="inlineStr">
        <is>
          <t>ref</t>
        </is>
      </c>
      <c r="O1056" t="n">
        <v>-55</v>
      </c>
      <c r="P1056" t="n">
        <v>0.002777</v>
      </c>
      <c r="Q1056" t="n">
        <v>70</v>
      </c>
      <c r="R1056" t="n">
        <v>0.02496</v>
      </c>
      <c r="S1056">
        <f>IMAGE("https://mitra.stanford.edu/kundaje/oak/projects/neuro-variants/variant_position/credible/roussos_2024/variant_figures/roussos_2024.adolescence.GLU/rs7998206_count_position.png",4,220,900)</f>
        <v/>
      </c>
      <c r="T1056">
        <f>IMAGE("https://mitra.stanford.edu/kundaje/oak/projects/neuro-variants/variant_position/credible/roussos_2024/variant_figures/roussos_2024.adolescence.GLU/rs7998206_profile_position.png",4,220,900)</f>
        <v/>
      </c>
    </row>
    <row r="1057">
      <c r="A1057" t="inlineStr">
        <is>
          <t>chr13</t>
        </is>
      </c>
      <c r="B1057" t="n">
        <v>58082465</v>
      </c>
      <c r="C1057" t="inlineStr">
        <is>
          <t>T</t>
        </is>
      </c>
      <c r="D1057" t="inlineStr">
        <is>
          <t>C</t>
        </is>
      </c>
      <c r="E1057" t="inlineStr">
        <is>
          <t>rs9563574</t>
        </is>
      </c>
      <c r="F1057" t="n">
        <v>0.050356505</v>
      </c>
      <c r="G1057" t="n">
        <v>0.0565213912713016</v>
      </c>
      <c r="H1057" t="n">
        <v>0.009294977981465599</v>
      </c>
      <c r="I1057" t="n">
        <v>0.6079140422738629</v>
      </c>
      <c r="J1057" t="n">
        <v>0.0203813647112615</v>
      </c>
      <c r="K1057" t="n">
        <v>0.819479949059601</v>
      </c>
      <c r="L1057" t="b">
        <v>0</v>
      </c>
      <c r="M1057" t="b">
        <v>0</v>
      </c>
      <c r="N1057" t="inlineStr">
        <is>
          <t>alt</t>
        </is>
      </c>
      <c r="O1057" t="n">
        <v>25</v>
      </c>
      <c r="P1057" t="n">
        <v>0.003069</v>
      </c>
      <c r="Q1057" t="n">
        <v>-10</v>
      </c>
      <c r="R1057" t="n">
        <v>0.01315</v>
      </c>
      <c r="S1057">
        <f>IMAGE("https://mitra.stanford.edu/kundaje/oak/projects/neuro-variants/variant_position/credible/roussos_2024/variant_figures/roussos_2024.adolescence.GLU/rs9563574_count_position.png",4,220,900)</f>
        <v/>
      </c>
      <c r="T1057">
        <f>IMAGE("https://mitra.stanford.edu/kundaje/oak/projects/neuro-variants/variant_position/credible/roussos_2024/variant_figures/roussos_2024.adolescence.GLU/rs9563574_profile_position.png",4,220,900)</f>
        <v/>
      </c>
    </row>
    <row r="1058">
      <c r="A1058" t="inlineStr">
        <is>
          <t>chr13</t>
        </is>
      </c>
      <c r="B1058" t="n">
        <v>58092895</v>
      </c>
      <c r="C1058" t="inlineStr">
        <is>
          <t>A</t>
        </is>
      </c>
      <c r="D1058" t="inlineStr">
        <is>
          <t>C</t>
        </is>
      </c>
      <c r="E1058" t="inlineStr">
        <is>
          <t>rs9569815</t>
        </is>
      </c>
      <c r="F1058" t="n">
        <v>-0.0116527466</v>
      </c>
      <c r="G1058" t="n">
        <v>0.4697058024443858</v>
      </c>
      <c r="H1058" t="n">
        <v>0.0357655094388209</v>
      </c>
      <c r="I1058" t="n">
        <v>0.0039014276138611</v>
      </c>
      <c r="J1058" t="n">
        <v>0.0177651084867579</v>
      </c>
      <c r="K1058" t="n">
        <v>0.8337843362548688</v>
      </c>
      <c r="L1058" t="b">
        <v>1</v>
      </c>
      <c r="M1058" t="b">
        <v>0</v>
      </c>
      <c r="N1058" t="inlineStr">
        <is>
          <t>ref</t>
        </is>
      </c>
      <c r="O1058" t="n">
        <v>60</v>
      </c>
      <c r="P1058" t="n">
        <v>0.002987</v>
      </c>
      <c r="Q1058" t="n">
        <v>40</v>
      </c>
      <c r="R1058" t="n">
        <v>0.02472</v>
      </c>
      <c r="S1058">
        <f>IMAGE("https://mitra.stanford.edu/kundaje/oak/projects/neuro-variants/variant_position/credible/roussos_2024/variant_figures/roussos_2024.adolescence.GLU/rs9569815_count_position.png",4,220,900)</f>
        <v/>
      </c>
      <c r="T1058">
        <f>IMAGE("https://mitra.stanford.edu/kundaje/oak/projects/neuro-variants/variant_position/credible/roussos_2024/variant_figures/roussos_2024.adolescence.GLU/rs9569815_profile_position.png",4,220,900)</f>
        <v/>
      </c>
    </row>
    <row r="1059">
      <c r="A1059" t="inlineStr">
        <is>
          <t>chr13</t>
        </is>
      </c>
      <c r="B1059" t="n">
        <v>58103245</v>
      </c>
      <c r="C1059" t="inlineStr">
        <is>
          <t>T</t>
        </is>
      </c>
      <c r="D1059" t="inlineStr">
        <is>
          <t>C</t>
        </is>
      </c>
      <c r="E1059" t="inlineStr">
        <is>
          <t>rs34723208</t>
        </is>
      </c>
      <c r="F1059" t="n">
        <v>-0.0032502490339999</v>
      </c>
      <c r="G1059" t="n">
        <v>0.7377703610916041</v>
      </c>
      <c r="H1059" t="n">
        <v>0.022512763704165</v>
      </c>
      <c r="I1059" t="n">
        <v>0.0331130105720683</v>
      </c>
      <c r="J1059" t="n">
        <v>0.0277271720570689</v>
      </c>
      <c r="K1059" t="n">
        <v>0.7797739673322558</v>
      </c>
      <c r="L1059" t="b">
        <v>0</v>
      </c>
      <c r="M1059" t="b">
        <v>0</v>
      </c>
      <c r="N1059" t="inlineStr">
        <is>
          <t>ref</t>
        </is>
      </c>
      <c r="O1059" t="n">
        <v>100</v>
      </c>
      <c r="P1059" t="n">
        <v>0.00783</v>
      </c>
      <c r="Q1059" t="n">
        <v>80</v>
      </c>
      <c r="R1059" t="n">
        <v>0.02422</v>
      </c>
      <c r="S1059">
        <f>IMAGE("https://mitra.stanford.edu/kundaje/oak/projects/neuro-variants/variant_position/credible/roussos_2024/variant_figures/roussos_2024.adolescence.GLU/rs34723208_count_position.png",4,220,900)</f>
        <v/>
      </c>
      <c r="T1059">
        <f>IMAGE("https://mitra.stanford.edu/kundaje/oak/projects/neuro-variants/variant_position/credible/roussos_2024/variant_figures/roussos_2024.adolescence.GLU/rs34723208_profile_position.png",4,220,900)</f>
        <v/>
      </c>
    </row>
    <row r="1060">
      <c r="A1060" t="inlineStr">
        <is>
          <t>chr13</t>
        </is>
      </c>
      <c r="B1060" t="n">
        <v>58108334</v>
      </c>
      <c r="C1060" t="inlineStr">
        <is>
          <t>A</t>
        </is>
      </c>
      <c r="D1060" t="inlineStr">
        <is>
          <t>C</t>
        </is>
      </c>
      <c r="E1060" t="inlineStr">
        <is>
          <t>rs7989885</t>
        </is>
      </c>
      <c r="F1060" t="n">
        <v>0.00518822302</v>
      </c>
      <c r="G1060" t="n">
        <v>0.7001663514283895</v>
      </c>
      <c r="H1060" t="n">
        <v>0.0163453979997421</v>
      </c>
      <c r="I1060" t="n">
        <v>0.1235269952891164</v>
      </c>
      <c r="J1060" t="n">
        <v>0.0411185174071771</v>
      </c>
      <c r="K1060" t="n">
        <v>0.7299948339968186</v>
      </c>
      <c r="L1060" t="b">
        <v>0</v>
      </c>
      <c r="M1060" t="b">
        <v>0</v>
      </c>
      <c r="N1060" t="inlineStr">
        <is>
          <t>alt</t>
        </is>
      </c>
      <c r="O1060" t="n">
        <v>70</v>
      </c>
      <c r="P1060" t="n">
        <v>0.004562</v>
      </c>
      <c r="Q1060" t="n">
        <v>-50</v>
      </c>
      <c r="R1060" t="n">
        <v>0.07539999999999999</v>
      </c>
      <c r="S1060">
        <f>IMAGE("https://mitra.stanford.edu/kundaje/oak/projects/neuro-variants/variant_position/credible/roussos_2024/variant_figures/roussos_2024.adolescence.GLU/rs7989885_count_position.png",4,220,900)</f>
        <v/>
      </c>
      <c r="T1060">
        <f>IMAGE("https://mitra.stanford.edu/kundaje/oak/projects/neuro-variants/variant_position/credible/roussos_2024/variant_figures/roussos_2024.adolescence.GLU/rs7989885_profile_position.png",4,220,900)</f>
        <v/>
      </c>
    </row>
    <row r="1061">
      <c r="A1061" t="inlineStr">
        <is>
          <t>chr13</t>
        </is>
      </c>
      <c r="B1061" t="n">
        <v>58166221</v>
      </c>
      <c r="C1061" t="inlineStr">
        <is>
          <t>A</t>
        </is>
      </c>
      <c r="D1061" t="inlineStr">
        <is>
          <t>C</t>
        </is>
      </c>
      <c r="E1061" t="inlineStr">
        <is>
          <t>rs4886061</t>
        </is>
      </c>
      <c r="F1061" t="n">
        <v>-0.00801198094</v>
      </c>
      <c r="G1061" t="n">
        <v>0.6245299172012092</v>
      </c>
      <c r="H1061" t="n">
        <v>0.0245231682999249</v>
      </c>
      <c r="I1061" t="n">
        <v>0.0211733370616265</v>
      </c>
      <c r="J1061" t="n">
        <v>0.1384958312793363</v>
      </c>
      <c r="K1061" t="n">
        <v>0.487894293819168</v>
      </c>
      <c r="L1061" t="b">
        <v>0</v>
      </c>
      <c r="M1061" t="b">
        <v>0</v>
      </c>
      <c r="N1061" t="inlineStr">
        <is>
          <t>ref</t>
        </is>
      </c>
      <c r="O1061" t="n">
        <v>-100</v>
      </c>
      <c r="P1061" t="n">
        <v>0.02121</v>
      </c>
      <c r="Q1061" t="n">
        <v>-10</v>
      </c>
      <c r="R1061" t="n">
        <v>0.00531</v>
      </c>
      <c r="S1061">
        <f>IMAGE("https://mitra.stanford.edu/kundaje/oak/projects/neuro-variants/variant_position/credible/roussos_2024/variant_figures/roussos_2024.adolescence.GLU/rs4886061_count_position.png",4,220,900)</f>
        <v/>
      </c>
      <c r="T1061">
        <f>IMAGE("https://mitra.stanford.edu/kundaje/oak/projects/neuro-variants/variant_position/credible/roussos_2024/variant_figures/roussos_2024.adolescence.GLU/rs4886061_profile_position.png",4,220,900)</f>
        <v/>
      </c>
    </row>
    <row r="1062">
      <c r="A1062" t="inlineStr">
        <is>
          <t>chr13</t>
        </is>
      </c>
      <c r="B1062" t="n">
        <v>58166222</v>
      </c>
      <c r="C1062" t="inlineStr">
        <is>
          <t>A</t>
        </is>
      </c>
      <c r="D1062" t="inlineStr">
        <is>
          <t>C</t>
        </is>
      </c>
      <c r="E1062" t="inlineStr">
        <is>
          <t>rs66514580</t>
        </is>
      </c>
      <c r="F1062" t="n">
        <v>-0.0061796536799999</v>
      </c>
      <c r="G1062" t="n">
        <v>0.600745835194199</v>
      </c>
      <c r="H1062" t="n">
        <v>0.0210889494183373</v>
      </c>
      <c r="I1062" t="n">
        <v>0.0441136643728073</v>
      </c>
      <c r="J1062" t="n">
        <v>0.1387644583520872</v>
      </c>
      <c r="K1062" t="n">
        <v>0.4872884975306917</v>
      </c>
      <c r="L1062" t="b">
        <v>0</v>
      </c>
      <c r="M1062" t="b">
        <v>0</v>
      </c>
      <c r="N1062" t="inlineStr">
        <is>
          <t>ref</t>
        </is>
      </c>
      <c r="O1062" t="n">
        <v>-100</v>
      </c>
      <c r="P1062" t="n">
        <v>0.02026</v>
      </c>
      <c r="Q1062" t="n">
        <v>-10</v>
      </c>
      <c r="R1062" t="n">
        <v>0.00421</v>
      </c>
      <c r="S1062">
        <f>IMAGE("https://mitra.stanford.edu/kundaje/oak/projects/neuro-variants/variant_position/credible/roussos_2024/variant_figures/roussos_2024.adolescence.GLU/rs66514580_count_position.png",4,220,900)</f>
        <v/>
      </c>
      <c r="T1062">
        <f>IMAGE("https://mitra.stanford.edu/kundaje/oak/projects/neuro-variants/variant_position/credible/roussos_2024/variant_figures/roussos_2024.adolescence.GLU/rs66514580_profile_position.png",4,220,900)</f>
        <v/>
      </c>
    </row>
    <row r="1063">
      <c r="A1063" t="inlineStr">
        <is>
          <t>chr13</t>
        </is>
      </c>
      <c r="B1063" t="n">
        <v>58246923</v>
      </c>
      <c r="C1063" t="inlineStr">
        <is>
          <t>T</t>
        </is>
      </c>
      <c r="D1063" t="inlineStr">
        <is>
          <t>G</t>
        </is>
      </c>
      <c r="E1063" t="inlineStr">
        <is>
          <t>rs4884299</t>
        </is>
      </c>
      <c r="F1063" t="n">
        <v>0.01080431952</v>
      </c>
      <c r="G1063" t="n">
        <v>0.4848266126332008</v>
      </c>
      <c r="H1063" t="n">
        <v>0.0165352246447485</v>
      </c>
      <c r="I1063" t="n">
        <v>0.1136962408086183</v>
      </c>
      <c r="J1063" t="n">
        <v>0.0025290953126004</v>
      </c>
      <c r="K1063" t="n">
        <v>0.9498334690256376</v>
      </c>
      <c r="L1063" t="b">
        <v>0</v>
      </c>
      <c r="M1063" t="b">
        <v>0</v>
      </c>
      <c r="N1063" t="inlineStr">
        <is>
          <t>alt</t>
        </is>
      </c>
      <c r="O1063" t="n">
        <v>100</v>
      </c>
      <c r="P1063" t="n">
        <v>0.001957</v>
      </c>
      <c r="Q1063" t="n">
        <v>100</v>
      </c>
      <c r="R1063" t="n">
        <v>0.0819</v>
      </c>
      <c r="S1063">
        <f>IMAGE("https://mitra.stanford.edu/kundaje/oak/projects/neuro-variants/variant_position/credible/roussos_2024/variant_figures/roussos_2024.adolescence.GLU/rs4884299_count_position.png",4,220,900)</f>
        <v/>
      </c>
      <c r="T1063">
        <f>IMAGE("https://mitra.stanford.edu/kundaje/oak/projects/neuro-variants/variant_position/credible/roussos_2024/variant_figures/roussos_2024.adolescence.GLU/rs4884299_profile_position.png",4,220,900)</f>
        <v/>
      </c>
    </row>
    <row r="1064">
      <c r="A1064" t="inlineStr">
        <is>
          <t>chr13</t>
        </is>
      </c>
      <c r="B1064" t="n">
        <v>58277448</v>
      </c>
      <c r="C1064" t="inlineStr">
        <is>
          <t>C</t>
        </is>
      </c>
      <c r="D1064" t="inlineStr">
        <is>
          <t>T</t>
        </is>
      </c>
      <c r="E1064" t="inlineStr">
        <is>
          <t>rs56313517</t>
        </is>
      </c>
      <c r="F1064" t="n">
        <v>-0.0372914258</v>
      </c>
      <c r="G1064" t="n">
        <v>0.1291775761973302</v>
      </c>
      <c r="H1064" t="n">
        <v>0.0113156818853833</v>
      </c>
      <c r="I1064" t="n">
        <v>0.3958159104943912</v>
      </c>
      <c r="J1064" t="n">
        <v>0.15946303162798</v>
      </c>
      <c r="K1064" t="n">
        <v>0.4696508988692551</v>
      </c>
      <c r="L1064" t="b">
        <v>0</v>
      </c>
      <c r="M1064" t="b">
        <v>0</v>
      </c>
      <c r="N1064" t="inlineStr">
        <is>
          <t>ref</t>
        </is>
      </c>
      <c r="O1064" t="n">
        <v>-20</v>
      </c>
      <c r="P1064" t="n">
        <v>0.001636</v>
      </c>
      <c r="Q1064" t="n">
        <v>-5</v>
      </c>
      <c r="R1064" t="n">
        <v>0.010254</v>
      </c>
      <c r="S1064">
        <f>IMAGE("https://mitra.stanford.edu/kundaje/oak/projects/neuro-variants/variant_position/credible/roussos_2024/variant_figures/roussos_2024.adolescence.GLU/rs56313517_count_position.png",4,220,900)</f>
        <v/>
      </c>
      <c r="T1064">
        <f>IMAGE("https://mitra.stanford.edu/kundaje/oak/projects/neuro-variants/variant_position/credible/roussos_2024/variant_figures/roussos_2024.adolescence.GLU/rs56313517_profile_position.png",4,220,900)</f>
        <v/>
      </c>
    </row>
    <row r="1065">
      <c r="A1065" t="inlineStr">
        <is>
          <t>chr13</t>
        </is>
      </c>
      <c r="B1065" t="n">
        <v>65885897</v>
      </c>
      <c r="C1065" t="inlineStr">
        <is>
          <t>C</t>
        </is>
      </c>
      <c r="D1065" t="inlineStr">
        <is>
          <t>T</t>
        </is>
      </c>
      <c r="E1065" t="inlineStr">
        <is>
          <t>rs9571511</t>
        </is>
      </c>
      <c r="F1065" t="n">
        <v>0.0270126588</v>
      </c>
      <c r="G1065" t="n">
        <v>0.1941906826415655</v>
      </c>
      <c r="H1065" t="n">
        <v>0.0203967358533395</v>
      </c>
      <c r="I1065" t="n">
        <v>0.0536928320782098</v>
      </c>
      <c r="J1065" t="n">
        <v>0.0064984889727157</v>
      </c>
      <c r="K1065" t="n">
        <v>0.9095406974294156</v>
      </c>
      <c r="L1065" t="b">
        <v>0</v>
      </c>
      <c r="M1065" t="b">
        <v>0</v>
      </c>
      <c r="N1065" t="inlineStr">
        <is>
          <t>alt</t>
        </is>
      </c>
      <c r="O1065" t="n">
        <v>40</v>
      </c>
      <c r="P1065" t="n">
        <v>0.001297</v>
      </c>
      <c r="Q1065" t="n">
        <v>-55</v>
      </c>
      <c r="R1065" t="n">
        <v>0.01938</v>
      </c>
      <c r="S1065">
        <f>IMAGE("https://mitra.stanford.edu/kundaje/oak/projects/neuro-variants/variant_position/credible/roussos_2024/variant_figures/roussos_2024.adolescence.GLU/rs9571511_count_position.png",4,220,900)</f>
        <v/>
      </c>
      <c r="T1065">
        <f>IMAGE("https://mitra.stanford.edu/kundaje/oak/projects/neuro-variants/variant_position/credible/roussos_2024/variant_figures/roussos_2024.adolescence.GLU/rs9571511_profile_position.png",4,220,900)</f>
        <v/>
      </c>
    </row>
    <row r="1066">
      <c r="A1066" t="inlineStr">
        <is>
          <t>chr13</t>
        </is>
      </c>
      <c r="B1066" t="n">
        <v>79285321</v>
      </c>
      <c r="C1066" t="inlineStr">
        <is>
          <t>A</t>
        </is>
      </c>
      <c r="D1066" t="inlineStr">
        <is>
          <t>C</t>
        </is>
      </c>
      <c r="E1066" t="inlineStr">
        <is>
          <t>rs9545047</t>
        </is>
      </c>
      <c r="F1066" t="n">
        <v>0.0090803061999999</v>
      </c>
      <c r="G1066" t="n">
        <v>0.5356588136002447</v>
      </c>
      <c r="H1066" t="n">
        <v>0.009292501736248701</v>
      </c>
      <c r="I1066" t="n">
        <v>0.6090953164457347</v>
      </c>
      <c r="J1066" t="n">
        <v>0.1422223174800493</v>
      </c>
      <c r="K1066" t="n">
        <v>0.4984104454681083</v>
      </c>
      <c r="L1066" t="b">
        <v>0</v>
      </c>
      <c r="M1066" t="b">
        <v>0</v>
      </c>
      <c r="N1066" t="inlineStr">
        <is>
          <t>alt</t>
        </is>
      </c>
      <c r="O1066" t="n">
        <v>-85</v>
      </c>
      <c r="P1066" t="n">
        <v>0.00974</v>
      </c>
      <c r="Q1066" t="n">
        <v>-85</v>
      </c>
      <c r="R1066" t="n">
        <v>0.1544</v>
      </c>
      <c r="S1066">
        <f>IMAGE("https://mitra.stanford.edu/kundaje/oak/projects/neuro-variants/variant_position/credible/roussos_2024/variant_figures/roussos_2024.adolescence.GLU/rs9545047_count_position.png",4,220,900)</f>
        <v/>
      </c>
      <c r="T1066">
        <f>IMAGE("https://mitra.stanford.edu/kundaje/oak/projects/neuro-variants/variant_position/credible/roussos_2024/variant_figures/roussos_2024.adolescence.GLU/rs9545047_profile_position.png",4,220,900)</f>
        <v/>
      </c>
    </row>
    <row r="1067">
      <c r="A1067" t="inlineStr">
        <is>
          <t>chr13</t>
        </is>
      </c>
      <c r="B1067" t="n">
        <v>79364440</v>
      </c>
      <c r="C1067" t="inlineStr">
        <is>
          <t>T</t>
        </is>
      </c>
      <c r="D1067" t="inlineStr">
        <is>
          <t>C</t>
        </is>
      </c>
      <c r="E1067" t="inlineStr">
        <is>
          <t>rs9545087</t>
        </is>
      </c>
      <c r="F1067" t="n">
        <v>-0.0095113712</v>
      </c>
      <c r="G1067" t="n">
        <v>0.5791112134852429</v>
      </c>
      <c r="H1067" t="n">
        <v>0.0240462081341623</v>
      </c>
      <c r="I1067" t="n">
        <v>0.0261261095057716</v>
      </c>
      <c r="J1067" t="n">
        <v>0.0130341284980459</v>
      </c>
      <c r="K1067" t="n">
        <v>0.8618966487327191</v>
      </c>
      <c r="L1067" t="b">
        <v>0</v>
      </c>
      <c r="M1067" t="b">
        <v>0</v>
      </c>
      <c r="N1067" t="inlineStr">
        <is>
          <t>ref</t>
        </is>
      </c>
      <c r="O1067" t="n">
        <v>15</v>
      </c>
      <c r="P1067" t="n">
        <v>0.001179</v>
      </c>
      <c r="Q1067" t="n">
        <v>-20</v>
      </c>
      <c r="R1067" t="n">
        <v>0.01083</v>
      </c>
      <c r="S1067">
        <f>IMAGE("https://mitra.stanford.edu/kundaje/oak/projects/neuro-variants/variant_position/credible/roussos_2024/variant_figures/roussos_2024.adolescence.GLU/rs9545087_count_position.png",4,220,900)</f>
        <v/>
      </c>
      <c r="T1067">
        <f>IMAGE("https://mitra.stanford.edu/kundaje/oak/projects/neuro-variants/variant_position/credible/roussos_2024/variant_figures/roussos_2024.adolescence.GLU/rs9545087_profile_position.png",4,220,900)</f>
        <v/>
      </c>
    </row>
    <row r="1068">
      <c r="A1068" t="inlineStr">
        <is>
          <t>chr13</t>
        </is>
      </c>
      <c r="B1068" t="n">
        <v>79370157</v>
      </c>
      <c r="C1068" t="inlineStr">
        <is>
          <t>A</t>
        </is>
      </c>
      <c r="D1068" t="inlineStr">
        <is>
          <t>G</t>
        </is>
      </c>
      <c r="E1068" t="inlineStr">
        <is>
          <t>rs9530904</t>
        </is>
      </c>
      <c r="F1068" t="n">
        <v>-0.00062250837</v>
      </c>
      <c r="G1068" t="n">
        <v>0.8105223784362396</v>
      </c>
      <c r="H1068" t="n">
        <v>0.0198258757407642</v>
      </c>
      <c r="I1068" t="n">
        <v>0.0608512653189714</v>
      </c>
      <c r="J1068" t="n">
        <v>0.025718184481071</v>
      </c>
      <c r="K1068" t="n">
        <v>0.7931201690503398</v>
      </c>
      <c r="L1068" t="b">
        <v>0</v>
      </c>
      <c r="M1068" t="b">
        <v>0</v>
      </c>
      <c r="N1068" t="inlineStr">
        <is>
          <t>ref</t>
        </is>
      </c>
      <c r="O1068" t="n">
        <v>55</v>
      </c>
      <c r="P1068" t="n">
        <v>0.03326</v>
      </c>
      <c r="Q1068" t="n">
        <v>20</v>
      </c>
      <c r="R1068" t="n">
        <v>0.01482</v>
      </c>
      <c r="S1068">
        <f>IMAGE("https://mitra.stanford.edu/kundaje/oak/projects/neuro-variants/variant_position/credible/roussos_2024/variant_figures/roussos_2024.adolescence.GLU/rs9530904_count_position.png",4,220,900)</f>
        <v/>
      </c>
      <c r="T1068">
        <f>IMAGE("https://mitra.stanford.edu/kundaje/oak/projects/neuro-variants/variant_position/credible/roussos_2024/variant_figures/roussos_2024.adolescence.GLU/rs9530904_profile_position.png",4,220,900)</f>
        <v/>
      </c>
    </row>
    <row r="1069">
      <c r="A1069" t="inlineStr">
        <is>
          <t>chr13</t>
        </is>
      </c>
      <c r="B1069" t="n">
        <v>79411175</v>
      </c>
      <c r="C1069" t="inlineStr">
        <is>
          <t>T</t>
        </is>
      </c>
      <c r="D1069" t="inlineStr">
        <is>
          <t>A</t>
        </is>
      </c>
      <c r="E1069" t="inlineStr">
        <is>
          <t>rs9545108</t>
        </is>
      </c>
      <c r="F1069" t="n">
        <v>0.00711754088</v>
      </c>
      <c r="G1069" t="n">
        <v>0.6178533299306637</v>
      </c>
      <c r="H1069" t="n">
        <v>0.0234411685287332</v>
      </c>
      <c r="I1069" t="n">
        <v>0.0285258970158231</v>
      </c>
      <c r="J1069" t="n">
        <v>0.0606196997949574</v>
      </c>
      <c r="K1069" t="n">
        <v>0.6759609950865416</v>
      </c>
      <c r="L1069" t="b">
        <v>0</v>
      </c>
      <c r="M1069" t="b">
        <v>0</v>
      </c>
      <c r="N1069" t="inlineStr">
        <is>
          <t>alt</t>
        </is>
      </c>
      <c r="O1069" t="n">
        <v>90</v>
      </c>
      <c r="P1069" t="n">
        <v>0.004944</v>
      </c>
      <c r="Q1069" t="n">
        <v>-85</v>
      </c>
      <c r="R1069" t="n">
        <v>0.05634</v>
      </c>
      <c r="S1069">
        <f>IMAGE("https://mitra.stanford.edu/kundaje/oak/projects/neuro-variants/variant_position/credible/roussos_2024/variant_figures/roussos_2024.adolescence.GLU/rs9545108_count_position.png",4,220,900)</f>
        <v/>
      </c>
      <c r="T1069">
        <f>IMAGE("https://mitra.stanford.edu/kundaje/oak/projects/neuro-variants/variant_position/credible/roussos_2024/variant_figures/roussos_2024.adolescence.GLU/rs9545108_profile_position.png",4,220,900)</f>
        <v/>
      </c>
    </row>
    <row r="1070">
      <c r="A1070" t="inlineStr">
        <is>
          <t>chr13</t>
        </is>
      </c>
      <c r="B1070" t="n">
        <v>79415246</v>
      </c>
      <c r="C1070" t="inlineStr">
        <is>
          <t>C</t>
        </is>
      </c>
      <c r="D1070" t="inlineStr">
        <is>
          <t>T</t>
        </is>
      </c>
      <c r="E1070" t="inlineStr">
        <is>
          <t>rs9574422</t>
        </is>
      </c>
      <c r="F1070" t="n">
        <v>-0.0123469532</v>
      </c>
      <c r="G1070" t="n">
        <v>0.4875339928473317</v>
      </c>
      <c r="H1070" t="n">
        <v>0.0098371655913383</v>
      </c>
      <c r="I1070" t="n">
        <v>0.5504327645299298</v>
      </c>
      <c r="J1070" t="n">
        <v>0.1301398146758971</v>
      </c>
      <c r="K1070" t="n">
        <v>0.5142268016993734</v>
      </c>
      <c r="L1070" t="b">
        <v>0</v>
      </c>
      <c r="M1070" t="b">
        <v>0</v>
      </c>
      <c r="N1070" t="inlineStr">
        <is>
          <t>ref</t>
        </is>
      </c>
      <c r="O1070" t="n">
        <v>-20</v>
      </c>
      <c r="P1070" t="n">
        <v>0.002176</v>
      </c>
      <c r="Q1070" t="n">
        <v>-20</v>
      </c>
      <c r="R1070" t="n">
        <v>0.01007</v>
      </c>
      <c r="S1070">
        <f>IMAGE("https://mitra.stanford.edu/kundaje/oak/projects/neuro-variants/variant_position/credible/roussos_2024/variant_figures/roussos_2024.adolescence.GLU/rs9574422_count_position.png",4,220,900)</f>
        <v/>
      </c>
      <c r="T1070">
        <f>IMAGE("https://mitra.stanford.edu/kundaje/oak/projects/neuro-variants/variant_position/credible/roussos_2024/variant_figures/roussos_2024.adolescence.GLU/rs9574422_profile_position.png",4,220,900)</f>
        <v/>
      </c>
    </row>
    <row r="1071">
      <c r="A1071" t="inlineStr">
        <is>
          <t>chr13</t>
        </is>
      </c>
      <c r="B1071" t="n">
        <v>88392660</v>
      </c>
      <c r="C1071" t="inlineStr">
        <is>
          <t>A</t>
        </is>
      </c>
      <c r="D1071" t="inlineStr">
        <is>
          <t>G</t>
        </is>
      </c>
      <c r="E1071" t="inlineStr">
        <is>
          <t>rs1840492</t>
        </is>
      </c>
      <c r="F1071" t="n">
        <v>-0.00034005973</v>
      </c>
      <c r="G1071" t="n">
        <v>0.8971142844299564</v>
      </c>
      <c r="H1071" t="n">
        <v>0.0219298260519918</v>
      </c>
      <c r="I1071" t="n">
        <v>0.0371775263692691</v>
      </c>
      <c r="J1071" t="n">
        <v>0.0475741403576454</v>
      </c>
      <c r="K1071" t="n">
        <v>0.710573714258755</v>
      </c>
      <c r="L1071" t="b">
        <v>0</v>
      </c>
      <c r="M1071" t="b">
        <v>0</v>
      </c>
      <c r="N1071" t="inlineStr">
        <is>
          <t>ref</t>
        </is>
      </c>
      <c r="O1071" t="n">
        <v>-100</v>
      </c>
      <c r="P1071" t="n">
        <v>0.015434</v>
      </c>
      <c r="Q1071" t="n">
        <v>-100</v>
      </c>
      <c r="R1071" t="n">
        <v>0.08264000000000001</v>
      </c>
      <c r="S1071">
        <f>IMAGE("https://mitra.stanford.edu/kundaje/oak/projects/neuro-variants/variant_position/credible/roussos_2024/variant_figures/roussos_2024.adolescence.GLU/rs1840492_count_position.png",4,220,900)</f>
        <v/>
      </c>
      <c r="T1071">
        <f>IMAGE("https://mitra.stanford.edu/kundaje/oak/projects/neuro-variants/variant_position/credible/roussos_2024/variant_figures/roussos_2024.adolescence.GLU/rs1840492_profile_position.png",4,220,900)</f>
        <v/>
      </c>
    </row>
    <row r="1072">
      <c r="A1072" t="inlineStr">
        <is>
          <t>chr13</t>
        </is>
      </c>
      <c r="B1072" t="n">
        <v>88392920</v>
      </c>
      <c r="C1072" t="inlineStr">
        <is>
          <t>C</t>
        </is>
      </c>
      <c r="D1072" t="inlineStr">
        <is>
          <t>A</t>
        </is>
      </c>
      <c r="E1072" t="inlineStr">
        <is>
          <t>rs2347140</t>
        </is>
      </c>
      <c r="F1072" t="n">
        <v>-0.0612494528</v>
      </c>
      <c r="G1072" t="n">
        <v>0.0405927134313248</v>
      </c>
      <c r="H1072" t="n">
        <v>0.0117616365737744</v>
      </c>
      <c r="I1072" t="n">
        <v>0.3344817189175701</v>
      </c>
      <c r="J1072" t="n">
        <v>0.0195654814211514</v>
      </c>
      <c r="K1072" t="n">
        <v>0.8211156568395612</v>
      </c>
      <c r="L1072" t="b">
        <v>0</v>
      </c>
      <c r="M1072" t="b">
        <v>0</v>
      </c>
      <c r="N1072" t="inlineStr">
        <is>
          <t>ref</t>
        </is>
      </c>
      <c r="O1072" t="n">
        <v>100</v>
      </c>
      <c r="P1072" t="n">
        <v>0.00315</v>
      </c>
      <c r="Q1072" t="n">
        <v>35</v>
      </c>
      <c r="R1072" t="n">
        <v>0.00583</v>
      </c>
      <c r="S1072">
        <f>IMAGE("https://mitra.stanford.edu/kundaje/oak/projects/neuro-variants/variant_position/credible/roussos_2024/variant_figures/roussos_2024.adolescence.GLU/rs2347140_count_position.png",4,220,900)</f>
        <v/>
      </c>
      <c r="T1072">
        <f>IMAGE("https://mitra.stanford.edu/kundaje/oak/projects/neuro-variants/variant_position/credible/roussos_2024/variant_figures/roussos_2024.adolescence.GLU/rs2347140_profile_position.png",4,220,900)</f>
        <v/>
      </c>
    </row>
    <row r="1073">
      <c r="A1073" t="inlineStr">
        <is>
          <t>chr13</t>
        </is>
      </c>
      <c r="B1073" t="n">
        <v>88408293</v>
      </c>
      <c r="C1073" t="inlineStr">
        <is>
          <t>G</t>
        </is>
      </c>
      <c r="D1073" t="inlineStr">
        <is>
          <t>A</t>
        </is>
      </c>
      <c r="E1073" t="inlineStr">
        <is>
          <t>rs396977</t>
        </is>
      </c>
      <c r="F1073" t="n">
        <v>-0.181257238</v>
      </c>
      <c r="G1073" t="n">
        <v>0.0016411259509335</v>
      </c>
      <c r="H1073" t="n">
        <v>0.0332004852331388</v>
      </c>
      <c r="I1073" t="n">
        <v>0.0091760449164473</v>
      </c>
      <c r="J1073" t="n">
        <v>0.2598966928863836</v>
      </c>
      <c r="K1073" t="n">
        <v>0.3145858404391869</v>
      </c>
      <c r="L1073" t="b">
        <v>1</v>
      </c>
      <c r="M1073" t="b">
        <v>1</v>
      </c>
      <c r="N1073" t="inlineStr">
        <is>
          <t>ref</t>
        </is>
      </c>
      <c r="O1073" t="n">
        <v>-95</v>
      </c>
      <c r="P1073" t="n">
        <v>0.009549999999999999</v>
      </c>
      <c r="Q1073" t="n">
        <v>-100</v>
      </c>
      <c r="R1073" t="n">
        <v>0.0668</v>
      </c>
      <c r="S1073">
        <f>IMAGE("https://mitra.stanford.edu/kundaje/oak/projects/neuro-variants/variant_position/credible/roussos_2024/variant_figures/roussos_2024.adolescence.GLU/rs396977_count_position.png",4,220,900)</f>
        <v/>
      </c>
      <c r="T1073">
        <f>IMAGE("https://mitra.stanford.edu/kundaje/oak/projects/neuro-variants/variant_position/credible/roussos_2024/variant_figures/roussos_2024.adolescence.GLU/rs396977_profile_position.png",4,220,900)</f>
        <v/>
      </c>
    </row>
    <row r="1074">
      <c r="A1074" t="inlineStr">
        <is>
          <t>chr13</t>
        </is>
      </c>
      <c r="B1074" t="n">
        <v>88414156</v>
      </c>
      <c r="C1074" t="inlineStr">
        <is>
          <t>G</t>
        </is>
      </c>
      <c r="D1074" t="inlineStr">
        <is>
          <t>A</t>
        </is>
      </c>
      <c r="E1074" t="inlineStr">
        <is>
          <t>rs430275</t>
        </is>
      </c>
      <c r="F1074" t="n">
        <v>-0.00946232546</v>
      </c>
      <c r="G1074" t="n">
        <v>0.5537893014107871</v>
      </c>
      <c r="H1074" t="n">
        <v>0.0144585293246248</v>
      </c>
      <c r="I1074" t="n">
        <v>0.191555237280515</v>
      </c>
      <c r="J1074" t="n">
        <v>0.0057754820641418</v>
      </c>
      <c r="K1074" t="n">
        <v>0.9112900417055966</v>
      </c>
      <c r="L1074" t="b">
        <v>0</v>
      </c>
      <c r="M1074" t="b">
        <v>0</v>
      </c>
      <c r="N1074" t="inlineStr">
        <is>
          <t>ref</t>
        </is>
      </c>
      <c r="O1074" t="n">
        <v>95</v>
      </c>
      <c r="P1074" t="n">
        <v>0.03918</v>
      </c>
      <c r="Q1074" t="n">
        <v>40</v>
      </c>
      <c r="R1074" t="n">
        <v>0.04083</v>
      </c>
      <c r="S1074">
        <f>IMAGE("https://mitra.stanford.edu/kundaje/oak/projects/neuro-variants/variant_position/credible/roussos_2024/variant_figures/roussos_2024.adolescence.GLU/rs430275_count_position.png",4,220,900)</f>
        <v/>
      </c>
      <c r="T1074">
        <f>IMAGE("https://mitra.stanford.edu/kundaje/oak/projects/neuro-variants/variant_position/credible/roussos_2024/variant_figures/roussos_2024.adolescence.GLU/rs430275_profile_position.png",4,220,900)</f>
        <v/>
      </c>
    </row>
    <row r="1075">
      <c r="A1075" t="inlineStr">
        <is>
          <t>chr13</t>
        </is>
      </c>
      <c r="B1075" t="n">
        <v>88435587</v>
      </c>
      <c r="C1075" t="inlineStr">
        <is>
          <t>T</t>
        </is>
      </c>
      <c r="D1075" t="inlineStr">
        <is>
          <t>C</t>
        </is>
      </c>
      <c r="E1075" t="inlineStr">
        <is>
          <t>rs338708</t>
        </is>
      </c>
      <c r="F1075" t="n">
        <v>0.060211533</v>
      </c>
      <c r="G1075" t="n">
        <v>0.0364778605931376</v>
      </c>
      <c r="H1075" t="n">
        <v>0.0138703818307005</v>
      </c>
      <c r="I1075" t="n">
        <v>0.2071215433030663</v>
      </c>
      <c r="J1075" t="n">
        <v>0.2068385594158789</v>
      </c>
      <c r="K1075" t="n">
        <v>0.3886267528591992</v>
      </c>
      <c r="L1075" t="b">
        <v>0</v>
      </c>
      <c r="M1075" t="b">
        <v>0</v>
      </c>
      <c r="N1075" t="inlineStr">
        <is>
          <t>alt</t>
        </is>
      </c>
      <c r="O1075" t="n">
        <v>100</v>
      </c>
      <c r="P1075" t="n">
        <v>0.02116</v>
      </c>
      <c r="Q1075" t="n">
        <v>-100</v>
      </c>
      <c r="R1075" t="n">
        <v>0.07983</v>
      </c>
      <c r="S1075">
        <f>IMAGE("https://mitra.stanford.edu/kundaje/oak/projects/neuro-variants/variant_position/credible/roussos_2024/variant_figures/roussos_2024.adolescence.GLU/rs338708_count_position.png",4,220,900)</f>
        <v/>
      </c>
      <c r="T1075">
        <f>IMAGE("https://mitra.stanford.edu/kundaje/oak/projects/neuro-variants/variant_position/credible/roussos_2024/variant_figures/roussos_2024.adolescence.GLU/rs338708_profile_position.png",4,220,900)</f>
        <v/>
      </c>
    </row>
    <row r="1076">
      <c r="A1076" t="inlineStr">
        <is>
          <t>chr13</t>
        </is>
      </c>
      <c r="B1076" t="n">
        <v>88450905</v>
      </c>
      <c r="C1076" t="inlineStr">
        <is>
          <t>T</t>
        </is>
      </c>
      <c r="D1076" t="inlineStr">
        <is>
          <t>C</t>
        </is>
      </c>
      <c r="E1076" t="inlineStr">
        <is>
          <t>rs447791</t>
        </is>
      </c>
      <c r="F1076" t="n">
        <v>-0.00353068644</v>
      </c>
      <c r="G1076" t="n">
        <v>0.7154059958507836</v>
      </c>
      <c r="H1076" t="n">
        <v>0.0195298632018455</v>
      </c>
      <c r="I1076" t="n">
        <v>0.06989235484257519</v>
      </c>
      <c r="J1076" t="n">
        <v>0.0178322652549456</v>
      </c>
      <c r="K1076" t="n">
        <v>0.8342878731182511</v>
      </c>
      <c r="L1076" t="b">
        <v>0</v>
      </c>
      <c r="M1076" t="b">
        <v>0</v>
      </c>
      <c r="N1076" t="inlineStr">
        <is>
          <t>ref</t>
        </is>
      </c>
      <c r="O1076" t="n">
        <v>80</v>
      </c>
      <c r="P1076" t="n">
        <v>0.00851</v>
      </c>
      <c r="Q1076" t="n">
        <v>-100</v>
      </c>
      <c r="R1076" t="n">
        <v>0.0926</v>
      </c>
      <c r="S1076">
        <f>IMAGE("https://mitra.stanford.edu/kundaje/oak/projects/neuro-variants/variant_position/credible/roussos_2024/variant_figures/roussos_2024.adolescence.GLU/rs447791_count_position.png",4,220,900)</f>
        <v/>
      </c>
      <c r="T1076">
        <f>IMAGE("https://mitra.stanford.edu/kundaje/oak/projects/neuro-variants/variant_position/credible/roussos_2024/variant_figures/roussos_2024.adolescence.GLU/rs447791_profile_position.png",4,220,900)</f>
        <v/>
      </c>
    </row>
    <row r="1077">
      <c r="A1077" t="inlineStr">
        <is>
          <t>chr13</t>
        </is>
      </c>
      <c r="B1077" t="n">
        <v>88461603</v>
      </c>
      <c r="C1077" t="inlineStr">
        <is>
          <t>A</t>
        </is>
      </c>
      <c r="D1077" t="inlineStr">
        <is>
          <t>G</t>
        </is>
      </c>
      <c r="E1077" t="inlineStr">
        <is>
          <t>rs338704</t>
        </is>
      </c>
      <c r="F1077" t="n">
        <v>0.009290472960000001</v>
      </c>
      <c r="G1077" t="n">
        <v>0.5245431164795988</v>
      </c>
      <c r="H1077" t="n">
        <v>0.0255727014352477</v>
      </c>
      <c r="I1077" t="n">
        <v>0.0192525518516619</v>
      </c>
      <c r="J1077" t="n">
        <v>0.0975001964692685</v>
      </c>
      <c r="K1077" t="n">
        <v>0.5762385223709177</v>
      </c>
      <c r="L1077" t="b">
        <v>1</v>
      </c>
      <c r="M1077" t="b">
        <v>0</v>
      </c>
      <c r="N1077" t="inlineStr">
        <is>
          <t>alt</t>
        </is>
      </c>
      <c r="O1077" t="n">
        <v>-25</v>
      </c>
      <c r="P1077" t="n">
        <v>0.001465</v>
      </c>
      <c r="Q1077" t="n">
        <v>-25</v>
      </c>
      <c r="R1077" t="n">
        <v>0.02466</v>
      </c>
      <c r="S1077">
        <f>IMAGE("https://mitra.stanford.edu/kundaje/oak/projects/neuro-variants/variant_position/credible/roussos_2024/variant_figures/roussos_2024.adolescence.GLU/rs338704_count_position.png",4,220,900)</f>
        <v/>
      </c>
      <c r="T1077">
        <f>IMAGE("https://mitra.stanford.edu/kundaje/oak/projects/neuro-variants/variant_position/credible/roussos_2024/variant_figures/roussos_2024.adolescence.GLU/rs338704_profile_position.png",4,220,900)</f>
        <v/>
      </c>
    </row>
    <row r="1078">
      <c r="A1078" t="inlineStr">
        <is>
          <t>chr13</t>
        </is>
      </c>
      <c r="B1078" t="n">
        <v>92670299</v>
      </c>
      <c r="C1078" t="inlineStr">
        <is>
          <t>T</t>
        </is>
      </c>
      <c r="D1078" t="inlineStr">
        <is>
          <t>C</t>
        </is>
      </c>
      <c r="E1078" t="inlineStr">
        <is>
          <t>rs9516115</t>
        </is>
      </c>
      <c r="F1078" t="n">
        <v>0.01929264452</v>
      </c>
      <c r="G1078" t="n">
        <v>0.3140254123332447</v>
      </c>
      <c r="H1078" t="n">
        <v>0.008021833890696399</v>
      </c>
      <c r="I1078" t="n">
        <v>0.783005275155246</v>
      </c>
      <c r="J1078" t="n">
        <v>0.3456344528509477</v>
      </c>
      <c r="K1078" t="n">
        <v>0.2156540327058094</v>
      </c>
      <c r="L1078" t="b">
        <v>0</v>
      </c>
      <c r="M1078" t="b">
        <v>0</v>
      </c>
      <c r="N1078" t="inlineStr">
        <is>
          <t>alt</t>
        </is>
      </c>
      <c r="O1078" t="n">
        <v>-100</v>
      </c>
      <c r="P1078" t="n">
        <v>0.01553</v>
      </c>
      <c r="Q1078" t="n">
        <v>-100</v>
      </c>
      <c r="R1078" t="n">
        <v>0.169</v>
      </c>
      <c r="S1078">
        <f>IMAGE("https://mitra.stanford.edu/kundaje/oak/projects/neuro-variants/variant_position/credible/roussos_2024/variant_figures/roussos_2024.adolescence.GLU/rs9516115_count_position.png",4,220,900)</f>
        <v/>
      </c>
      <c r="T1078">
        <f>IMAGE("https://mitra.stanford.edu/kundaje/oak/projects/neuro-variants/variant_position/credible/roussos_2024/variant_figures/roussos_2024.adolescence.GLU/rs9516115_profile_position.png",4,220,900)</f>
        <v/>
      </c>
    </row>
    <row r="1079">
      <c r="A1079" t="inlineStr">
        <is>
          <t>chr13</t>
        </is>
      </c>
      <c r="B1079" t="n">
        <v>92709036</v>
      </c>
      <c r="C1079" t="inlineStr">
        <is>
          <t>C</t>
        </is>
      </c>
      <c r="D1079" t="inlineStr">
        <is>
          <t>T</t>
        </is>
      </c>
      <c r="E1079" t="inlineStr">
        <is>
          <t>rs9523786</t>
        </is>
      </c>
      <c r="F1079" t="n">
        <v>-0.0179303012</v>
      </c>
      <c r="G1079" t="n">
        <v>0.345838801054419</v>
      </c>
      <c r="H1079" t="n">
        <v>0.0102818660118951</v>
      </c>
      <c r="I1079" t="n">
        <v>0.5149706309423223</v>
      </c>
      <c r="J1079" t="n">
        <v>0.07879060662565809</v>
      </c>
      <c r="K1079" t="n">
        <v>0.6210362145796277</v>
      </c>
      <c r="L1079" t="b">
        <v>0</v>
      </c>
      <c r="M1079" t="b">
        <v>0</v>
      </c>
      <c r="N1079" t="inlineStr">
        <is>
          <t>ref</t>
        </is>
      </c>
      <c r="O1079" t="n">
        <v>-90</v>
      </c>
      <c r="P1079" t="n">
        <v>0.1964</v>
      </c>
      <c r="Q1079" t="n">
        <v>-90</v>
      </c>
      <c r="R1079" t="n">
        <v>0.05038</v>
      </c>
      <c r="S1079">
        <f>IMAGE("https://mitra.stanford.edu/kundaje/oak/projects/neuro-variants/variant_position/credible/roussos_2024/variant_figures/roussos_2024.adolescence.GLU/rs9523786_count_position.png",4,220,900)</f>
        <v/>
      </c>
      <c r="T1079">
        <f>IMAGE("https://mitra.stanford.edu/kundaje/oak/projects/neuro-variants/variant_position/credible/roussos_2024/variant_figures/roussos_2024.adolescence.GLU/rs9523786_profile_position.png",4,220,900)</f>
        <v/>
      </c>
    </row>
    <row r="1080">
      <c r="A1080" t="inlineStr">
        <is>
          <t>chr13</t>
        </is>
      </c>
      <c r="B1080" t="n">
        <v>92754331</v>
      </c>
      <c r="C1080" t="inlineStr">
        <is>
          <t>G</t>
        </is>
      </c>
      <c r="D1080" t="inlineStr">
        <is>
          <t>A</t>
        </is>
      </c>
      <c r="E1080" t="inlineStr">
        <is>
          <t>rs138907830</t>
        </is>
      </c>
      <c r="F1080" t="n">
        <v>-0.0586989836</v>
      </c>
      <c r="G1080" t="n">
        <v>0.0422547017077062</v>
      </c>
      <c r="H1080" t="n">
        <v>0.0101679876673724</v>
      </c>
      <c r="I1080" t="n">
        <v>0.5081153899613314</v>
      </c>
      <c r="J1080" t="n">
        <v>0.179387158768602</v>
      </c>
      <c r="K1080" t="n">
        <v>0.4305798947241336</v>
      </c>
      <c r="L1080" t="b">
        <v>0</v>
      </c>
      <c r="M1080" t="b">
        <v>0</v>
      </c>
      <c r="N1080" t="inlineStr">
        <is>
          <t>ref</t>
        </is>
      </c>
      <c r="O1080" t="n">
        <v>-90</v>
      </c>
      <c r="P1080" t="n">
        <v>0.003578</v>
      </c>
      <c r="Q1080" t="n">
        <v>-95</v>
      </c>
      <c r="R1080" t="n">
        <v>0.09326</v>
      </c>
      <c r="S1080">
        <f>IMAGE("https://mitra.stanford.edu/kundaje/oak/projects/neuro-variants/variant_position/credible/roussos_2024/variant_figures/roussos_2024.adolescence.GLU/rs138907830_count_position.png",4,220,900)</f>
        <v/>
      </c>
      <c r="T1080">
        <f>IMAGE("https://mitra.stanford.edu/kundaje/oak/projects/neuro-variants/variant_position/credible/roussos_2024/variant_figures/roussos_2024.adolescence.GLU/rs138907830_profile_position.png",4,220,900)</f>
        <v/>
      </c>
    </row>
    <row r="1081">
      <c r="A1081" t="inlineStr">
        <is>
          <t>chr13</t>
        </is>
      </c>
      <c r="B1081" t="n">
        <v>95836047</v>
      </c>
      <c r="C1081" t="inlineStr">
        <is>
          <t>T</t>
        </is>
      </c>
      <c r="D1081" t="inlineStr">
        <is>
          <t>G</t>
        </is>
      </c>
      <c r="E1081" t="inlineStr">
        <is>
          <t>rs11839843</t>
        </is>
      </c>
      <c r="F1081" t="n">
        <v>-0.00734760019</v>
      </c>
      <c r="G1081" t="n">
        <v>0.5722856594690345</v>
      </c>
      <c r="H1081" t="n">
        <v>0.0257009155036719</v>
      </c>
      <c r="I1081" t="n">
        <v>0.0192957453001203</v>
      </c>
      <c r="J1081" t="n">
        <v>0.0337712811939615</v>
      </c>
      <c r="K1081" t="n">
        <v>0.7572725323718008</v>
      </c>
      <c r="L1081" t="b">
        <v>1</v>
      </c>
      <c r="M1081" t="b">
        <v>0</v>
      </c>
      <c r="N1081" t="inlineStr">
        <is>
          <t>ref</t>
        </is>
      </c>
      <c r="O1081" t="n">
        <v>-100</v>
      </c>
      <c r="P1081" t="n">
        <v>0.01212</v>
      </c>
      <c r="Q1081" t="n">
        <v>95</v>
      </c>
      <c r="R1081" t="n">
        <v>0.0467</v>
      </c>
      <c r="S1081">
        <f>IMAGE("https://mitra.stanford.edu/kundaje/oak/projects/neuro-variants/variant_position/credible/roussos_2024/variant_figures/roussos_2024.adolescence.GLU/rs11839843_count_position.png",4,220,900)</f>
        <v/>
      </c>
      <c r="T1081">
        <f>IMAGE("https://mitra.stanford.edu/kundaje/oak/projects/neuro-variants/variant_position/credible/roussos_2024/variant_figures/roussos_2024.adolescence.GLU/rs11839843_profile_position.png",4,220,900)</f>
        <v/>
      </c>
    </row>
    <row r="1082">
      <c r="A1082" t="inlineStr">
        <is>
          <t>chr13</t>
        </is>
      </c>
      <c r="B1082" t="n">
        <v>95849839</v>
      </c>
      <c r="C1082" t="inlineStr">
        <is>
          <t>T</t>
        </is>
      </c>
      <c r="D1082" t="inlineStr">
        <is>
          <t>C</t>
        </is>
      </c>
      <c r="E1082" t="inlineStr">
        <is>
          <t>rs8000849</t>
        </is>
      </c>
      <c r="F1082" t="n">
        <v>-0.0019992295128</v>
      </c>
      <c r="G1082" t="n">
        <v>0.8440143288928081</v>
      </c>
      <c r="H1082" t="n">
        <v>0.0233622371005869</v>
      </c>
      <c r="I1082" t="n">
        <v>0.0313088405849263</v>
      </c>
      <c r="J1082" t="n">
        <v>0.0052853805431124</v>
      </c>
      <c r="K1082" t="n">
        <v>0.9191806352492196</v>
      </c>
      <c r="L1082" t="b">
        <v>0</v>
      </c>
      <c r="M1082" t="b">
        <v>0</v>
      </c>
      <c r="N1082" t="inlineStr">
        <is>
          <t>ref</t>
        </is>
      </c>
      <c r="O1082" t="n">
        <v>-60</v>
      </c>
      <c r="P1082" t="n">
        <v>0.002068</v>
      </c>
      <c r="Q1082" t="n">
        <v>35</v>
      </c>
      <c r="R1082" t="n">
        <v>0.03845</v>
      </c>
      <c r="S1082">
        <f>IMAGE("https://mitra.stanford.edu/kundaje/oak/projects/neuro-variants/variant_position/credible/roussos_2024/variant_figures/roussos_2024.adolescence.GLU/rs8000849_count_position.png",4,220,900)</f>
        <v/>
      </c>
      <c r="T1082">
        <f>IMAGE("https://mitra.stanford.edu/kundaje/oak/projects/neuro-variants/variant_position/credible/roussos_2024/variant_figures/roussos_2024.adolescence.GLU/rs8000849_profile_position.png",4,220,900)</f>
        <v/>
      </c>
    </row>
    <row r="1083">
      <c r="A1083" t="inlineStr">
        <is>
          <t>chr13</t>
        </is>
      </c>
      <c r="B1083" t="n">
        <v>95862624</v>
      </c>
      <c r="C1083" t="inlineStr">
        <is>
          <t>A</t>
        </is>
      </c>
      <c r="D1083" t="inlineStr">
        <is>
          <t>C</t>
        </is>
      </c>
      <c r="E1083" t="inlineStr">
        <is>
          <t>rs4773928</t>
        </is>
      </c>
      <c r="F1083" t="n">
        <v>0.049930402</v>
      </c>
      <c r="G1083" t="n">
        <v>0.07501116080657259</v>
      </c>
      <c r="H1083" t="n">
        <v>0.0100278631388114</v>
      </c>
      <c r="I1083" t="n">
        <v>0.5400664954682628</v>
      </c>
      <c r="J1083" t="n">
        <v>0.0693829436097476</v>
      </c>
      <c r="K1083" t="n">
        <v>0.6403004009706412</v>
      </c>
      <c r="L1083" t="b">
        <v>0</v>
      </c>
      <c r="M1083" t="b">
        <v>0</v>
      </c>
      <c r="N1083" t="inlineStr">
        <is>
          <t>alt</t>
        </is>
      </c>
      <c r="O1083" t="n">
        <v>65</v>
      </c>
      <c r="P1083" t="n">
        <v>0.001419</v>
      </c>
      <c r="Q1083" t="n">
        <v>0</v>
      </c>
      <c r="R1083" t="n">
        <v>0</v>
      </c>
      <c r="S1083">
        <f>IMAGE("https://mitra.stanford.edu/kundaje/oak/projects/neuro-variants/variant_position/credible/roussos_2024/variant_figures/roussos_2024.adolescence.GLU/rs4773928_count_position.png",4,220,900)</f>
        <v/>
      </c>
      <c r="T1083">
        <f>IMAGE("https://mitra.stanford.edu/kundaje/oak/projects/neuro-variants/variant_position/credible/roussos_2024/variant_figures/roussos_2024.adolescence.GLU/rs4773928_profile_position.png",4,220,900)</f>
        <v/>
      </c>
    </row>
    <row r="1084">
      <c r="A1084" t="inlineStr">
        <is>
          <t>chr13</t>
        </is>
      </c>
      <c r="B1084" t="n">
        <v>95870573</v>
      </c>
      <c r="C1084" t="inlineStr">
        <is>
          <t>T</t>
        </is>
      </c>
      <c r="D1084" t="inlineStr">
        <is>
          <t>C</t>
        </is>
      </c>
      <c r="E1084" t="inlineStr">
        <is>
          <t>rs6492824</t>
        </is>
      </c>
      <c r="F1084" t="n">
        <v>0.0812576493999999</v>
      </c>
      <c r="G1084" t="n">
        <v>0.0154581387037794</v>
      </c>
      <c r="H1084" t="n">
        <v>0.0134530215671865</v>
      </c>
      <c r="I1084" t="n">
        <v>0.2332459977224788</v>
      </c>
      <c r="J1084" t="n">
        <v>0.2342928177979724</v>
      </c>
      <c r="K1084" t="n">
        <v>0.3528738141706792</v>
      </c>
      <c r="L1084" t="b">
        <v>1</v>
      </c>
      <c r="M1084" t="b">
        <v>0</v>
      </c>
      <c r="N1084" t="inlineStr">
        <is>
          <t>alt</t>
        </is>
      </c>
      <c r="O1084" t="n">
        <v>-95</v>
      </c>
      <c r="P1084" t="n">
        <v>0.00592</v>
      </c>
      <c r="Q1084" t="n">
        <v>-35</v>
      </c>
      <c r="R1084" t="n">
        <v>0.02063</v>
      </c>
      <c r="S1084">
        <f>IMAGE("https://mitra.stanford.edu/kundaje/oak/projects/neuro-variants/variant_position/credible/roussos_2024/variant_figures/roussos_2024.adolescence.GLU/rs6492824_count_position.png",4,220,900)</f>
        <v/>
      </c>
      <c r="T1084">
        <f>IMAGE("https://mitra.stanford.edu/kundaje/oak/projects/neuro-variants/variant_position/credible/roussos_2024/variant_figures/roussos_2024.adolescence.GLU/rs6492824_profile_position.png",4,220,900)</f>
        <v/>
      </c>
    </row>
    <row r="1085">
      <c r="A1085" t="inlineStr">
        <is>
          <t>chr13</t>
        </is>
      </c>
      <c r="B1085" t="n">
        <v>95873066</v>
      </c>
      <c r="C1085" t="inlineStr">
        <is>
          <t>C</t>
        </is>
      </c>
      <c r="D1085" t="inlineStr">
        <is>
          <t>A</t>
        </is>
      </c>
      <c r="E1085" t="inlineStr">
        <is>
          <t>rs9561967</t>
        </is>
      </c>
      <c r="F1085" t="n">
        <v>0.0290044776</v>
      </c>
      <c r="G1085" t="n">
        <v>0.1957609860664579</v>
      </c>
      <c r="H1085" t="n">
        <v>0.0157636712839483</v>
      </c>
      <c r="I1085" t="n">
        <v>0.2348458180350636</v>
      </c>
      <c r="J1085" t="n">
        <v>0.045998099606347</v>
      </c>
      <c r="K1085" t="n">
        <v>0.7110660095744566</v>
      </c>
      <c r="L1085" t="b">
        <v>0</v>
      </c>
      <c r="M1085" t="b">
        <v>0</v>
      </c>
      <c r="N1085" t="inlineStr">
        <is>
          <t>alt</t>
        </is>
      </c>
      <c r="O1085" t="n">
        <v>20</v>
      </c>
      <c r="P1085" t="n">
        <v>0.00415</v>
      </c>
      <c r="Q1085" t="n">
        <v>0</v>
      </c>
      <c r="R1085" t="n">
        <v>0</v>
      </c>
      <c r="S1085">
        <f>IMAGE("https://mitra.stanford.edu/kundaje/oak/projects/neuro-variants/variant_position/credible/roussos_2024/variant_figures/roussos_2024.adolescence.GLU/rs9561967_count_position.png",4,220,900)</f>
        <v/>
      </c>
      <c r="T1085">
        <f>IMAGE("https://mitra.stanford.edu/kundaje/oak/projects/neuro-variants/variant_position/credible/roussos_2024/variant_figures/roussos_2024.adolescence.GLU/rs9561967_profile_position.png",4,220,900)</f>
        <v/>
      </c>
    </row>
    <row r="1086">
      <c r="A1086" t="inlineStr">
        <is>
          <t>chr13</t>
        </is>
      </c>
      <c r="B1086" t="n">
        <v>95873890</v>
      </c>
      <c r="C1086" t="inlineStr">
        <is>
          <t>T</t>
        </is>
      </c>
      <c r="D1086" t="inlineStr">
        <is>
          <t>C</t>
        </is>
      </c>
      <c r="E1086" t="inlineStr">
        <is>
          <t>rs11616658</t>
        </is>
      </c>
      <c r="F1086" t="n">
        <v>-0.002716409492</v>
      </c>
      <c r="G1086" t="n">
        <v>0.7982464257827945</v>
      </c>
      <c r="H1086" t="n">
        <v>0.0167670979235142</v>
      </c>
      <c r="I1086" t="n">
        <v>0.1046290125635501</v>
      </c>
      <c r="J1086" t="n">
        <v>0.131437226282587</v>
      </c>
      <c r="K1086" t="n">
        <v>0.517305741944295</v>
      </c>
      <c r="L1086" t="b">
        <v>0</v>
      </c>
      <c r="M1086" t="b">
        <v>0</v>
      </c>
      <c r="N1086" t="inlineStr">
        <is>
          <t>ref</t>
        </is>
      </c>
      <c r="O1086" t="n">
        <v>-85</v>
      </c>
      <c r="P1086" t="n">
        <v>0.0314</v>
      </c>
      <c r="Q1086" t="n">
        <v>-35</v>
      </c>
      <c r="R1086" t="n">
        <v>0.10767</v>
      </c>
      <c r="S1086">
        <f>IMAGE("https://mitra.stanford.edu/kundaje/oak/projects/neuro-variants/variant_position/credible/roussos_2024/variant_figures/roussos_2024.adolescence.GLU/rs11616658_count_position.png",4,220,900)</f>
        <v/>
      </c>
      <c r="T1086">
        <f>IMAGE("https://mitra.stanford.edu/kundaje/oak/projects/neuro-variants/variant_position/credible/roussos_2024/variant_figures/roussos_2024.adolescence.GLU/rs11616658_profile_position.png",4,220,900)</f>
        <v/>
      </c>
    </row>
    <row r="1087">
      <c r="A1087" t="inlineStr">
        <is>
          <t>chr13</t>
        </is>
      </c>
      <c r="B1087" t="n">
        <v>95876601</v>
      </c>
      <c r="C1087" t="inlineStr">
        <is>
          <t>A</t>
        </is>
      </c>
      <c r="D1087" t="inlineStr">
        <is>
          <t>C</t>
        </is>
      </c>
      <c r="E1087" t="inlineStr">
        <is>
          <t>rs9556505</t>
        </is>
      </c>
      <c r="F1087" t="n">
        <v>0.00409834252</v>
      </c>
      <c r="G1087" t="n">
        <v>0.6675635623244952</v>
      </c>
      <c r="H1087" t="n">
        <v>0.0098002833494526</v>
      </c>
      <c r="I1087" t="n">
        <v>0.5485922955281526</v>
      </c>
      <c r="J1087" t="n">
        <v>0.1263018768173406</v>
      </c>
      <c r="K1087" t="n">
        <v>0.5241632176517247</v>
      </c>
      <c r="L1087" t="b">
        <v>0</v>
      </c>
      <c r="M1087" t="b">
        <v>0</v>
      </c>
      <c r="N1087" t="inlineStr">
        <is>
          <t>alt</t>
        </is>
      </c>
      <c r="O1087" t="n">
        <v>45</v>
      </c>
      <c r="P1087" t="n">
        <v>0.00254</v>
      </c>
      <c r="Q1087" t="n">
        <v>-100</v>
      </c>
      <c r="R1087" t="n">
        <v>0.05142</v>
      </c>
      <c r="S1087">
        <f>IMAGE("https://mitra.stanford.edu/kundaje/oak/projects/neuro-variants/variant_position/credible/roussos_2024/variant_figures/roussos_2024.adolescence.GLU/rs9556505_count_position.png",4,220,900)</f>
        <v/>
      </c>
      <c r="T1087">
        <f>IMAGE("https://mitra.stanford.edu/kundaje/oak/projects/neuro-variants/variant_position/credible/roussos_2024/variant_figures/roussos_2024.adolescence.GLU/rs9556505_profile_position.png",4,220,900)</f>
        <v/>
      </c>
    </row>
    <row r="1088">
      <c r="A1088" t="inlineStr">
        <is>
          <t>chr13</t>
        </is>
      </c>
      <c r="B1088" t="n">
        <v>95893035</v>
      </c>
      <c r="C1088" t="inlineStr">
        <is>
          <t>A</t>
        </is>
      </c>
      <c r="D1088" t="inlineStr">
        <is>
          <t>G</t>
        </is>
      </c>
      <c r="E1088" t="inlineStr">
        <is>
          <t>rs1537030</t>
        </is>
      </c>
      <c r="F1088" t="n">
        <v>0.02249201122</v>
      </c>
      <c r="G1088" t="n">
        <v>0.2571477968162609</v>
      </c>
      <c r="H1088" t="n">
        <v>0.0119137206780276</v>
      </c>
      <c r="I1088" t="n">
        <v>0.365699920850015</v>
      </c>
      <c r="J1088" t="n">
        <v>0.0187796043466145</v>
      </c>
      <c r="K1088" t="n">
        <v>0.8273855204920275</v>
      </c>
      <c r="L1088" t="b">
        <v>0</v>
      </c>
      <c r="M1088" t="b">
        <v>0</v>
      </c>
      <c r="N1088" t="inlineStr">
        <is>
          <t>alt</t>
        </is>
      </c>
      <c r="O1088" t="n">
        <v>50</v>
      </c>
      <c r="P1088" t="n">
        <v>0.03534</v>
      </c>
      <c r="Q1088" t="n">
        <v>-30</v>
      </c>
      <c r="R1088" t="n">
        <v>0.04218</v>
      </c>
      <c r="S1088">
        <f>IMAGE("https://mitra.stanford.edu/kundaje/oak/projects/neuro-variants/variant_position/credible/roussos_2024/variant_figures/roussos_2024.adolescence.GLU/rs1537030_count_position.png",4,220,900)</f>
        <v/>
      </c>
      <c r="T1088">
        <f>IMAGE("https://mitra.stanford.edu/kundaje/oak/projects/neuro-variants/variant_position/credible/roussos_2024/variant_figures/roussos_2024.adolescence.GLU/rs1537030_profile_position.png",4,220,900)</f>
        <v/>
      </c>
    </row>
    <row r="1089">
      <c r="A1089" t="inlineStr">
        <is>
          <t>chr13</t>
        </is>
      </c>
      <c r="B1089" t="n">
        <v>95906598</v>
      </c>
      <c r="C1089" t="inlineStr">
        <is>
          <t>G</t>
        </is>
      </c>
      <c r="D1089" t="inlineStr">
        <is>
          <t>A</t>
        </is>
      </c>
      <c r="E1089" t="inlineStr">
        <is>
          <t>rs35836619</t>
        </is>
      </c>
      <c r="F1089" t="n">
        <v>-0.002390013572</v>
      </c>
      <c r="G1089" t="n">
        <v>0.884017883862213</v>
      </c>
      <c r="H1089" t="n">
        <v>0.0184297176658082</v>
      </c>
      <c r="I1089" t="n">
        <v>0.07743453843019379</v>
      </c>
      <c r="J1089" t="n">
        <v>0.2328310864393338</v>
      </c>
      <c r="K1089" t="n">
        <v>0.356111846641613</v>
      </c>
      <c r="L1089" t="b">
        <v>0</v>
      </c>
      <c r="M1089" t="b">
        <v>0</v>
      </c>
      <c r="N1089" t="inlineStr">
        <is>
          <t>ref</t>
        </is>
      </c>
      <c r="O1089" t="n">
        <v>95</v>
      </c>
      <c r="P1089" t="n">
        <v>0.02628</v>
      </c>
      <c r="Q1089" t="n">
        <v>100</v>
      </c>
      <c r="R1089" t="n">
        <v>0.1714</v>
      </c>
      <c r="S1089">
        <f>IMAGE("https://mitra.stanford.edu/kundaje/oak/projects/neuro-variants/variant_position/credible/roussos_2024/variant_figures/roussos_2024.adolescence.GLU/rs35836619_count_position.png",4,220,900)</f>
        <v/>
      </c>
      <c r="T1089">
        <f>IMAGE("https://mitra.stanford.edu/kundaje/oak/projects/neuro-variants/variant_position/credible/roussos_2024/variant_figures/roussos_2024.adolescence.GLU/rs35836619_profile_position.png",4,220,900)</f>
        <v/>
      </c>
    </row>
    <row r="1090">
      <c r="A1090" t="inlineStr">
        <is>
          <t>chr13</t>
        </is>
      </c>
      <c r="B1090" t="n">
        <v>95928601</v>
      </c>
      <c r="C1090" t="inlineStr">
        <is>
          <t>G</t>
        </is>
      </c>
      <c r="D1090" t="inlineStr">
        <is>
          <t>A</t>
        </is>
      </c>
      <c r="E1090" t="inlineStr">
        <is>
          <t>rs9556506</t>
        </is>
      </c>
      <c r="F1090" t="n">
        <v>-0.0317483964</v>
      </c>
      <c r="G1090" t="n">
        <v>0.1684607619843981</v>
      </c>
      <c r="H1090" t="n">
        <v>0.0132761140701662</v>
      </c>
      <c r="I1090" t="n">
        <v>0.240956633005886</v>
      </c>
      <c r="J1090" t="n">
        <v>0.6206085546291732</v>
      </c>
      <c r="K1090" t="n">
        <v>0.0311462489919035</v>
      </c>
      <c r="L1090" t="b">
        <v>0</v>
      </c>
      <c r="M1090" t="b">
        <v>0</v>
      </c>
      <c r="N1090" t="inlineStr">
        <is>
          <t>ref</t>
        </is>
      </c>
      <c r="O1090" t="n">
        <v>-100</v>
      </c>
      <c r="P1090" t="n">
        <v>0.0209</v>
      </c>
      <c r="Q1090" t="n">
        <v>-100</v>
      </c>
      <c r="R1090" t="n">
        <v>0.05725</v>
      </c>
      <c r="S1090">
        <f>IMAGE("https://mitra.stanford.edu/kundaje/oak/projects/neuro-variants/variant_position/credible/roussos_2024/variant_figures/roussos_2024.adolescence.GLU/rs9556506_count_position.png",4,220,900)</f>
        <v/>
      </c>
      <c r="T1090">
        <f>IMAGE("https://mitra.stanford.edu/kundaje/oak/projects/neuro-variants/variant_position/credible/roussos_2024/variant_figures/roussos_2024.adolescence.GLU/rs9556506_profile_position.png",4,220,900)</f>
        <v/>
      </c>
    </row>
    <row r="1091">
      <c r="A1091" t="inlineStr">
        <is>
          <t>chr13</t>
        </is>
      </c>
      <c r="B1091" t="n">
        <v>95931789</v>
      </c>
      <c r="C1091" t="inlineStr">
        <is>
          <t>G</t>
        </is>
      </c>
      <c r="D1091" t="inlineStr">
        <is>
          <t>A</t>
        </is>
      </c>
      <c r="E1091" t="inlineStr">
        <is>
          <t>rs9556508</t>
        </is>
      </c>
      <c r="F1091" t="n">
        <v>-0.0426605184</v>
      </c>
      <c r="G1091" t="n">
        <v>0.097453247778563</v>
      </c>
      <c r="H1091" t="n">
        <v>0.0169137867232797</v>
      </c>
      <c r="I1091" t="n">
        <v>0.1151572534491661</v>
      </c>
      <c r="J1091" t="n">
        <v>0.5949846753970466</v>
      </c>
      <c r="K1091" t="n">
        <v>0.0400613617253488</v>
      </c>
      <c r="L1091" t="b">
        <v>0</v>
      </c>
      <c r="M1091" t="b">
        <v>0</v>
      </c>
      <c r="N1091" t="inlineStr">
        <is>
          <t>ref</t>
        </is>
      </c>
      <c r="O1091" t="n">
        <v>-100</v>
      </c>
      <c r="P1091" t="n">
        <v>0.001617</v>
      </c>
      <c r="Q1091" t="n">
        <v>-55</v>
      </c>
      <c r="R1091" t="n">
        <v>0.05493</v>
      </c>
      <c r="S1091">
        <f>IMAGE("https://mitra.stanford.edu/kundaje/oak/projects/neuro-variants/variant_position/credible/roussos_2024/variant_figures/roussos_2024.adolescence.GLU/rs9556508_count_position.png",4,220,900)</f>
        <v/>
      </c>
      <c r="T1091">
        <f>IMAGE("https://mitra.stanford.edu/kundaje/oak/projects/neuro-variants/variant_position/credible/roussos_2024/variant_figures/roussos_2024.adolescence.GLU/rs9556508_profile_position.png",4,220,900)</f>
        <v/>
      </c>
    </row>
    <row r="1092">
      <c r="A1092" t="inlineStr">
        <is>
          <t>chr13</t>
        </is>
      </c>
      <c r="B1092" t="n">
        <v>95937483</v>
      </c>
      <c r="C1092" t="inlineStr">
        <is>
          <t>C</t>
        </is>
      </c>
      <c r="D1092" t="inlineStr">
        <is>
          <t>A</t>
        </is>
      </c>
      <c r="E1092" t="inlineStr">
        <is>
          <t>rs1411557</t>
        </is>
      </c>
      <c r="F1092" t="n">
        <v>0.00690400912</v>
      </c>
      <c r="G1092" t="n">
        <v>0.6365786330674083</v>
      </c>
      <c r="H1092" t="n">
        <v>0.0296807707737635</v>
      </c>
      <c r="I1092" t="n">
        <v>0.009130378555129</v>
      </c>
      <c r="J1092" t="n">
        <v>0.0695529788313293</v>
      </c>
      <c r="K1092" t="n">
        <v>0.6436803810289305</v>
      </c>
      <c r="L1092" t="b">
        <v>1</v>
      </c>
      <c r="M1092" t="b">
        <v>1</v>
      </c>
      <c r="N1092" t="inlineStr">
        <is>
          <t>alt</t>
        </is>
      </c>
      <c r="O1092" t="n">
        <v>60</v>
      </c>
      <c r="P1092" t="n">
        <v>0.00582</v>
      </c>
      <c r="Q1092" t="n">
        <v>-95</v>
      </c>
      <c r="R1092" t="n">
        <v>0.03586</v>
      </c>
      <c r="S1092">
        <f>IMAGE("https://mitra.stanford.edu/kundaje/oak/projects/neuro-variants/variant_position/credible/roussos_2024/variant_figures/roussos_2024.adolescence.GLU/rs1411557_count_position.png",4,220,900)</f>
        <v/>
      </c>
      <c r="T1092">
        <f>IMAGE("https://mitra.stanford.edu/kundaje/oak/projects/neuro-variants/variant_position/credible/roussos_2024/variant_figures/roussos_2024.adolescence.GLU/rs1411557_profile_position.png",4,220,900)</f>
        <v/>
      </c>
    </row>
    <row r="1093">
      <c r="A1093" t="inlineStr">
        <is>
          <t>chr13</t>
        </is>
      </c>
      <c r="B1093" t="n">
        <v>95968179</v>
      </c>
      <c r="C1093" t="inlineStr">
        <is>
          <t>T</t>
        </is>
      </c>
      <c r="D1093" t="inlineStr">
        <is>
          <t>A</t>
        </is>
      </c>
      <c r="E1093" t="inlineStr">
        <is>
          <t>rs11619333</t>
        </is>
      </c>
      <c r="F1093" t="n">
        <v>0.0086080828</v>
      </c>
      <c r="G1093" t="n">
        <v>0.5550904783239597</v>
      </c>
      <c r="H1093" t="n">
        <v>0.0185369365693267</v>
      </c>
      <c r="I1093" t="n">
        <v>0.07407090576961931</v>
      </c>
      <c r="J1093" t="n">
        <v>0.0216173350193968</v>
      </c>
      <c r="K1093" t="n">
        <v>0.8166016727743767</v>
      </c>
      <c r="L1093" t="b">
        <v>0</v>
      </c>
      <c r="M1093" t="b">
        <v>0</v>
      </c>
      <c r="N1093" t="inlineStr">
        <is>
          <t>alt</t>
        </is>
      </c>
      <c r="O1093" t="n">
        <v>45</v>
      </c>
      <c r="P1093" t="n">
        <v>0.00193</v>
      </c>
      <c r="Q1093" t="n">
        <v>100</v>
      </c>
      <c r="R1093" t="n">
        <v>0.05725</v>
      </c>
      <c r="S1093">
        <f>IMAGE("https://mitra.stanford.edu/kundaje/oak/projects/neuro-variants/variant_position/credible/roussos_2024/variant_figures/roussos_2024.adolescence.GLU/rs11619333_count_position.png",4,220,900)</f>
        <v/>
      </c>
      <c r="T1093">
        <f>IMAGE("https://mitra.stanford.edu/kundaje/oak/projects/neuro-variants/variant_position/credible/roussos_2024/variant_figures/roussos_2024.adolescence.GLU/rs11619333_profile_position.png",4,220,900)</f>
        <v/>
      </c>
    </row>
    <row r="1094">
      <c r="A1094" t="inlineStr">
        <is>
          <t>chr13</t>
        </is>
      </c>
      <c r="B1094" t="n">
        <v>95971316</v>
      </c>
      <c r="C1094" t="inlineStr">
        <is>
          <t>C</t>
        </is>
      </c>
      <c r="D1094" t="inlineStr">
        <is>
          <t>A</t>
        </is>
      </c>
      <c r="E1094" t="inlineStr">
        <is>
          <t>rs7324957</t>
        </is>
      </c>
      <c r="F1094" t="n">
        <v>-0.0097108199999999</v>
      </c>
      <c r="G1094" t="n">
        <v>0.5341954111444288</v>
      </c>
      <c r="H1094" t="n">
        <v>0.010104301317453</v>
      </c>
      <c r="I1094" t="n">
        <v>0.5098927844571675</v>
      </c>
      <c r="J1094" t="n">
        <v>0.063666045109344</v>
      </c>
      <c r="K1094" t="n">
        <v>0.6583721815486411</v>
      </c>
      <c r="L1094" t="b">
        <v>0</v>
      </c>
      <c r="M1094" t="b">
        <v>0</v>
      </c>
      <c r="N1094" t="inlineStr">
        <is>
          <t>ref</t>
        </is>
      </c>
      <c r="O1094" t="n">
        <v>100</v>
      </c>
      <c r="P1094" t="n">
        <v>0.008880000000000001</v>
      </c>
      <c r="Q1094" t="n">
        <v>-100</v>
      </c>
      <c r="R1094" t="n">
        <v>0.07104000000000001</v>
      </c>
      <c r="S1094">
        <f>IMAGE("https://mitra.stanford.edu/kundaje/oak/projects/neuro-variants/variant_position/credible/roussos_2024/variant_figures/roussos_2024.adolescence.GLU/rs7324957_count_position.png",4,220,900)</f>
        <v/>
      </c>
      <c r="T1094">
        <f>IMAGE("https://mitra.stanford.edu/kundaje/oak/projects/neuro-variants/variant_position/credible/roussos_2024/variant_figures/roussos_2024.adolescence.GLU/rs7324957_profile_position.png",4,220,900)</f>
        <v/>
      </c>
    </row>
    <row r="1095">
      <c r="A1095" t="inlineStr">
        <is>
          <t>chr13</t>
        </is>
      </c>
      <c r="B1095" t="n">
        <v>95979670</v>
      </c>
      <c r="C1095" t="inlineStr">
        <is>
          <t>G</t>
        </is>
      </c>
      <c r="D1095" t="inlineStr">
        <is>
          <t>A</t>
        </is>
      </c>
      <c r="E1095" t="inlineStr">
        <is>
          <t>rs9562005</t>
        </is>
      </c>
      <c r="F1095" t="n">
        <v>-0.00863279262</v>
      </c>
      <c r="G1095" t="n">
        <v>0.5753420770441039</v>
      </c>
      <c r="H1095" t="n">
        <v>0.008750833815891401</v>
      </c>
      <c r="I1095" t="n">
        <v>0.7008993685613605</v>
      </c>
      <c r="J1095" t="n">
        <v>0.109411235184431</v>
      </c>
      <c r="K1095" t="n">
        <v>0.5480485988763554</v>
      </c>
      <c r="L1095" t="b">
        <v>0</v>
      </c>
      <c r="M1095" t="b">
        <v>0</v>
      </c>
      <c r="N1095" t="inlineStr">
        <is>
          <t>ref</t>
        </is>
      </c>
      <c r="O1095" t="n">
        <v>15</v>
      </c>
      <c r="P1095" t="n">
        <v>0.008803999999999999</v>
      </c>
      <c r="Q1095" t="n">
        <v>5</v>
      </c>
      <c r="R1095" t="n">
        <v>0.00415</v>
      </c>
      <c r="S1095">
        <f>IMAGE("https://mitra.stanford.edu/kundaje/oak/projects/neuro-variants/variant_position/credible/roussos_2024/variant_figures/roussos_2024.adolescence.GLU/rs9562005_count_position.png",4,220,900)</f>
        <v/>
      </c>
      <c r="T1095">
        <f>IMAGE("https://mitra.stanford.edu/kundaje/oak/projects/neuro-variants/variant_position/credible/roussos_2024/variant_figures/roussos_2024.adolescence.GLU/rs9562005_profile_position.png",4,220,900)</f>
        <v/>
      </c>
    </row>
    <row r="1096">
      <c r="A1096" t="inlineStr">
        <is>
          <t>chr13</t>
        </is>
      </c>
      <c r="B1096" t="n">
        <v>95985541</v>
      </c>
      <c r="C1096" t="inlineStr">
        <is>
          <t>T</t>
        </is>
      </c>
      <c r="D1096" t="inlineStr">
        <is>
          <t>C</t>
        </is>
      </c>
      <c r="E1096" t="inlineStr">
        <is>
          <t>rs117227967</t>
        </is>
      </c>
      <c r="F1096" t="n">
        <v>0.0268913116</v>
      </c>
      <c r="G1096" t="n">
        <v>0.1967213477428568</v>
      </c>
      <c r="H1096" t="n">
        <v>0.0142559054713215</v>
      </c>
      <c r="I1096" t="n">
        <v>0.1838755939838425</v>
      </c>
      <c r="J1096" t="n">
        <v>0.0152917390030791</v>
      </c>
      <c r="K1096" t="n">
        <v>0.8465588430774045</v>
      </c>
      <c r="L1096" t="b">
        <v>0</v>
      </c>
      <c r="M1096" t="b">
        <v>0</v>
      </c>
      <c r="N1096" t="inlineStr">
        <is>
          <t>alt</t>
        </is>
      </c>
      <c r="O1096" t="n">
        <v>0</v>
      </c>
      <c r="P1096" t="n">
        <v>0</v>
      </c>
      <c r="Q1096" t="n">
        <v>100</v>
      </c>
      <c r="R1096" t="n">
        <v>0.08795</v>
      </c>
      <c r="S1096">
        <f>IMAGE("https://mitra.stanford.edu/kundaje/oak/projects/neuro-variants/variant_position/credible/roussos_2024/variant_figures/roussos_2024.adolescence.GLU/rs117227967_count_position.png",4,220,900)</f>
        <v/>
      </c>
      <c r="T1096">
        <f>IMAGE("https://mitra.stanford.edu/kundaje/oak/projects/neuro-variants/variant_position/credible/roussos_2024/variant_figures/roussos_2024.adolescence.GLU/rs117227967_profile_position.png",4,220,900)</f>
        <v/>
      </c>
    </row>
    <row r="1097">
      <c r="A1097" t="inlineStr">
        <is>
          <t>chr13</t>
        </is>
      </c>
      <c r="B1097" t="n">
        <v>96003118</v>
      </c>
      <c r="C1097" t="inlineStr">
        <is>
          <t>T</t>
        </is>
      </c>
      <c r="D1097" t="inlineStr">
        <is>
          <t>C</t>
        </is>
      </c>
      <c r="E1097" t="inlineStr">
        <is>
          <t>rs2026819</t>
        </is>
      </c>
      <c r="F1097" t="n">
        <v>0.008526472499999899</v>
      </c>
      <c r="G1097" t="n">
        <v>0.5546664759844743</v>
      </c>
      <c r="H1097" t="n">
        <v>0.0091136597569576</v>
      </c>
      <c r="I1097" t="n">
        <v>0.6355693721623623</v>
      </c>
      <c r="J1097" t="n">
        <v>0.1786755827992941</v>
      </c>
      <c r="K1097" t="n">
        <v>0.4179851357164577</v>
      </c>
      <c r="L1097" t="b">
        <v>0</v>
      </c>
      <c r="M1097" t="b">
        <v>0</v>
      </c>
      <c r="N1097" t="inlineStr">
        <is>
          <t>alt</t>
        </is>
      </c>
      <c r="O1097" t="n">
        <v>100</v>
      </c>
      <c r="P1097" t="n">
        <v>0.01492</v>
      </c>
      <c r="Q1097" t="n">
        <v>-95</v>
      </c>
      <c r="R1097" t="n">
        <v>0.0611</v>
      </c>
      <c r="S1097">
        <f>IMAGE("https://mitra.stanford.edu/kundaje/oak/projects/neuro-variants/variant_position/credible/roussos_2024/variant_figures/roussos_2024.adolescence.GLU/rs2026819_count_position.png",4,220,900)</f>
        <v/>
      </c>
      <c r="T1097">
        <f>IMAGE("https://mitra.stanford.edu/kundaje/oak/projects/neuro-variants/variant_position/credible/roussos_2024/variant_figures/roussos_2024.adolescence.GLU/rs2026819_profile_position.png",4,220,900)</f>
        <v/>
      </c>
    </row>
    <row r="1098">
      <c r="A1098" t="inlineStr">
        <is>
          <t>chr13</t>
        </is>
      </c>
      <c r="B1098" t="n">
        <v>96029297</v>
      </c>
      <c r="C1098" t="inlineStr">
        <is>
          <t>A</t>
        </is>
      </c>
      <c r="D1098" t="inlineStr">
        <is>
          <t>T</t>
        </is>
      </c>
      <c r="E1098" t="inlineStr">
        <is>
          <t>rs3782990</t>
        </is>
      </c>
      <c r="F1098" t="n">
        <v>0.00894452192</v>
      </c>
      <c r="G1098" t="n">
        <v>0.539767616527151</v>
      </c>
      <c r="H1098" t="n">
        <v>0.0302087223945211</v>
      </c>
      <c r="I1098" t="n">
        <v>0.0088236562190524</v>
      </c>
      <c r="J1098" t="n">
        <v>0.0461795657671945</v>
      </c>
      <c r="K1098" t="n">
        <v>0.7200042708423635</v>
      </c>
      <c r="L1098" t="b">
        <v>1</v>
      </c>
      <c r="M1098" t="b">
        <v>0</v>
      </c>
      <c r="N1098" t="inlineStr">
        <is>
          <t>alt</t>
        </is>
      </c>
      <c r="O1098" t="n">
        <v>-85</v>
      </c>
      <c r="P1098" t="n">
        <v>0.015205</v>
      </c>
      <c r="Q1098" t="n">
        <v>75</v>
      </c>
      <c r="R1098" t="n">
        <v>0.0781</v>
      </c>
      <c r="S1098">
        <f>IMAGE("https://mitra.stanford.edu/kundaje/oak/projects/neuro-variants/variant_position/credible/roussos_2024/variant_figures/roussos_2024.adolescence.GLU/rs3782990_count_position.png",4,220,900)</f>
        <v/>
      </c>
      <c r="T1098">
        <f>IMAGE("https://mitra.stanford.edu/kundaje/oak/projects/neuro-variants/variant_position/credible/roussos_2024/variant_figures/roussos_2024.adolescence.GLU/rs3782990_profile_position.png",4,220,900)</f>
        <v/>
      </c>
    </row>
    <row r="1099">
      <c r="A1099" t="inlineStr">
        <is>
          <t>chr13</t>
        </is>
      </c>
      <c r="B1099" t="n">
        <v>96053485</v>
      </c>
      <c r="C1099" t="inlineStr">
        <is>
          <t>T</t>
        </is>
      </c>
      <c r="D1099" t="inlineStr">
        <is>
          <t>C</t>
        </is>
      </c>
      <c r="E1099" t="inlineStr">
        <is>
          <t>rs2277419</t>
        </is>
      </c>
      <c r="F1099" t="n">
        <v>-0.0032126663879999</v>
      </c>
      <c r="G1099" t="n">
        <v>0.6319290193712256</v>
      </c>
      <c r="H1099" t="n">
        <v>0.0292297024769663</v>
      </c>
      <c r="I1099" t="n">
        <v>0.009639011060057901</v>
      </c>
      <c r="J1099" t="n">
        <v>0.927560709004008</v>
      </c>
      <c r="K1099" t="n">
        <v>0.0024980845157763</v>
      </c>
      <c r="L1099" t="b">
        <v>1</v>
      </c>
      <c r="M1099" t="b">
        <v>1</v>
      </c>
      <c r="N1099" t="inlineStr">
        <is>
          <t>ref</t>
        </is>
      </c>
      <c r="O1099" t="n">
        <v>-45</v>
      </c>
      <c r="P1099" t="n">
        <v>0.0047</v>
      </c>
      <c r="Q1099" t="n">
        <v>-45</v>
      </c>
      <c r="R1099" t="n">
        <v>0.04346</v>
      </c>
      <c r="S1099">
        <f>IMAGE("https://mitra.stanford.edu/kundaje/oak/projects/neuro-variants/variant_position/credible/roussos_2024/variant_figures/roussos_2024.adolescence.GLU/rs2277419_count_position.png",4,220,900)</f>
        <v/>
      </c>
      <c r="T1099">
        <f>IMAGE("https://mitra.stanford.edu/kundaje/oak/projects/neuro-variants/variant_position/credible/roussos_2024/variant_figures/roussos_2024.adolescence.GLU/rs2277419_profile_position.png",4,220,900)</f>
        <v/>
      </c>
    </row>
    <row r="1100">
      <c r="A1100" t="inlineStr">
        <is>
          <t>chr13</t>
        </is>
      </c>
      <c r="B1100" t="n">
        <v>96068177</v>
      </c>
      <c r="C1100" t="inlineStr">
        <is>
          <t>C</t>
        </is>
      </c>
      <c r="D1100" t="inlineStr">
        <is>
          <t>A</t>
        </is>
      </c>
      <c r="E1100" t="inlineStr">
        <is>
          <t>rs1854173</t>
        </is>
      </c>
      <c r="F1100" t="n">
        <v>-0.0799422379999999</v>
      </c>
      <c r="G1100" t="n">
        <v>0.0157355300032647</v>
      </c>
      <c r="H1100" t="n">
        <v>0.0182079727793755</v>
      </c>
      <c r="I1100" t="n">
        <v>0.0765380011222876</v>
      </c>
      <c r="J1100" t="n">
        <v>0.2382893599388444</v>
      </c>
      <c r="K1100" t="n">
        <v>0.3489734680420209</v>
      </c>
      <c r="L1100" t="b">
        <v>1</v>
      </c>
      <c r="M1100" t="b">
        <v>0</v>
      </c>
      <c r="N1100" t="inlineStr">
        <is>
          <t>ref</t>
        </is>
      </c>
      <c r="O1100" t="n">
        <v>95</v>
      </c>
      <c r="P1100" t="n">
        <v>0.01141</v>
      </c>
      <c r="Q1100" t="n">
        <v>70</v>
      </c>
      <c r="R1100" t="n">
        <v>0.1267</v>
      </c>
      <c r="S1100">
        <f>IMAGE("https://mitra.stanford.edu/kundaje/oak/projects/neuro-variants/variant_position/credible/roussos_2024/variant_figures/roussos_2024.adolescence.GLU/rs1854173_count_position.png",4,220,900)</f>
        <v/>
      </c>
      <c r="T1100">
        <f>IMAGE("https://mitra.stanford.edu/kundaje/oak/projects/neuro-variants/variant_position/credible/roussos_2024/variant_figures/roussos_2024.adolescence.GLU/rs1854173_profile_position.png",4,220,900)</f>
        <v/>
      </c>
    </row>
    <row r="1101">
      <c r="A1101" t="inlineStr">
        <is>
          <t>chr13</t>
        </is>
      </c>
      <c r="B1101" t="n">
        <v>96089608</v>
      </c>
      <c r="C1101" t="inlineStr">
        <is>
          <t>T</t>
        </is>
      </c>
      <c r="D1101" t="inlineStr">
        <is>
          <t>G</t>
        </is>
      </c>
      <c r="E1101" t="inlineStr">
        <is>
          <t>rs11618108</t>
        </is>
      </c>
      <c r="F1101" t="n">
        <v>0.0354680817999999</v>
      </c>
      <c r="G1101" t="n">
        <v>0.1270722576604466</v>
      </c>
      <c r="H1101" t="n">
        <v>0.0127740485137015</v>
      </c>
      <c r="I1101" t="n">
        <v>0.2741609281007969</v>
      </c>
      <c r="J1101" t="n">
        <v>0.5813975752120082</v>
      </c>
      <c r="K1101" t="n">
        <v>0.0453622787891781</v>
      </c>
      <c r="L1101" t="b">
        <v>0</v>
      </c>
      <c r="M1101" t="b">
        <v>0</v>
      </c>
      <c r="N1101" t="inlineStr">
        <is>
          <t>alt</t>
        </is>
      </c>
      <c r="O1101" t="n">
        <v>-95</v>
      </c>
      <c r="P1101" t="n">
        <v>0.008999999999999999</v>
      </c>
      <c r="Q1101" t="n">
        <v>100</v>
      </c>
      <c r="R1101" t="n">
        <v>0.105</v>
      </c>
      <c r="S1101">
        <f>IMAGE("https://mitra.stanford.edu/kundaje/oak/projects/neuro-variants/variant_position/credible/roussos_2024/variant_figures/roussos_2024.adolescence.GLU/rs11618108_count_position.png",4,220,900)</f>
        <v/>
      </c>
      <c r="T1101">
        <f>IMAGE("https://mitra.stanford.edu/kundaje/oak/projects/neuro-variants/variant_position/credible/roussos_2024/variant_figures/roussos_2024.adolescence.GLU/rs11618108_profile_position.png",4,220,900)</f>
        <v/>
      </c>
    </row>
    <row r="1102">
      <c r="A1102" t="inlineStr">
        <is>
          <t>chr13</t>
        </is>
      </c>
      <c r="B1102" t="n">
        <v>96103960</v>
      </c>
      <c r="C1102" t="inlineStr">
        <is>
          <t>T</t>
        </is>
      </c>
      <c r="D1102" t="inlineStr">
        <is>
          <t>G</t>
        </is>
      </c>
      <c r="E1102" t="inlineStr">
        <is>
          <t>rs200086486</t>
        </is>
      </c>
      <c r="F1102" t="n">
        <v>-0.00737432657042</v>
      </c>
      <c r="G1102" t="n">
        <v>0.6447024858488866</v>
      </c>
      <c r="H1102" t="n">
        <v>0.0288301723353892</v>
      </c>
      <c r="I1102" t="n">
        <v>0.0105396685124474</v>
      </c>
      <c r="J1102" t="n">
        <v>0.1060405369683719</v>
      </c>
      <c r="K1102" t="n">
        <v>0.5549031180257591</v>
      </c>
      <c r="L1102" t="b">
        <v>1</v>
      </c>
      <c r="M1102" t="b">
        <v>0</v>
      </c>
      <c r="N1102" t="inlineStr">
        <is>
          <t>ref</t>
        </is>
      </c>
      <c r="O1102" t="n">
        <v>40</v>
      </c>
      <c r="P1102" t="n">
        <v>0.007866</v>
      </c>
      <c r="Q1102" t="n">
        <v>-100</v>
      </c>
      <c r="R1102" t="n">
        <v>0.1055</v>
      </c>
      <c r="S1102">
        <f>IMAGE("https://mitra.stanford.edu/kundaje/oak/projects/neuro-variants/variant_position/credible/roussos_2024/variant_figures/roussos_2024.adolescence.GLU/rs200086486_count_position.png",4,220,900)</f>
        <v/>
      </c>
      <c r="T1102">
        <f>IMAGE("https://mitra.stanford.edu/kundaje/oak/projects/neuro-variants/variant_position/credible/roussos_2024/variant_figures/roussos_2024.adolescence.GLU/rs200086486_profile_position.png",4,220,900)</f>
        <v/>
      </c>
    </row>
    <row r="1103">
      <c r="A1103" t="inlineStr">
        <is>
          <t>chr13</t>
        </is>
      </c>
      <c r="B1103" t="n">
        <v>96117228</v>
      </c>
      <c r="C1103" t="inlineStr">
        <is>
          <t>A</t>
        </is>
      </c>
      <c r="D1103" t="inlineStr">
        <is>
          <t>C</t>
        </is>
      </c>
      <c r="E1103" t="inlineStr">
        <is>
          <t>rs493423</t>
        </is>
      </c>
      <c r="F1103" t="n">
        <v>0.00238844524</v>
      </c>
      <c r="G1103" t="n">
        <v>0.8468492287133409</v>
      </c>
      <c r="H1103" t="n">
        <v>0.0142725420844802</v>
      </c>
      <c r="I1103" t="n">
        <v>0.1940848092146641</v>
      </c>
      <c r="J1103" t="n">
        <v>0.0232162376492273</v>
      </c>
      <c r="K1103" t="n">
        <v>0.804748053738925</v>
      </c>
      <c r="L1103" t="b">
        <v>0</v>
      </c>
      <c r="M1103" t="b">
        <v>0</v>
      </c>
      <c r="N1103" t="inlineStr">
        <is>
          <t>alt</t>
        </is>
      </c>
      <c r="O1103" t="n">
        <v>95</v>
      </c>
      <c r="P1103" t="n">
        <v>0.01192</v>
      </c>
      <c r="Q1103" t="n">
        <v>-55</v>
      </c>
      <c r="R1103" t="n">
        <v>0.02484</v>
      </c>
      <c r="S1103">
        <f>IMAGE("https://mitra.stanford.edu/kundaje/oak/projects/neuro-variants/variant_position/credible/roussos_2024/variant_figures/roussos_2024.adolescence.GLU/rs493423_count_position.png",4,220,900)</f>
        <v/>
      </c>
      <c r="T1103">
        <f>IMAGE("https://mitra.stanford.edu/kundaje/oak/projects/neuro-variants/variant_position/credible/roussos_2024/variant_figures/roussos_2024.adolescence.GLU/rs493423_profile_position.png",4,220,900)</f>
        <v/>
      </c>
    </row>
    <row r="1104">
      <c r="A1104" t="inlineStr">
        <is>
          <t>chr13</t>
        </is>
      </c>
      <c r="B1104" t="n">
        <v>96136335</v>
      </c>
      <c r="C1104" t="inlineStr">
        <is>
          <t>T</t>
        </is>
      </c>
      <c r="D1104" t="inlineStr">
        <is>
          <t>C</t>
        </is>
      </c>
      <c r="E1104" t="inlineStr">
        <is>
          <t>rs504340</t>
        </is>
      </c>
      <c r="F1104" t="n">
        <v>0.09195845900000001</v>
      </c>
      <c r="G1104" t="n">
        <v>0.008840779655435701</v>
      </c>
      <c r="H1104" t="n">
        <v>0.0146615400789372</v>
      </c>
      <c r="I1104" t="n">
        <v>0.1701409722707017</v>
      </c>
      <c r="J1104" t="n">
        <v>0.2464567660443949</v>
      </c>
      <c r="K1104" t="n">
        <v>0.3392174007330694</v>
      </c>
      <c r="L1104" t="b">
        <v>1</v>
      </c>
      <c r="M1104" t="b">
        <v>1</v>
      </c>
      <c r="N1104" t="inlineStr">
        <is>
          <t>alt</t>
        </is>
      </c>
      <c r="O1104" t="n">
        <v>-20</v>
      </c>
      <c r="P1104" t="n">
        <v>0.001373</v>
      </c>
      <c r="Q1104" t="n">
        <v>100</v>
      </c>
      <c r="R1104" t="n">
        <v>0.104</v>
      </c>
      <c r="S1104">
        <f>IMAGE("https://mitra.stanford.edu/kundaje/oak/projects/neuro-variants/variant_position/credible/roussos_2024/variant_figures/roussos_2024.adolescence.GLU/rs504340_count_position.png",4,220,900)</f>
        <v/>
      </c>
      <c r="T1104">
        <f>IMAGE("https://mitra.stanford.edu/kundaje/oak/projects/neuro-variants/variant_position/credible/roussos_2024/variant_figures/roussos_2024.adolescence.GLU/rs504340_profile_position.png",4,220,900)</f>
        <v/>
      </c>
    </row>
    <row r="1105">
      <c r="A1105" t="inlineStr">
        <is>
          <t>chr13</t>
        </is>
      </c>
      <c r="B1105" t="n">
        <v>96140622</v>
      </c>
      <c r="C1105" t="inlineStr">
        <is>
          <t>T</t>
        </is>
      </c>
      <c r="D1105" t="inlineStr">
        <is>
          <t>G</t>
        </is>
      </c>
      <c r="E1105" t="inlineStr">
        <is>
          <t>rs1117183</t>
        </is>
      </c>
      <c r="F1105" t="n">
        <v>0.000893738232</v>
      </c>
      <c r="G1105" t="n">
        <v>0.7162118212442764</v>
      </c>
      <c r="H1105" t="n">
        <v>0.0211066332122952</v>
      </c>
      <c r="I1105" t="n">
        <v>0.0430566915011808</v>
      </c>
      <c r="J1105" t="n">
        <v>0.1500682284187438</v>
      </c>
      <c r="K1105" t="n">
        <v>0.4730591890799637</v>
      </c>
      <c r="L1105" t="b">
        <v>0</v>
      </c>
      <c r="M1105" t="b">
        <v>0</v>
      </c>
      <c r="N1105" t="inlineStr">
        <is>
          <t>alt</t>
        </is>
      </c>
      <c r="O1105" t="n">
        <v>-40</v>
      </c>
      <c r="P1105" t="n">
        <v>0.008933999999999999</v>
      </c>
      <c r="Q1105" t="n">
        <v>95</v>
      </c>
      <c r="R1105" t="n">
        <v>0.0969</v>
      </c>
      <c r="S1105">
        <f>IMAGE("https://mitra.stanford.edu/kundaje/oak/projects/neuro-variants/variant_position/credible/roussos_2024/variant_figures/roussos_2024.adolescence.GLU/rs1117183_count_position.png",4,220,900)</f>
        <v/>
      </c>
      <c r="T1105">
        <f>IMAGE("https://mitra.stanford.edu/kundaje/oak/projects/neuro-variants/variant_position/credible/roussos_2024/variant_figures/roussos_2024.adolescence.GLU/rs1117183_profile_position.png",4,220,900)</f>
        <v/>
      </c>
    </row>
    <row r="1106">
      <c r="A1106" t="inlineStr">
        <is>
          <t>chr13</t>
        </is>
      </c>
      <c r="B1106" t="n">
        <v>96141355</v>
      </c>
      <c r="C1106" t="inlineStr">
        <is>
          <t>C</t>
        </is>
      </c>
      <c r="D1106" t="inlineStr">
        <is>
          <t>T</t>
        </is>
      </c>
      <c r="E1106" t="inlineStr">
        <is>
          <t>rs640357</t>
        </is>
      </c>
      <c r="F1106" t="n">
        <v>-0.001625947542</v>
      </c>
      <c r="G1106" t="n">
        <v>0.8212615966534176</v>
      </c>
      <c r="H1106" t="n">
        <v>0.0292924783031327</v>
      </c>
      <c r="I1106" t="n">
        <v>0.0101187200092363</v>
      </c>
      <c r="J1106" t="n">
        <v>0.3571111158740024</v>
      </c>
      <c r="K1106" t="n">
        <v>0.2045195381097144</v>
      </c>
      <c r="L1106" t="b">
        <v>1</v>
      </c>
      <c r="M1106" t="b">
        <v>0</v>
      </c>
      <c r="N1106" t="inlineStr">
        <is>
          <t>ref</t>
        </is>
      </c>
      <c r="O1106" t="n">
        <v>-95</v>
      </c>
      <c r="P1106" t="n">
        <v>0.03235</v>
      </c>
      <c r="Q1106" t="n">
        <v>-95</v>
      </c>
      <c r="R1106" t="n">
        <v>0.144</v>
      </c>
      <c r="S1106">
        <f>IMAGE("https://mitra.stanford.edu/kundaje/oak/projects/neuro-variants/variant_position/credible/roussos_2024/variant_figures/roussos_2024.adolescence.GLU/rs640357_count_position.png",4,220,900)</f>
        <v/>
      </c>
      <c r="T1106">
        <f>IMAGE("https://mitra.stanford.edu/kundaje/oak/projects/neuro-variants/variant_position/credible/roussos_2024/variant_figures/roussos_2024.adolescence.GLU/rs640357_profile_position.png",4,220,900)</f>
        <v/>
      </c>
    </row>
    <row r="1107">
      <c r="A1107" t="inlineStr">
        <is>
          <t>chr13</t>
        </is>
      </c>
      <c r="B1107" t="n">
        <v>96178713</v>
      </c>
      <c r="C1107" t="inlineStr">
        <is>
          <t>A</t>
        </is>
      </c>
      <c r="D1107" t="inlineStr">
        <is>
          <t>G</t>
        </is>
      </c>
      <c r="E1107" t="inlineStr">
        <is>
          <t>rs16951630</t>
        </is>
      </c>
      <c r="F1107" t="n">
        <v>0.0439935732</v>
      </c>
      <c r="G1107" t="n">
        <v>0.0822932391116782</v>
      </c>
      <c r="H1107" t="n">
        <v>0.0118582514079634</v>
      </c>
      <c r="I1107" t="n">
        <v>0.344609453298876</v>
      </c>
      <c r="J1107" t="n">
        <v>0.102268327010595</v>
      </c>
      <c r="K1107" t="n">
        <v>0.5709109642285284</v>
      </c>
      <c r="L1107" t="b">
        <v>0</v>
      </c>
      <c r="M1107" t="b">
        <v>0</v>
      </c>
      <c r="N1107" t="inlineStr">
        <is>
          <t>alt</t>
        </is>
      </c>
      <c r="O1107" t="n">
        <v>75</v>
      </c>
      <c r="P1107" t="n">
        <v>0.005123</v>
      </c>
      <c r="Q1107" t="n">
        <v>-50</v>
      </c>
      <c r="R1107" t="n">
        <v>0.03137</v>
      </c>
      <c r="S1107">
        <f>IMAGE("https://mitra.stanford.edu/kundaje/oak/projects/neuro-variants/variant_position/credible/roussos_2024/variant_figures/roussos_2024.adolescence.GLU/rs16951630_count_position.png",4,220,900)</f>
        <v/>
      </c>
      <c r="T1107">
        <f>IMAGE("https://mitra.stanford.edu/kundaje/oak/projects/neuro-variants/variant_position/credible/roussos_2024/variant_figures/roussos_2024.adolescence.GLU/rs16951630_profile_position.png",4,220,900)</f>
        <v/>
      </c>
    </row>
    <row r="1108">
      <c r="A1108" t="inlineStr">
        <is>
          <t>chr13</t>
        </is>
      </c>
      <c r="B1108" t="n">
        <v>96207822</v>
      </c>
      <c r="C1108" t="inlineStr">
        <is>
          <t>G</t>
        </is>
      </c>
      <c r="D1108" t="inlineStr">
        <is>
          <t>A</t>
        </is>
      </c>
      <c r="E1108" t="inlineStr">
        <is>
          <t>rs9590371</t>
        </is>
      </c>
      <c r="F1108" t="n">
        <v>-0.0273471152</v>
      </c>
      <c r="G1108" t="n">
        <v>0.2145976294382829</v>
      </c>
      <c r="H1108" t="n">
        <v>0.0085267023438964</v>
      </c>
      <c r="I1108" t="n">
        <v>0.7016249661946909</v>
      </c>
      <c r="J1108" t="n">
        <v>0.0256367390388008</v>
      </c>
      <c r="K1108" t="n">
        <v>0.789057722387463</v>
      </c>
      <c r="L1108" t="b">
        <v>0</v>
      </c>
      <c r="M1108" t="b">
        <v>0</v>
      </c>
      <c r="N1108" t="inlineStr">
        <is>
          <t>ref</t>
        </is>
      </c>
      <c r="O1108" t="n">
        <v>100</v>
      </c>
      <c r="P1108" t="n">
        <v>0.003904</v>
      </c>
      <c r="Q1108" t="n">
        <v>-70</v>
      </c>
      <c r="R1108" t="n">
        <v>0.0379</v>
      </c>
      <c r="S1108">
        <f>IMAGE("https://mitra.stanford.edu/kundaje/oak/projects/neuro-variants/variant_position/credible/roussos_2024/variant_figures/roussos_2024.adolescence.GLU/rs9590371_count_position.png",4,220,900)</f>
        <v/>
      </c>
      <c r="T1108">
        <f>IMAGE("https://mitra.stanford.edu/kundaje/oak/projects/neuro-variants/variant_position/credible/roussos_2024/variant_figures/roussos_2024.adolescence.GLU/rs9590371_profile_position.png",4,220,900)</f>
        <v/>
      </c>
    </row>
    <row r="1109">
      <c r="A1109" t="inlineStr">
        <is>
          <t>chr13</t>
        </is>
      </c>
      <c r="B1109" t="n">
        <v>96221190</v>
      </c>
      <c r="C1109" t="inlineStr">
        <is>
          <t>T</t>
        </is>
      </c>
      <c r="D1109" t="inlineStr">
        <is>
          <t>C</t>
        </is>
      </c>
      <c r="E1109" t="inlineStr">
        <is>
          <t>rs1927808</t>
        </is>
      </c>
      <c r="F1109" t="n">
        <v>0.0006597141599999999</v>
      </c>
      <c r="G1109" t="n">
        <v>0.6572903389985416</v>
      </c>
      <c r="H1109" t="n">
        <v>0.0104565905249339</v>
      </c>
      <c r="I1109" t="n">
        <v>0.4509745175514084</v>
      </c>
      <c r="J1109" t="n">
        <v>0.0319494752484442</v>
      </c>
      <c r="K1109" t="n">
        <v>0.7654514767334405</v>
      </c>
      <c r="L1109" t="b">
        <v>0</v>
      </c>
      <c r="M1109" t="b">
        <v>0</v>
      </c>
      <c r="N1109" t="inlineStr">
        <is>
          <t>alt</t>
        </is>
      </c>
      <c r="O1109" t="n">
        <v>-100</v>
      </c>
      <c r="P1109" t="n">
        <v>0.0159</v>
      </c>
      <c r="Q1109" t="n">
        <v>20</v>
      </c>
      <c r="R1109" t="n">
        <v>0.00586</v>
      </c>
      <c r="S1109">
        <f>IMAGE("https://mitra.stanford.edu/kundaje/oak/projects/neuro-variants/variant_position/credible/roussos_2024/variant_figures/roussos_2024.adolescence.GLU/rs1927808_count_position.png",4,220,900)</f>
        <v/>
      </c>
      <c r="T1109">
        <f>IMAGE("https://mitra.stanford.edu/kundaje/oak/projects/neuro-variants/variant_position/credible/roussos_2024/variant_figures/roussos_2024.adolescence.GLU/rs1927808_profile_position.png",4,220,900)</f>
        <v/>
      </c>
    </row>
    <row r="1110">
      <c r="A1110" t="inlineStr">
        <is>
          <t>chr13</t>
        </is>
      </c>
      <c r="B1110" t="n">
        <v>96229983</v>
      </c>
      <c r="C1110" t="inlineStr">
        <is>
          <t>C</t>
        </is>
      </c>
      <c r="D1110" t="inlineStr">
        <is>
          <t>T</t>
        </is>
      </c>
      <c r="E1110" t="inlineStr">
        <is>
          <t>rs9516643</t>
        </is>
      </c>
      <c r="F1110" t="n">
        <v>-0.0753729692</v>
      </c>
      <c r="G1110" t="n">
        <v>0.0199352044455153</v>
      </c>
      <c r="H1110" t="n">
        <v>0.0133626112836365</v>
      </c>
      <c r="I1110" t="n">
        <v>0.2444345157635104</v>
      </c>
      <c r="J1110" t="n">
        <v>0.2082359917411463</v>
      </c>
      <c r="K1110" t="n">
        <v>0.3911149623724315</v>
      </c>
      <c r="L1110" t="b">
        <v>1</v>
      </c>
      <c r="M1110" t="b">
        <v>0</v>
      </c>
      <c r="N1110" t="inlineStr">
        <is>
          <t>ref</t>
        </is>
      </c>
      <c r="O1110" t="n">
        <v>50</v>
      </c>
      <c r="P1110" t="n">
        <v>0.004105</v>
      </c>
      <c r="Q1110" t="n">
        <v>-70</v>
      </c>
      <c r="R1110" t="n">
        <v>0.02661</v>
      </c>
      <c r="S1110">
        <f>IMAGE("https://mitra.stanford.edu/kundaje/oak/projects/neuro-variants/variant_position/credible/roussos_2024/variant_figures/roussos_2024.adolescence.GLU/rs9516643_count_position.png",4,220,900)</f>
        <v/>
      </c>
      <c r="T1110">
        <f>IMAGE("https://mitra.stanford.edu/kundaje/oak/projects/neuro-variants/variant_position/credible/roussos_2024/variant_figures/roussos_2024.adolescence.GLU/rs9516643_profile_position.png",4,220,900)</f>
        <v/>
      </c>
    </row>
    <row r="1111">
      <c r="A1111" t="inlineStr">
        <is>
          <t>chr13</t>
        </is>
      </c>
      <c r="B1111" t="n">
        <v>96232625</v>
      </c>
      <c r="C1111" t="inlineStr">
        <is>
          <t>A</t>
        </is>
      </c>
      <c r="D1111" t="inlineStr">
        <is>
          <t>G</t>
        </is>
      </c>
      <c r="E1111" t="inlineStr">
        <is>
          <t>rs9584347</t>
        </is>
      </c>
      <c r="F1111" t="n">
        <v>-0.010160359134</v>
      </c>
      <c r="G1111" t="n">
        <v>0.529792575075608</v>
      </c>
      <c r="H1111" t="n">
        <v>0.0073738232403815</v>
      </c>
      <c r="I1111" t="n">
        <v>0.8795860330329422</v>
      </c>
      <c r="J1111" t="n">
        <v>0.155782269184331</v>
      </c>
      <c r="K1111" t="n">
        <v>0.4760060572745919</v>
      </c>
      <c r="L1111" t="b">
        <v>0</v>
      </c>
      <c r="M1111" t="b">
        <v>0</v>
      </c>
      <c r="N1111" t="inlineStr">
        <is>
          <t>ref</t>
        </is>
      </c>
      <c r="O1111" t="n">
        <v>-100</v>
      </c>
      <c r="P1111" t="n">
        <v>0.001801</v>
      </c>
      <c r="Q1111" t="n">
        <v>-70</v>
      </c>
      <c r="R1111" t="n">
        <v>0.0711</v>
      </c>
      <c r="S1111">
        <f>IMAGE("https://mitra.stanford.edu/kundaje/oak/projects/neuro-variants/variant_position/credible/roussos_2024/variant_figures/roussos_2024.adolescence.GLU/rs9584347_count_position.png",4,220,900)</f>
        <v/>
      </c>
      <c r="T1111">
        <f>IMAGE("https://mitra.stanford.edu/kundaje/oak/projects/neuro-variants/variant_position/credible/roussos_2024/variant_figures/roussos_2024.adolescence.GLU/rs9584347_profile_position.png",4,220,900)</f>
        <v/>
      </c>
    </row>
    <row r="1112">
      <c r="A1112" t="inlineStr">
        <is>
          <t>chr13</t>
        </is>
      </c>
      <c r="B1112" t="n">
        <v>96234119</v>
      </c>
      <c r="C1112" t="inlineStr">
        <is>
          <t>A</t>
        </is>
      </c>
      <c r="D1112" t="inlineStr">
        <is>
          <t>G</t>
        </is>
      </c>
      <c r="E1112" t="inlineStr">
        <is>
          <t>rs9525161</t>
        </is>
      </c>
      <c r="F1112" t="n">
        <v>0.004442528676</v>
      </c>
      <c r="G1112" t="n">
        <v>0.7243918006414012</v>
      </c>
      <c r="H1112" t="n">
        <v>0.0124676550121438</v>
      </c>
      <c r="I1112" t="n">
        <v>0.2840909348534302</v>
      </c>
      <c r="J1112" t="n">
        <v>0.0454308392452722</v>
      </c>
      <c r="K1112" t="n">
        <v>0.7202819055169924</v>
      </c>
      <c r="L1112" t="b">
        <v>0</v>
      </c>
      <c r="M1112" t="b">
        <v>0</v>
      </c>
      <c r="N1112" t="inlineStr">
        <is>
          <t>alt</t>
        </is>
      </c>
      <c r="O1112" t="n">
        <v>100</v>
      </c>
      <c r="P1112" t="n">
        <v>0.001709</v>
      </c>
      <c r="Q1112" t="n">
        <v>-70</v>
      </c>
      <c r="R1112" t="n">
        <v>0.1152</v>
      </c>
      <c r="S1112">
        <f>IMAGE("https://mitra.stanford.edu/kundaje/oak/projects/neuro-variants/variant_position/credible/roussos_2024/variant_figures/roussos_2024.adolescence.GLU/rs9525161_count_position.png",4,220,900)</f>
        <v/>
      </c>
      <c r="T1112">
        <f>IMAGE("https://mitra.stanford.edu/kundaje/oak/projects/neuro-variants/variant_position/credible/roussos_2024/variant_figures/roussos_2024.adolescence.GLU/rs9525161_profile_position.png",4,220,900)</f>
        <v/>
      </c>
    </row>
    <row r="1113">
      <c r="A1113" t="inlineStr">
        <is>
          <t>chr13</t>
        </is>
      </c>
      <c r="B1113" t="n">
        <v>96243278</v>
      </c>
      <c r="C1113" t="inlineStr">
        <is>
          <t>G</t>
        </is>
      </c>
      <c r="D1113" t="inlineStr">
        <is>
          <t>A</t>
        </is>
      </c>
      <c r="E1113" t="inlineStr">
        <is>
          <t>rs8002865</t>
        </is>
      </c>
      <c r="F1113" t="n">
        <v>0.0020696308734</v>
      </c>
      <c r="G1113" t="n">
        <v>0.8598066576715847</v>
      </c>
      <c r="H1113" t="n">
        <v>0.0196304623167529</v>
      </c>
      <c r="I1113" t="n">
        <v>0.0585705043650315</v>
      </c>
      <c r="J1113" t="n">
        <v>0.08136113909309781</v>
      </c>
      <c r="K1113" t="n">
        <v>0.6135752332587404</v>
      </c>
      <c r="L1113" t="b">
        <v>0</v>
      </c>
      <c r="M1113" t="b">
        <v>0</v>
      </c>
      <c r="N1113" t="inlineStr">
        <is>
          <t>alt</t>
        </is>
      </c>
      <c r="O1113" t="n">
        <v>20</v>
      </c>
      <c r="P1113" t="n">
        <v>0.003302</v>
      </c>
      <c r="Q1113" t="n">
        <v>-10</v>
      </c>
      <c r="R1113" t="n">
        <v>0.023</v>
      </c>
      <c r="S1113">
        <f>IMAGE("https://mitra.stanford.edu/kundaje/oak/projects/neuro-variants/variant_position/credible/roussos_2024/variant_figures/roussos_2024.adolescence.GLU/rs8002865_count_position.png",4,220,900)</f>
        <v/>
      </c>
      <c r="T1113">
        <f>IMAGE("https://mitra.stanford.edu/kundaje/oak/projects/neuro-variants/variant_position/credible/roussos_2024/variant_figures/roussos_2024.adolescence.GLU/rs8002865_profile_position.png",4,220,900)</f>
        <v/>
      </c>
    </row>
    <row r="1114">
      <c r="A1114" t="inlineStr">
        <is>
          <t>chr13</t>
        </is>
      </c>
      <c r="B1114" t="n">
        <v>96250122</v>
      </c>
      <c r="C1114" t="inlineStr">
        <is>
          <t>G</t>
        </is>
      </c>
      <c r="D1114" t="inlineStr">
        <is>
          <t>A</t>
        </is>
      </c>
      <c r="E1114" t="inlineStr">
        <is>
          <t>rs1927804</t>
        </is>
      </c>
      <c r="F1114" t="n">
        <v>-0.00825917774</v>
      </c>
      <c r="G1114" t="n">
        <v>0.5985966956034827</v>
      </c>
      <c r="H1114" t="n">
        <v>0.0145768455141481</v>
      </c>
      <c r="I1114" t="n">
        <v>0.1757572510553381</v>
      </c>
      <c r="J1114" t="n">
        <v>0.150465453558237</v>
      </c>
      <c r="K1114" t="n">
        <v>0.4716714698301912</v>
      </c>
      <c r="L1114" t="b">
        <v>0</v>
      </c>
      <c r="M1114" t="b">
        <v>0</v>
      </c>
      <c r="N1114" t="inlineStr">
        <is>
          <t>ref</t>
        </is>
      </c>
      <c r="O1114" t="n">
        <v>55</v>
      </c>
      <c r="P1114" t="n">
        <v>0.005573</v>
      </c>
      <c r="Q1114" t="n">
        <v>5</v>
      </c>
      <c r="R1114" t="n">
        <v>0.006027</v>
      </c>
      <c r="S1114">
        <f>IMAGE("https://mitra.stanford.edu/kundaje/oak/projects/neuro-variants/variant_position/credible/roussos_2024/variant_figures/roussos_2024.adolescence.GLU/rs1927804_count_position.png",4,220,900)</f>
        <v/>
      </c>
      <c r="T1114">
        <f>IMAGE("https://mitra.stanford.edu/kundaje/oak/projects/neuro-variants/variant_position/credible/roussos_2024/variant_figures/roussos_2024.adolescence.GLU/rs1927804_profile_position.png",4,220,900)</f>
        <v/>
      </c>
    </row>
    <row r="1115">
      <c r="A1115" t="inlineStr">
        <is>
          <t>chr13</t>
        </is>
      </c>
      <c r="B1115" t="n">
        <v>96251041</v>
      </c>
      <c r="C1115" t="inlineStr">
        <is>
          <t>C</t>
        </is>
      </c>
      <c r="D1115" t="inlineStr">
        <is>
          <t>T</t>
        </is>
      </c>
      <c r="E1115" t="inlineStr">
        <is>
          <t>rs9516649</t>
        </is>
      </c>
      <c r="F1115" t="n">
        <v>0.01798207646</v>
      </c>
      <c r="G1115" t="n">
        <v>0.3397203242368397</v>
      </c>
      <c r="H1115" t="n">
        <v>0.0290009694927119</v>
      </c>
      <c r="I1115" t="n">
        <v>0.0123799452204351</v>
      </c>
      <c r="J1115" t="n">
        <v>0.079852255109987</v>
      </c>
      <c r="K1115" t="n">
        <v>0.6210876919927345</v>
      </c>
      <c r="L1115" t="b">
        <v>1</v>
      </c>
      <c r="M1115" t="b">
        <v>0</v>
      </c>
      <c r="N1115" t="inlineStr">
        <is>
          <t>alt</t>
        </is>
      </c>
      <c r="O1115" t="n">
        <v>-100</v>
      </c>
      <c r="P1115" t="n">
        <v>0.008156</v>
      </c>
      <c r="Q1115" t="n">
        <v>80</v>
      </c>
      <c r="R1115" t="n">
        <v>0.0529</v>
      </c>
      <c r="S1115">
        <f>IMAGE("https://mitra.stanford.edu/kundaje/oak/projects/neuro-variants/variant_position/credible/roussos_2024/variant_figures/roussos_2024.adolescence.GLU/rs9516649_count_position.png",4,220,900)</f>
        <v/>
      </c>
      <c r="T1115">
        <f>IMAGE("https://mitra.stanford.edu/kundaje/oak/projects/neuro-variants/variant_position/credible/roussos_2024/variant_figures/roussos_2024.adolescence.GLU/rs9516649_profile_position.png",4,220,900)</f>
        <v/>
      </c>
    </row>
    <row r="1116">
      <c r="A1116" t="inlineStr">
        <is>
          <t>chr13</t>
        </is>
      </c>
      <c r="B1116" t="n">
        <v>96266681</v>
      </c>
      <c r="C1116" t="inlineStr">
        <is>
          <t>C</t>
        </is>
      </c>
      <c r="D1116" t="inlineStr">
        <is>
          <t>T</t>
        </is>
      </c>
      <c r="E1116" t="inlineStr">
        <is>
          <t>rs2104657</t>
        </is>
      </c>
      <c r="F1116" t="n">
        <v>-0.0092516345</v>
      </c>
      <c r="G1116" t="n">
        <v>0.5587155902176147</v>
      </c>
      <c r="H1116" t="n">
        <v>0.0173075038173012</v>
      </c>
      <c r="I1116" t="n">
        <v>0.1009792848571723</v>
      </c>
      <c r="J1116" t="n">
        <v>0.0506647805616876</v>
      </c>
      <c r="K1116" t="n">
        <v>0.7005626704377941</v>
      </c>
      <c r="L1116" t="b">
        <v>0</v>
      </c>
      <c r="M1116" t="b">
        <v>0</v>
      </c>
      <c r="N1116" t="inlineStr">
        <is>
          <t>ref</t>
        </is>
      </c>
      <c r="O1116" t="n">
        <v>-85</v>
      </c>
      <c r="P1116" t="n">
        <v>0.01566</v>
      </c>
      <c r="Q1116" t="n">
        <v>90</v>
      </c>
      <c r="R1116" t="n">
        <v>0.01857</v>
      </c>
      <c r="S1116">
        <f>IMAGE("https://mitra.stanford.edu/kundaje/oak/projects/neuro-variants/variant_position/credible/roussos_2024/variant_figures/roussos_2024.adolescence.GLU/rs2104657_count_position.png",4,220,900)</f>
        <v/>
      </c>
      <c r="T1116">
        <f>IMAGE("https://mitra.stanford.edu/kundaje/oak/projects/neuro-variants/variant_position/credible/roussos_2024/variant_figures/roussos_2024.adolescence.GLU/rs2104657_profile_position.png",4,220,900)</f>
        <v/>
      </c>
    </row>
    <row r="1117">
      <c r="A1117" t="inlineStr">
        <is>
          <t>chr13</t>
        </is>
      </c>
      <c r="B1117" t="n">
        <v>96279985</v>
      </c>
      <c r="C1117" t="inlineStr">
        <is>
          <t>C</t>
        </is>
      </c>
      <c r="D1117" t="inlineStr">
        <is>
          <t>T</t>
        </is>
      </c>
      <c r="E1117" t="inlineStr">
        <is>
          <t>rs1927784</t>
        </is>
      </c>
      <c r="F1117" t="n">
        <v>-0.0391791657599999</v>
      </c>
      <c r="G1117" t="n">
        <v>0.1004402342587898</v>
      </c>
      <c r="H1117" t="n">
        <v>0.0133167299624129</v>
      </c>
      <c r="I1117" t="n">
        <v>0.2582209422990092</v>
      </c>
      <c r="J1117" t="n">
        <v>0.0968200555829421</v>
      </c>
      <c r="K1117" t="n">
        <v>0.5810396066888487</v>
      </c>
      <c r="L1117" t="b">
        <v>0</v>
      </c>
      <c r="M1117" t="b">
        <v>0</v>
      </c>
      <c r="N1117" t="inlineStr">
        <is>
          <t>ref</t>
        </is>
      </c>
      <c r="O1117" t="n">
        <v>75</v>
      </c>
      <c r="P1117" t="n">
        <v>0.004303</v>
      </c>
      <c r="Q1117" t="n">
        <v>85</v>
      </c>
      <c r="R1117" t="n">
        <v>0.1274</v>
      </c>
      <c r="S1117">
        <f>IMAGE("https://mitra.stanford.edu/kundaje/oak/projects/neuro-variants/variant_position/credible/roussos_2024/variant_figures/roussos_2024.adolescence.GLU/rs1927784_count_position.png",4,220,900)</f>
        <v/>
      </c>
      <c r="T1117">
        <f>IMAGE("https://mitra.stanford.edu/kundaje/oak/projects/neuro-variants/variant_position/credible/roussos_2024/variant_figures/roussos_2024.adolescence.GLU/rs1927784_profile_position.png",4,220,900)</f>
        <v/>
      </c>
    </row>
    <row r="1118">
      <c r="A1118" t="inlineStr">
        <is>
          <t>chr13</t>
        </is>
      </c>
      <c r="B1118" t="n">
        <v>96289458</v>
      </c>
      <c r="C1118" t="inlineStr">
        <is>
          <t>G</t>
        </is>
      </c>
      <c r="D1118" t="inlineStr">
        <is>
          <t>T</t>
        </is>
      </c>
      <c r="E1118" t="inlineStr">
        <is>
          <t>rs61966895</t>
        </is>
      </c>
      <c r="F1118" t="n">
        <v>0.01748869208</v>
      </c>
      <c r="G1118" t="n">
        <v>0.3417211291736901</v>
      </c>
      <c r="H1118" t="n">
        <v>0.0206192746507444</v>
      </c>
      <c r="I1118" t="n">
        <v>0.053419662097866</v>
      </c>
      <c r="J1118" t="n">
        <v>0.0292817797972436</v>
      </c>
      <c r="K1118" t="n">
        <v>0.7719372801866832</v>
      </c>
      <c r="L1118" t="b">
        <v>0</v>
      </c>
      <c r="M1118" t="b">
        <v>0</v>
      </c>
      <c r="N1118" t="inlineStr">
        <is>
          <t>alt</t>
        </is>
      </c>
      <c r="O1118" t="n">
        <v>85</v>
      </c>
      <c r="P1118" t="n">
        <v>0.02332</v>
      </c>
      <c r="Q1118" t="n">
        <v>-60</v>
      </c>
      <c r="R1118" t="n">
        <v>0.02695</v>
      </c>
      <c r="S1118">
        <f>IMAGE("https://mitra.stanford.edu/kundaje/oak/projects/neuro-variants/variant_position/credible/roussos_2024/variant_figures/roussos_2024.adolescence.GLU/rs61966895_count_position.png",4,220,900)</f>
        <v/>
      </c>
      <c r="T1118">
        <f>IMAGE("https://mitra.stanford.edu/kundaje/oak/projects/neuro-variants/variant_position/credible/roussos_2024/variant_figures/roussos_2024.adolescence.GLU/rs61966895_profile_position.png",4,220,900)</f>
        <v/>
      </c>
    </row>
    <row r="1119">
      <c r="A1119" t="inlineStr">
        <is>
          <t>chr13</t>
        </is>
      </c>
      <c r="B1119" t="n">
        <v>96297443</v>
      </c>
      <c r="C1119" t="inlineStr">
        <is>
          <t>A</t>
        </is>
      </c>
      <c r="D1119" t="inlineStr">
        <is>
          <t>G</t>
        </is>
      </c>
      <c r="E1119" t="inlineStr">
        <is>
          <t>rs11619328</t>
        </is>
      </c>
      <c r="F1119" t="n">
        <v>0.087950772</v>
      </c>
      <c r="G1119" t="n">
        <v>0.0108217489997998</v>
      </c>
      <c r="H1119" t="n">
        <v>0.0141195447330864</v>
      </c>
      <c r="I1119" t="n">
        <v>0.1986371562874611</v>
      </c>
      <c r="J1119" t="n">
        <v>0.1391188174693329</v>
      </c>
      <c r="K1119" t="n">
        <v>0.4964311399583236</v>
      </c>
      <c r="L1119" t="b">
        <v>1</v>
      </c>
      <c r="M1119" t="b">
        <v>0</v>
      </c>
      <c r="N1119" t="inlineStr">
        <is>
          <t>alt</t>
        </is>
      </c>
      <c r="O1119" t="n">
        <v>-10</v>
      </c>
      <c r="P1119" t="n">
        <v>0.0006027</v>
      </c>
      <c r="Q1119" t="n">
        <v>50</v>
      </c>
      <c r="R1119" t="n">
        <v>0.02856</v>
      </c>
      <c r="S1119">
        <f>IMAGE("https://mitra.stanford.edu/kundaje/oak/projects/neuro-variants/variant_position/credible/roussos_2024/variant_figures/roussos_2024.adolescence.GLU/rs11619328_count_position.png",4,220,900)</f>
        <v/>
      </c>
      <c r="T1119">
        <f>IMAGE("https://mitra.stanford.edu/kundaje/oak/projects/neuro-variants/variant_position/credible/roussos_2024/variant_figures/roussos_2024.adolescence.GLU/rs11619328_profile_position.png",4,220,900)</f>
        <v/>
      </c>
    </row>
    <row r="1120">
      <c r="A1120" t="inlineStr">
        <is>
          <t>chr13</t>
        </is>
      </c>
      <c r="B1120" t="n">
        <v>96299179</v>
      </c>
      <c r="C1120" t="inlineStr">
        <is>
          <t>G</t>
        </is>
      </c>
      <c r="D1120" t="inlineStr">
        <is>
          <t>T</t>
        </is>
      </c>
      <c r="E1120" t="inlineStr">
        <is>
          <t>rs2038823</t>
        </is>
      </c>
      <c r="F1120" t="n">
        <v>-0.105356692</v>
      </c>
      <c r="G1120" t="n">
        <v>0.0067982444793358</v>
      </c>
      <c r="H1120" t="n">
        <v>0.0176031571679614</v>
      </c>
      <c r="I1120" t="n">
        <v>0.0948977454440713</v>
      </c>
      <c r="J1120" t="n">
        <v>0.2330439876831629</v>
      </c>
      <c r="K1120" t="n">
        <v>0.3548992014200801</v>
      </c>
      <c r="L1120" t="b">
        <v>1</v>
      </c>
      <c r="M1120" t="b">
        <v>1</v>
      </c>
      <c r="N1120" t="inlineStr">
        <is>
          <t>ref</t>
        </is>
      </c>
      <c r="O1120" t="n">
        <v>-90</v>
      </c>
      <c r="P1120" t="n">
        <v>0.00288</v>
      </c>
      <c r="Q1120" t="n">
        <v>25</v>
      </c>
      <c r="R1120" t="n">
        <v>0.05444</v>
      </c>
      <c r="S1120">
        <f>IMAGE("https://mitra.stanford.edu/kundaje/oak/projects/neuro-variants/variant_position/credible/roussos_2024/variant_figures/roussos_2024.adolescence.GLU/rs2038823_count_position.png",4,220,900)</f>
        <v/>
      </c>
      <c r="T1120">
        <f>IMAGE("https://mitra.stanford.edu/kundaje/oak/projects/neuro-variants/variant_position/credible/roussos_2024/variant_figures/roussos_2024.adolescence.GLU/rs2038823_profile_position.png",4,220,900)</f>
        <v/>
      </c>
    </row>
    <row r="1121">
      <c r="A1121" t="inlineStr">
        <is>
          <t>chr13</t>
        </is>
      </c>
      <c r="B1121" t="n">
        <v>96306638</v>
      </c>
      <c r="C1121" t="inlineStr">
        <is>
          <t>C</t>
        </is>
      </c>
      <c r="D1121" t="inlineStr">
        <is>
          <t>T</t>
        </is>
      </c>
      <c r="E1121" t="inlineStr">
        <is>
          <t>rs11618312</t>
        </is>
      </c>
      <c r="F1121" t="n">
        <v>-0.0026532045999999</v>
      </c>
      <c r="G1121" t="n">
        <v>0.5364744644196949</v>
      </c>
      <c r="H1121" t="n">
        <v>0.0105038606412325</v>
      </c>
      <c r="I1121" t="n">
        <v>0.4658083742455635</v>
      </c>
      <c r="J1121" t="n">
        <v>0.1146737538490115</v>
      </c>
      <c r="K1121" t="n">
        <v>0.5428188571738283</v>
      </c>
      <c r="L1121" t="b">
        <v>0</v>
      </c>
      <c r="M1121" t="b">
        <v>0</v>
      </c>
      <c r="N1121" t="inlineStr">
        <is>
          <t>ref</t>
        </is>
      </c>
      <c r="O1121" t="n">
        <v>100</v>
      </c>
      <c r="P1121" t="n">
        <v>0.00628</v>
      </c>
      <c r="Q1121" t="n">
        <v>-50</v>
      </c>
      <c r="R1121" t="n">
        <v>0.07904</v>
      </c>
      <c r="S1121">
        <f>IMAGE("https://mitra.stanford.edu/kundaje/oak/projects/neuro-variants/variant_position/credible/roussos_2024/variant_figures/roussos_2024.adolescence.GLU/rs11618312_count_position.png",4,220,900)</f>
        <v/>
      </c>
      <c r="T1121">
        <f>IMAGE("https://mitra.stanford.edu/kundaje/oak/projects/neuro-variants/variant_position/credible/roussos_2024/variant_figures/roussos_2024.adolescence.GLU/rs11618312_profile_position.png",4,220,900)</f>
        <v/>
      </c>
    </row>
    <row r="1122">
      <c r="A1122" t="inlineStr">
        <is>
          <t>chr13</t>
        </is>
      </c>
      <c r="B1122" t="n">
        <v>96310731</v>
      </c>
      <c r="C1122" t="inlineStr">
        <is>
          <t>G</t>
        </is>
      </c>
      <c r="D1122" t="inlineStr">
        <is>
          <t>A</t>
        </is>
      </c>
      <c r="E1122" t="inlineStr">
        <is>
          <t>rs117420459</t>
        </is>
      </c>
      <c r="F1122" t="n">
        <v>-0.0779082862</v>
      </c>
      <c r="G1122" t="n">
        <v>0.0170606896101228</v>
      </c>
      <c r="H1122" t="n">
        <v>0.0134800760861679</v>
      </c>
      <c r="I1122" t="n">
        <v>0.2169641327725207</v>
      </c>
      <c r="J1122" t="n">
        <v>0.1786384322466796</v>
      </c>
      <c r="K1122" t="n">
        <v>0.4338960232439522</v>
      </c>
      <c r="L1122" t="b">
        <v>1</v>
      </c>
      <c r="M1122" t="b">
        <v>0</v>
      </c>
      <c r="N1122" t="inlineStr">
        <is>
          <t>ref</t>
        </is>
      </c>
      <c r="O1122" t="n">
        <v>-60</v>
      </c>
      <c r="P1122" t="n">
        <v>0.00344</v>
      </c>
      <c r="Q1122" t="n">
        <v>-55</v>
      </c>
      <c r="R1122" t="n">
        <v>0.06152</v>
      </c>
      <c r="S1122">
        <f>IMAGE("https://mitra.stanford.edu/kundaje/oak/projects/neuro-variants/variant_position/credible/roussos_2024/variant_figures/roussos_2024.adolescence.GLU/rs117420459_count_position.png",4,220,900)</f>
        <v/>
      </c>
      <c r="T1122">
        <f>IMAGE("https://mitra.stanford.edu/kundaje/oak/projects/neuro-variants/variant_position/credible/roussos_2024/variant_figures/roussos_2024.adolescence.GLU/rs117420459_profile_position.png",4,220,900)</f>
        <v/>
      </c>
    </row>
    <row r="1123">
      <c r="A1123" t="inlineStr">
        <is>
          <t>chr13</t>
        </is>
      </c>
      <c r="B1123" t="n">
        <v>96315469</v>
      </c>
      <c r="C1123" t="inlineStr">
        <is>
          <t>G</t>
        </is>
      </c>
      <c r="D1123" t="inlineStr">
        <is>
          <t>A</t>
        </is>
      </c>
      <c r="E1123" t="inlineStr">
        <is>
          <t>rs115587611</t>
        </is>
      </c>
      <c r="F1123" t="n">
        <v>0.0020637766</v>
      </c>
      <c r="G1123" t="n">
        <v>0.8247384335609605</v>
      </c>
      <c r="H1123" t="n">
        <v>0.0213259111563047</v>
      </c>
      <c r="I1123" t="n">
        <v>0.0399635459693261</v>
      </c>
      <c r="J1123" t="n">
        <v>0.0327482121296553</v>
      </c>
      <c r="K1123" t="n">
        <v>0.7640438552832253</v>
      </c>
      <c r="L1123" t="b">
        <v>0</v>
      </c>
      <c r="M1123" t="b">
        <v>0</v>
      </c>
      <c r="N1123" t="inlineStr">
        <is>
          <t>alt</t>
        </is>
      </c>
      <c r="O1123" t="n">
        <v>95</v>
      </c>
      <c r="P1123" t="n">
        <v>0.03082</v>
      </c>
      <c r="Q1123" t="n">
        <v>50</v>
      </c>
      <c r="R1123" t="n">
        <v>0.04608</v>
      </c>
      <c r="S1123">
        <f>IMAGE("https://mitra.stanford.edu/kundaje/oak/projects/neuro-variants/variant_position/credible/roussos_2024/variant_figures/roussos_2024.adolescence.GLU/rs115587611_count_position.png",4,220,900)</f>
        <v/>
      </c>
      <c r="T1123">
        <f>IMAGE("https://mitra.stanford.edu/kundaje/oak/projects/neuro-variants/variant_position/credible/roussos_2024/variant_figures/roussos_2024.adolescence.GLU/rs115587611_profile_position.png",4,220,900)</f>
        <v/>
      </c>
    </row>
    <row r="1124">
      <c r="A1124" t="inlineStr">
        <is>
          <t>chr13</t>
        </is>
      </c>
      <c r="B1124" t="n">
        <v>96316993</v>
      </c>
      <c r="C1124" t="inlineStr">
        <is>
          <t>T</t>
        </is>
      </c>
      <c r="D1124" t="inlineStr">
        <is>
          <t>C</t>
        </is>
      </c>
      <c r="E1124" t="inlineStr">
        <is>
          <t>rs115470719</t>
        </is>
      </c>
      <c r="F1124" t="n">
        <v>0.002481167674</v>
      </c>
      <c r="G1124" t="n">
        <v>0.8018838024034275</v>
      </c>
      <c r="H1124" t="n">
        <v>0.0206631528850872</v>
      </c>
      <c r="I1124" t="n">
        <v>0.0501074275892563</v>
      </c>
      <c r="J1124" t="n">
        <v>0.0434132784648248</v>
      </c>
      <c r="K1124" t="n">
        <v>0.719678237508058</v>
      </c>
      <c r="L1124" t="b">
        <v>0</v>
      </c>
      <c r="M1124" t="b">
        <v>0</v>
      </c>
      <c r="N1124" t="inlineStr">
        <is>
          <t>alt</t>
        </is>
      </c>
      <c r="O1124" t="n">
        <v>-95</v>
      </c>
      <c r="P1124" t="n">
        <v>0.01024</v>
      </c>
      <c r="Q1124" t="n">
        <v>20</v>
      </c>
      <c r="R1124" t="n">
        <v>0.02716</v>
      </c>
      <c r="S1124">
        <f>IMAGE("https://mitra.stanford.edu/kundaje/oak/projects/neuro-variants/variant_position/credible/roussos_2024/variant_figures/roussos_2024.adolescence.GLU/rs115470719_count_position.png",4,220,900)</f>
        <v/>
      </c>
      <c r="T1124">
        <f>IMAGE("https://mitra.stanford.edu/kundaje/oak/projects/neuro-variants/variant_position/credible/roussos_2024/variant_figures/roussos_2024.adolescence.GLU/rs115470719_profile_position.png",4,220,900)</f>
        <v/>
      </c>
    </row>
    <row r="1125">
      <c r="A1125" t="inlineStr">
        <is>
          <t>chr13</t>
        </is>
      </c>
      <c r="B1125" t="n">
        <v>96320974</v>
      </c>
      <c r="C1125" t="inlineStr">
        <is>
          <t>C</t>
        </is>
      </c>
      <c r="D1125" t="inlineStr">
        <is>
          <t>A</t>
        </is>
      </c>
      <c r="E1125" t="inlineStr">
        <is>
          <t>rs61966906</t>
        </is>
      </c>
      <c r="F1125" t="n">
        <v>0.01298333412</v>
      </c>
      <c r="G1125" t="n">
        <v>0.4268094670039652</v>
      </c>
      <c r="H1125" t="n">
        <v>0.0151008977485649</v>
      </c>
      <c r="I1125" t="n">
        <v>0.1655918552229247</v>
      </c>
      <c r="J1125" t="n">
        <v>0.1071479092097648</v>
      </c>
      <c r="K1125" t="n">
        <v>0.5585659005713045</v>
      </c>
      <c r="L1125" t="b">
        <v>0</v>
      </c>
      <c r="M1125" t="b">
        <v>0</v>
      </c>
      <c r="N1125" t="inlineStr">
        <is>
          <t>alt</t>
        </is>
      </c>
      <c r="O1125" t="n">
        <v>75</v>
      </c>
      <c r="P1125" t="n">
        <v>0.03168</v>
      </c>
      <c r="Q1125" t="n">
        <v>-100</v>
      </c>
      <c r="R1125" t="n">
        <v>0.0481</v>
      </c>
      <c r="S1125">
        <f>IMAGE("https://mitra.stanford.edu/kundaje/oak/projects/neuro-variants/variant_position/credible/roussos_2024/variant_figures/roussos_2024.adolescence.GLU/rs61966906_count_position.png",4,220,900)</f>
        <v/>
      </c>
      <c r="T1125">
        <f>IMAGE("https://mitra.stanford.edu/kundaje/oak/projects/neuro-variants/variant_position/credible/roussos_2024/variant_figures/roussos_2024.adolescence.GLU/rs61966906_profile_position.png",4,220,900)</f>
        <v/>
      </c>
    </row>
    <row r="1126">
      <c r="A1126" t="inlineStr">
        <is>
          <t>chr13</t>
        </is>
      </c>
      <c r="B1126" t="n">
        <v>96325548</v>
      </c>
      <c r="C1126" t="inlineStr">
        <is>
          <t>C</t>
        </is>
      </c>
      <c r="D1126" t="inlineStr">
        <is>
          <t>T</t>
        </is>
      </c>
      <c r="E1126" t="inlineStr">
        <is>
          <t>rs61966910</t>
        </is>
      </c>
      <c r="F1126" t="n">
        <v>-0.0607343688</v>
      </c>
      <c r="G1126" t="n">
        <v>0.0391796598352131</v>
      </c>
      <c r="H1126" t="n">
        <v>0.0120041927961961</v>
      </c>
      <c r="I1126" t="n">
        <v>0.3269298813590524</v>
      </c>
      <c r="J1126" t="n">
        <v>0.0228804538082888</v>
      </c>
      <c r="K1126" t="n">
        <v>0.8031628539474074</v>
      </c>
      <c r="L1126" t="b">
        <v>0</v>
      </c>
      <c r="M1126" t="b">
        <v>0</v>
      </c>
      <c r="N1126" t="inlineStr">
        <is>
          <t>ref</t>
        </is>
      </c>
      <c r="O1126" t="n">
        <v>-65</v>
      </c>
      <c r="P1126" t="n">
        <v>0.006226</v>
      </c>
      <c r="Q1126" t="n">
        <v>80</v>
      </c>
      <c r="R1126" t="n">
        <v>0.05292</v>
      </c>
      <c r="S1126">
        <f>IMAGE("https://mitra.stanford.edu/kundaje/oak/projects/neuro-variants/variant_position/credible/roussos_2024/variant_figures/roussos_2024.adolescence.GLU/rs61966910_count_position.png",4,220,900)</f>
        <v/>
      </c>
      <c r="T1126">
        <f>IMAGE("https://mitra.stanford.edu/kundaje/oak/projects/neuro-variants/variant_position/credible/roussos_2024/variant_figures/roussos_2024.adolescence.GLU/rs61966910_profile_position.png",4,220,900)</f>
        <v/>
      </c>
    </row>
    <row r="1127">
      <c r="A1127" t="inlineStr">
        <is>
          <t>chr13</t>
        </is>
      </c>
      <c r="B1127" t="n">
        <v>96331923</v>
      </c>
      <c r="C1127" t="inlineStr">
        <is>
          <t>G</t>
        </is>
      </c>
      <c r="D1127" t="inlineStr">
        <is>
          <t>A</t>
        </is>
      </c>
      <c r="E1127" t="inlineStr">
        <is>
          <t>rs11616787</t>
        </is>
      </c>
      <c r="F1127" t="n">
        <v>-0.0427236612</v>
      </c>
      <c r="G1127" t="n">
        <v>0.0968662768965531</v>
      </c>
      <c r="H1127" t="n">
        <v>0.0107088790566781</v>
      </c>
      <c r="I1127" t="n">
        <v>0.4480785877311989</v>
      </c>
      <c r="J1127" t="n">
        <v>0.5907109329789743</v>
      </c>
      <c r="K1127" t="n">
        <v>0.0412323652825191</v>
      </c>
      <c r="L1127" t="b">
        <v>0</v>
      </c>
      <c r="M1127" t="b">
        <v>0</v>
      </c>
      <c r="N1127" t="inlineStr">
        <is>
          <t>ref</t>
        </is>
      </c>
      <c r="O1127" t="n">
        <v>-100</v>
      </c>
      <c r="P1127" t="n">
        <v>0.005806</v>
      </c>
      <c r="Q1127" t="n">
        <v>-70</v>
      </c>
      <c r="R1127" t="n">
        <v>0.0459</v>
      </c>
      <c r="S1127">
        <f>IMAGE("https://mitra.stanford.edu/kundaje/oak/projects/neuro-variants/variant_position/credible/roussos_2024/variant_figures/roussos_2024.adolescence.GLU/rs11616787_count_position.png",4,220,900)</f>
        <v/>
      </c>
      <c r="T1127">
        <f>IMAGE("https://mitra.stanford.edu/kundaje/oak/projects/neuro-variants/variant_position/credible/roussos_2024/variant_figures/roussos_2024.adolescence.GLU/rs11616787_profile_position.png",4,220,900)</f>
        <v/>
      </c>
    </row>
    <row r="1128">
      <c r="A1128" t="inlineStr">
        <is>
          <t>chr13</t>
        </is>
      </c>
      <c r="B1128" t="n">
        <v>96336988</v>
      </c>
      <c r="C1128" t="inlineStr">
        <is>
          <t>A</t>
        </is>
      </c>
      <c r="D1128" t="inlineStr">
        <is>
          <t>C</t>
        </is>
      </c>
      <c r="E1128" t="inlineStr">
        <is>
          <t>rs11620555</t>
        </is>
      </c>
      <c r="F1128" t="n">
        <v>0.0218410011999999</v>
      </c>
      <c r="G1128" t="n">
        <v>0.2577143267046136</v>
      </c>
      <c r="H1128" t="n">
        <v>0.009098347402507799</v>
      </c>
      <c r="I1128" t="n">
        <v>0.6301709920931562</v>
      </c>
      <c r="J1128" t="n">
        <v>0.0513120574976244</v>
      </c>
      <c r="K1128" t="n">
        <v>0.7053655954642462</v>
      </c>
      <c r="L1128" t="b">
        <v>0</v>
      </c>
      <c r="M1128" t="b">
        <v>0</v>
      </c>
      <c r="N1128" t="inlineStr">
        <is>
          <t>alt</t>
        </is>
      </c>
      <c r="O1128" t="n">
        <v>80</v>
      </c>
      <c r="P1128" t="n">
        <v>0.01352</v>
      </c>
      <c r="Q1128" t="n">
        <v>95</v>
      </c>
      <c r="R1128" t="n">
        <v>0.1436</v>
      </c>
      <c r="S1128">
        <f>IMAGE("https://mitra.stanford.edu/kundaje/oak/projects/neuro-variants/variant_position/credible/roussos_2024/variant_figures/roussos_2024.adolescence.GLU/rs11620555_count_position.png",4,220,900)</f>
        <v/>
      </c>
      <c r="T1128">
        <f>IMAGE("https://mitra.stanford.edu/kundaje/oak/projects/neuro-variants/variant_position/credible/roussos_2024/variant_figures/roussos_2024.adolescence.GLU/rs11620555_profile_position.png",4,220,900)</f>
        <v/>
      </c>
    </row>
    <row r="1129">
      <c r="A1129" t="inlineStr">
        <is>
          <t>chr13</t>
        </is>
      </c>
      <c r="B1129" t="n">
        <v>96338199</v>
      </c>
      <c r="C1129" t="inlineStr">
        <is>
          <t>A</t>
        </is>
      </c>
      <c r="D1129" t="inlineStr">
        <is>
          <t>G</t>
        </is>
      </c>
      <c r="E1129" t="inlineStr">
        <is>
          <t>rs11842501</t>
        </is>
      </c>
      <c r="F1129" t="n">
        <v>-0.0355381920799999</v>
      </c>
      <c r="G1129" t="n">
        <v>0.1478932544680368</v>
      </c>
      <c r="H1129" t="n">
        <v>0.012874926449801</v>
      </c>
      <c r="I1129" t="n">
        <v>0.281972682920027</v>
      </c>
      <c r="J1129" t="n">
        <v>0.1662401497453043</v>
      </c>
      <c r="K1129" t="n">
        <v>0.4446357897114497</v>
      </c>
      <c r="L1129" t="b">
        <v>0</v>
      </c>
      <c r="M1129" t="b">
        <v>0</v>
      </c>
      <c r="N1129" t="inlineStr">
        <is>
          <t>ref</t>
        </is>
      </c>
      <c r="O1129" t="n">
        <v>-60</v>
      </c>
      <c r="P1129" t="n">
        <v>0.00254</v>
      </c>
      <c r="Q1129" t="n">
        <v>100</v>
      </c>
      <c r="R1129" t="n">
        <v>0.08790000000000001</v>
      </c>
      <c r="S1129">
        <f>IMAGE("https://mitra.stanford.edu/kundaje/oak/projects/neuro-variants/variant_position/credible/roussos_2024/variant_figures/roussos_2024.adolescence.GLU/rs11842501_count_position.png",4,220,900)</f>
        <v/>
      </c>
      <c r="T1129">
        <f>IMAGE("https://mitra.stanford.edu/kundaje/oak/projects/neuro-variants/variant_position/credible/roussos_2024/variant_figures/roussos_2024.adolescence.GLU/rs11842501_profile_position.png",4,220,900)</f>
        <v/>
      </c>
    </row>
    <row r="1130">
      <c r="A1130" t="inlineStr">
        <is>
          <t>chr13</t>
        </is>
      </c>
      <c r="B1130" t="n">
        <v>96338407</v>
      </c>
      <c r="C1130" t="inlineStr">
        <is>
          <t>C</t>
        </is>
      </c>
      <c r="D1130" t="inlineStr">
        <is>
          <t>T</t>
        </is>
      </c>
      <c r="E1130" t="inlineStr">
        <is>
          <t>rs61966935</t>
        </is>
      </c>
      <c r="F1130" t="n">
        <v>-0.0012574378599999</v>
      </c>
      <c r="G1130" t="n">
        <v>0.7203915482323714</v>
      </c>
      <c r="H1130" t="n">
        <v>0.0105217818021268</v>
      </c>
      <c r="I1130" t="n">
        <v>0.4733260785528728</v>
      </c>
      <c r="J1130" t="n">
        <v>0.2520007715884004</v>
      </c>
      <c r="K1130" t="n">
        <v>0.3233703915929515</v>
      </c>
      <c r="L1130" t="b">
        <v>0</v>
      </c>
      <c r="M1130" t="b">
        <v>0</v>
      </c>
      <c r="N1130" t="inlineStr">
        <is>
          <t>ref</t>
        </is>
      </c>
      <c r="O1130" t="n">
        <v>85</v>
      </c>
      <c r="P1130" t="n">
        <v>0.001028</v>
      </c>
      <c r="Q1130" t="n">
        <v>-75</v>
      </c>
      <c r="R1130" t="n">
        <v>0.1274</v>
      </c>
      <c r="S1130">
        <f>IMAGE("https://mitra.stanford.edu/kundaje/oak/projects/neuro-variants/variant_position/credible/roussos_2024/variant_figures/roussos_2024.adolescence.GLU/rs61966935_count_position.png",4,220,900)</f>
        <v/>
      </c>
      <c r="T1130">
        <f>IMAGE("https://mitra.stanford.edu/kundaje/oak/projects/neuro-variants/variant_position/credible/roussos_2024/variant_figures/roussos_2024.adolescence.GLU/rs61966935_profile_position.png",4,220,900)</f>
        <v/>
      </c>
    </row>
    <row r="1131">
      <c r="A1131" t="inlineStr">
        <is>
          <t>chr13</t>
        </is>
      </c>
      <c r="B1131" t="n">
        <v>96342898</v>
      </c>
      <c r="C1131" t="inlineStr">
        <is>
          <t>G</t>
        </is>
      </c>
      <c r="D1131" t="inlineStr">
        <is>
          <t>T</t>
        </is>
      </c>
      <c r="E1131" t="inlineStr">
        <is>
          <t>rs11618566</t>
        </is>
      </c>
      <c r="F1131" t="n">
        <v>0.001095973154</v>
      </c>
      <c r="G1131" t="n">
        <v>0.7229838335540969</v>
      </c>
      <c r="H1131" t="n">
        <v>0.0131800957039583</v>
      </c>
      <c r="I1131" t="n">
        <v>0.249950621183922</v>
      </c>
      <c r="J1131" t="n">
        <v>0.1662187167341806</v>
      </c>
      <c r="K1131" t="n">
        <v>0.44766520177113</v>
      </c>
      <c r="L1131" t="b">
        <v>0</v>
      </c>
      <c r="M1131" t="b">
        <v>0</v>
      </c>
      <c r="N1131" t="inlineStr">
        <is>
          <t>alt</t>
        </is>
      </c>
      <c r="O1131" t="n">
        <v>-100</v>
      </c>
      <c r="P1131" t="n">
        <v>0.01639</v>
      </c>
      <c r="Q1131" t="n">
        <v>30</v>
      </c>
      <c r="R1131" t="n">
        <v>0.00946</v>
      </c>
      <c r="S1131">
        <f>IMAGE("https://mitra.stanford.edu/kundaje/oak/projects/neuro-variants/variant_position/credible/roussos_2024/variant_figures/roussos_2024.adolescence.GLU/rs11618566_count_position.png",4,220,900)</f>
        <v/>
      </c>
      <c r="T1131">
        <f>IMAGE("https://mitra.stanford.edu/kundaje/oak/projects/neuro-variants/variant_position/credible/roussos_2024/variant_figures/roussos_2024.adolescence.GLU/rs11618566_profile_position.png",4,220,900)</f>
        <v/>
      </c>
    </row>
    <row r="1132">
      <c r="A1132" t="inlineStr">
        <is>
          <t>chr13</t>
        </is>
      </c>
      <c r="B1132" t="n">
        <v>101365510</v>
      </c>
      <c r="C1132" t="inlineStr">
        <is>
          <t>G</t>
        </is>
      </c>
      <c r="D1132" t="inlineStr">
        <is>
          <t>A</t>
        </is>
      </c>
      <c r="E1132" t="inlineStr">
        <is>
          <t>rs7993037</t>
        </is>
      </c>
      <c r="F1132" t="n">
        <v>-0.00435387446</v>
      </c>
      <c r="G1132" t="n">
        <v>0.7409843873701722</v>
      </c>
      <c r="H1132" t="n">
        <v>0.0129944127240603</v>
      </c>
      <c r="I1132" t="n">
        <v>0.2525288655495454</v>
      </c>
      <c r="J1132" t="n">
        <v>0.0833772710061369</v>
      </c>
      <c r="K1132" t="n">
        <v>0.6180966665792885</v>
      </c>
      <c r="L1132" t="b">
        <v>0</v>
      </c>
      <c r="M1132" t="b">
        <v>0</v>
      </c>
      <c r="N1132" t="inlineStr">
        <is>
          <t>ref</t>
        </is>
      </c>
      <c r="O1132" t="n">
        <v>25</v>
      </c>
      <c r="P1132" t="n">
        <v>0.001862</v>
      </c>
      <c r="Q1132" t="n">
        <v>-100</v>
      </c>
      <c r="R1132" t="n">
        <v>0.1096</v>
      </c>
      <c r="S1132">
        <f>IMAGE("https://mitra.stanford.edu/kundaje/oak/projects/neuro-variants/variant_position/credible/roussos_2024/variant_figures/roussos_2024.adolescence.GLU/rs7993037_count_position.png",4,220,900)</f>
        <v/>
      </c>
      <c r="T1132">
        <f>IMAGE("https://mitra.stanford.edu/kundaje/oak/projects/neuro-variants/variant_position/credible/roussos_2024/variant_figures/roussos_2024.adolescence.GLU/rs7993037_profile_position.png",4,220,900)</f>
        <v/>
      </c>
    </row>
    <row r="1133">
      <c r="A1133" t="inlineStr">
        <is>
          <t>chr13</t>
        </is>
      </c>
      <c r="B1133" t="n">
        <v>101365522</v>
      </c>
      <c r="C1133" t="inlineStr">
        <is>
          <t>T</t>
        </is>
      </c>
      <c r="D1133" t="inlineStr">
        <is>
          <t>C</t>
        </is>
      </c>
      <c r="E1133" t="inlineStr">
        <is>
          <t>rs114779898</t>
        </is>
      </c>
      <c r="F1133" t="n">
        <v>0.0232583032</v>
      </c>
      <c r="G1133" t="n">
        <v>0.2374810057900197</v>
      </c>
      <c r="H1133" t="n">
        <v>0.0156957991686135</v>
      </c>
      <c r="I1133" t="n">
        <v>0.1344237753719954</v>
      </c>
      <c r="J1133" t="n">
        <v>0.0896757185416978</v>
      </c>
      <c r="K1133" t="n">
        <v>0.6035114427361785</v>
      </c>
      <c r="L1133" t="b">
        <v>0</v>
      </c>
      <c r="M1133" t="b">
        <v>0</v>
      </c>
      <c r="N1133" t="inlineStr">
        <is>
          <t>alt</t>
        </is>
      </c>
      <c r="O1133" t="n">
        <v>15</v>
      </c>
      <c r="P1133" t="n">
        <v>0.0008087</v>
      </c>
      <c r="Q1133" t="n">
        <v>-95</v>
      </c>
      <c r="R1133" t="n">
        <v>0.09719999999999999</v>
      </c>
      <c r="S1133">
        <f>IMAGE("https://mitra.stanford.edu/kundaje/oak/projects/neuro-variants/variant_position/credible/roussos_2024/variant_figures/roussos_2024.adolescence.GLU/rs114779898_count_position.png",4,220,900)</f>
        <v/>
      </c>
      <c r="T1133">
        <f>IMAGE("https://mitra.stanford.edu/kundaje/oak/projects/neuro-variants/variant_position/credible/roussos_2024/variant_figures/roussos_2024.adolescence.GLU/rs114779898_profile_position.png",4,220,900)</f>
        <v/>
      </c>
    </row>
    <row r="1134">
      <c r="A1134" t="inlineStr">
        <is>
          <t>chr13</t>
        </is>
      </c>
      <c r="B1134" t="n">
        <v>101369769</v>
      </c>
      <c r="C1134" t="inlineStr">
        <is>
          <t>C</t>
        </is>
      </c>
      <c r="D1134" t="inlineStr">
        <is>
          <t>T</t>
        </is>
      </c>
      <c r="E1134" t="inlineStr">
        <is>
          <t>rs17486808</t>
        </is>
      </c>
      <c r="F1134" t="n">
        <v>-0.0319308588</v>
      </c>
      <c r="G1134" t="n">
        <v>0.1713869983440188</v>
      </c>
      <c r="H1134" t="n">
        <v>0.0175656015560169</v>
      </c>
      <c r="I1134" t="n">
        <v>0.1220492450194125</v>
      </c>
      <c r="J1134" t="n">
        <v>0.0971044001971836</v>
      </c>
      <c r="K1134" t="n">
        <v>0.5744699649165274</v>
      </c>
      <c r="L1134" t="b">
        <v>0</v>
      </c>
      <c r="M1134" t="b">
        <v>0</v>
      </c>
      <c r="N1134" t="inlineStr">
        <is>
          <t>ref</t>
        </is>
      </c>
      <c r="O1134" t="n">
        <v>-30</v>
      </c>
      <c r="P1134" t="n">
        <v>0.001846</v>
      </c>
      <c r="Q1134" t="n">
        <v>-20</v>
      </c>
      <c r="R1134" t="n">
        <v>0.01349</v>
      </c>
      <c r="S1134">
        <f>IMAGE("https://mitra.stanford.edu/kundaje/oak/projects/neuro-variants/variant_position/credible/roussos_2024/variant_figures/roussos_2024.adolescence.GLU/rs17486808_count_position.png",4,220,900)</f>
        <v/>
      </c>
      <c r="T1134">
        <f>IMAGE("https://mitra.stanford.edu/kundaje/oak/projects/neuro-variants/variant_position/credible/roussos_2024/variant_figures/roussos_2024.adolescence.GLU/rs17486808_profile_position.png",4,220,900)</f>
        <v/>
      </c>
    </row>
    <row r="1135">
      <c r="A1135" t="inlineStr">
        <is>
          <t>chr13</t>
        </is>
      </c>
      <c r="B1135" t="n">
        <v>101370676</v>
      </c>
      <c r="C1135" t="inlineStr">
        <is>
          <t>A</t>
        </is>
      </c>
      <c r="D1135" t="inlineStr">
        <is>
          <t>G</t>
        </is>
      </c>
      <c r="E1135" t="inlineStr">
        <is>
          <t>rs61973699</t>
        </is>
      </c>
      <c r="F1135" t="n">
        <v>0.0451751614</v>
      </c>
      <c r="G1135" t="n">
        <v>0.0795934729337537</v>
      </c>
      <c r="H1135" t="n">
        <v>0.0105738516051508</v>
      </c>
      <c r="I1135" t="n">
        <v>0.4691917201154063</v>
      </c>
      <c r="J1135" t="n">
        <v>0.0435004393767279</v>
      </c>
      <c r="K1135" t="n">
        <v>0.7243623670031657</v>
      </c>
      <c r="L1135" t="b">
        <v>0</v>
      </c>
      <c r="M1135" t="b">
        <v>0</v>
      </c>
      <c r="N1135" t="inlineStr">
        <is>
          <t>alt</t>
        </is>
      </c>
      <c r="O1135" t="n">
        <v>80</v>
      </c>
      <c r="P1135" t="n">
        <v>0.001492</v>
      </c>
      <c r="Q1135" t="n">
        <v>30</v>
      </c>
      <c r="R1135" t="n">
        <v>0.00928</v>
      </c>
      <c r="S1135">
        <f>IMAGE("https://mitra.stanford.edu/kundaje/oak/projects/neuro-variants/variant_position/credible/roussos_2024/variant_figures/roussos_2024.adolescence.GLU/rs61973699_count_position.png",4,220,900)</f>
        <v/>
      </c>
      <c r="T1135">
        <f>IMAGE("https://mitra.stanford.edu/kundaje/oak/projects/neuro-variants/variant_position/credible/roussos_2024/variant_figures/roussos_2024.adolescence.GLU/rs61973699_profile_position.png",4,220,900)</f>
        <v/>
      </c>
    </row>
    <row r="1136">
      <c r="A1136" t="inlineStr">
        <is>
          <t>chr13</t>
        </is>
      </c>
      <c r="B1136" t="n">
        <v>101373078</v>
      </c>
      <c r="C1136" t="inlineStr">
        <is>
          <t>T</t>
        </is>
      </c>
      <c r="D1136" t="inlineStr">
        <is>
          <t>C</t>
        </is>
      </c>
      <c r="E1136" t="inlineStr">
        <is>
          <t>rs56313970</t>
        </is>
      </c>
      <c r="F1136" t="n">
        <v>0.008326221240000001</v>
      </c>
      <c r="G1136" t="n">
        <v>0.5427331557890529</v>
      </c>
      <c r="H1136" t="n">
        <v>0.0163760043048511</v>
      </c>
      <c r="I1136" t="n">
        <v>0.1260066127883727</v>
      </c>
      <c r="J1136" t="n">
        <v>0.000798736881211</v>
      </c>
      <c r="K1136" t="n">
        <v>0.974711784684448</v>
      </c>
      <c r="L1136" t="b">
        <v>0</v>
      </c>
      <c r="M1136" t="b">
        <v>0</v>
      </c>
      <c r="N1136" t="inlineStr">
        <is>
          <t>alt</t>
        </is>
      </c>
      <c r="O1136" t="n">
        <v>0</v>
      </c>
      <c r="P1136" t="n">
        <v>0</v>
      </c>
      <c r="Q1136" t="n">
        <v>25</v>
      </c>
      <c r="R1136" t="n">
        <v>0.02213</v>
      </c>
      <c r="S1136">
        <f>IMAGE("https://mitra.stanford.edu/kundaje/oak/projects/neuro-variants/variant_position/credible/roussos_2024/variant_figures/roussos_2024.adolescence.GLU/rs56313970_count_position.png",4,220,900)</f>
        <v/>
      </c>
      <c r="T1136">
        <f>IMAGE("https://mitra.stanford.edu/kundaje/oak/projects/neuro-variants/variant_position/credible/roussos_2024/variant_figures/roussos_2024.adolescence.GLU/rs56313970_profile_position.png",4,220,900)</f>
        <v/>
      </c>
    </row>
    <row r="1137">
      <c r="A1137" t="inlineStr">
        <is>
          <t>chr13</t>
        </is>
      </c>
      <c r="B1137" t="n">
        <v>101373348</v>
      </c>
      <c r="C1137" t="inlineStr">
        <is>
          <t>T</t>
        </is>
      </c>
      <c r="D1137" t="inlineStr">
        <is>
          <t>G</t>
        </is>
      </c>
      <c r="E1137" t="inlineStr">
        <is>
          <t>rs55865304</t>
        </is>
      </c>
      <c r="F1137" t="n">
        <v>-0.003547053</v>
      </c>
      <c r="G1137" t="n">
        <v>0.7324391587052804</v>
      </c>
      <c r="H1137" t="n">
        <v>0.0261113846424827</v>
      </c>
      <c r="I1137" t="n">
        <v>0.0168388939791627</v>
      </c>
      <c r="J1137" t="n">
        <v>0.0021490165820062</v>
      </c>
      <c r="K1137" t="n">
        <v>0.9521146066442284</v>
      </c>
      <c r="L1137" t="b">
        <v>0</v>
      </c>
      <c r="M1137" t="b">
        <v>0</v>
      </c>
      <c r="N1137" t="inlineStr">
        <is>
          <t>ref</t>
        </is>
      </c>
      <c r="O1137" t="n">
        <v>-50</v>
      </c>
      <c r="P1137" t="n">
        <v>0.01511</v>
      </c>
      <c r="Q1137" t="n">
        <v>-100</v>
      </c>
      <c r="R1137" t="n">
        <v>0.06165</v>
      </c>
      <c r="S1137">
        <f>IMAGE("https://mitra.stanford.edu/kundaje/oak/projects/neuro-variants/variant_position/credible/roussos_2024/variant_figures/roussos_2024.adolescence.GLU/rs55865304_count_position.png",4,220,900)</f>
        <v/>
      </c>
      <c r="T1137">
        <f>IMAGE("https://mitra.stanford.edu/kundaje/oak/projects/neuro-variants/variant_position/credible/roussos_2024/variant_figures/roussos_2024.adolescence.GLU/rs55865304_profile_position.png",4,220,900)</f>
        <v/>
      </c>
    </row>
    <row r="1138">
      <c r="A1138" t="inlineStr">
        <is>
          <t>chr13</t>
        </is>
      </c>
      <c r="B1138" t="n">
        <v>101373659</v>
      </c>
      <c r="C1138" t="inlineStr">
        <is>
          <t>C</t>
        </is>
      </c>
      <c r="D1138" t="inlineStr">
        <is>
          <t>T</t>
        </is>
      </c>
      <c r="E1138" t="inlineStr">
        <is>
          <t>rs61973707</t>
        </is>
      </c>
      <c r="F1138" t="n">
        <v>-0.07874192799999991</v>
      </c>
      <c r="G1138" t="n">
        <v>0.0199193201118494</v>
      </c>
      <c r="H1138" t="n">
        <v>0.0140993336525351</v>
      </c>
      <c r="I1138" t="n">
        <v>0.2219520966678294</v>
      </c>
      <c r="J1138" t="n">
        <v>0.0043351837166269</v>
      </c>
      <c r="K1138" t="n">
        <v>0.9267644167637984</v>
      </c>
      <c r="L1138" t="b">
        <v>1</v>
      </c>
      <c r="M1138" t="b">
        <v>0</v>
      </c>
      <c r="N1138" t="inlineStr">
        <is>
          <t>ref</t>
        </is>
      </c>
      <c r="O1138" t="n">
        <v>85</v>
      </c>
      <c r="P1138" t="n">
        <v>0.002037</v>
      </c>
      <c r="Q1138" t="n">
        <v>-55</v>
      </c>
      <c r="R1138" t="n">
        <v>0.01563</v>
      </c>
      <c r="S1138">
        <f>IMAGE("https://mitra.stanford.edu/kundaje/oak/projects/neuro-variants/variant_position/credible/roussos_2024/variant_figures/roussos_2024.adolescence.GLU/rs61973707_count_position.png",4,220,900)</f>
        <v/>
      </c>
      <c r="T1138">
        <f>IMAGE("https://mitra.stanford.edu/kundaje/oak/projects/neuro-variants/variant_position/credible/roussos_2024/variant_figures/roussos_2024.adolescence.GLU/rs61973707_profile_position.png",4,220,900)</f>
        <v/>
      </c>
    </row>
    <row r="1139">
      <c r="A1139" t="inlineStr">
        <is>
          <t>chr13</t>
        </is>
      </c>
      <c r="B1139" t="n">
        <v>101374409</v>
      </c>
      <c r="C1139" t="inlineStr">
        <is>
          <t>G</t>
        </is>
      </c>
      <c r="D1139" t="inlineStr">
        <is>
          <t>A</t>
        </is>
      </c>
      <c r="E1139" t="inlineStr">
        <is>
          <t>rs12429854</t>
        </is>
      </c>
      <c r="F1139" t="n">
        <v>0.036868684</v>
      </c>
      <c r="G1139" t="n">
        <v>0.1150798057772037</v>
      </c>
      <c r="H1139" t="n">
        <v>0.0131541106924959</v>
      </c>
      <c r="I1139" t="n">
        <v>0.2782094073290382</v>
      </c>
      <c r="J1139" t="n">
        <v>0.0159447314086489</v>
      </c>
      <c r="K1139" t="n">
        <v>0.8365783234385429</v>
      </c>
      <c r="L1139" t="b">
        <v>0</v>
      </c>
      <c r="M1139" t="b">
        <v>0</v>
      </c>
      <c r="N1139" t="inlineStr">
        <is>
          <t>alt</t>
        </is>
      </c>
      <c r="O1139" t="n">
        <v>-10</v>
      </c>
      <c r="P1139" t="n">
        <v>0.003647</v>
      </c>
      <c r="Q1139" t="n">
        <v>10</v>
      </c>
      <c r="R1139" t="n">
        <v>0.007263</v>
      </c>
      <c r="S1139">
        <f>IMAGE("https://mitra.stanford.edu/kundaje/oak/projects/neuro-variants/variant_position/credible/roussos_2024/variant_figures/roussos_2024.adolescence.GLU/rs12429854_count_position.png",4,220,900)</f>
        <v/>
      </c>
      <c r="T1139">
        <f>IMAGE("https://mitra.stanford.edu/kundaje/oak/projects/neuro-variants/variant_position/credible/roussos_2024/variant_figures/roussos_2024.adolescence.GLU/rs12429854_profile_position.png",4,220,900)</f>
        <v/>
      </c>
    </row>
    <row r="1140">
      <c r="A1140" t="inlineStr">
        <is>
          <t>chr13</t>
        </is>
      </c>
      <c r="B1140" t="n">
        <v>101383441</v>
      </c>
      <c r="C1140" t="inlineStr">
        <is>
          <t>G</t>
        </is>
      </c>
      <c r="D1140" t="inlineStr">
        <is>
          <t>A</t>
        </is>
      </c>
      <c r="E1140" t="inlineStr">
        <is>
          <t>rs9585685</t>
        </is>
      </c>
      <c r="F1140" t="n">
        <v>-0.01494394684</v>
      </c>
      <c r="G1140" t="n">
        <v>0.427800691079855</v>
      </c>
      <c r="H1140" t="n">
        <v>0.0101180154136667</v>
      </c>
      <c r="I1140" t="n">
        <v>0.5338942850981169</v>
      </c>
      <c r="J1140" t="n">
        <v>0.0501189532117366</v>
      </c>
      <c r="K1140" t="n">
        <v>0.696487320147225</v>
      </c>
      <c r="L1140" t="b">
        <v>0</v>
      </c>
      <c r="M1140" t="b">
        <v>0</v>
      </c>
      <c r="N1140" t="inlineStr">
        <is>
          <t>ref</t>
        </is>
      </c>
      <c r="O1140" t="n">
        <v>55</v>
      </c>
      <c r="P1140" t="n">
        <v>0.006622</v>
      </c>
      <c r="Q1140" t="n">
        <v>-45</v>
      </c>
      <c r="R1140" t="n">
        <v>0.0478</v>
      </c>
      <c r="S1140">
        <f>IMAGE("https://mitra.stanford.edu/kundaje/oak/projects/neuro-variants/variant_position/credible/roussos_2024/variant_figures/roussos_2024.adolescence.GLU/rs9585685_count_position.png",4,220,900)</f>
        <v/>
      </c>
      <c r="T1140">
        <f>IMAGE("https://mitra.stanford.edu/kundaje/oak/projects/neuro-variants/variant_position/credible/roussos_2024/variant_figures/roussos_2024.adolescence.GLU/rs9585685_profile_position.png",4,220,900)</f>
        <v/>
      </c>
    </row>
    <row r="1141">
      <c r="A1141" t="inlineStr">
        <is>
          <t>chr13</t>
        </is>
      </c>
      <c r="B1141" t="n">
        <v>111020256</v>
      </c>
      <c r="C1141" t="inlineStr">
        <is>
          <t>C</t>
        </is>
      </c>
      <c r="D1141" t="inlineStr">
        <is>
          <t>T</t>
        </is>
      </c>
      <c r="E1141" t="inlineStr">
        <is>
          <t>rs9559929</t>
        </is>
      </c>
      <c r="F1141" t="n">
        <v>-0.0547552603999999</v>
      </c>
      <c r="G1141" t="n">
        <v>0.0509395133951606</v>
      </c>
      <c r="H1141" t="n">
        <v>0.0150953597975688</v>
      </c>
      <c r="I1141" t="n">
        <v>0.1540160797150027</v>
      </c>
      <c r="J1141" t="n">
        <v>0.5391259618063742</v>
      </c>
      <c r="K1141" t="n">
        <v>0.06478269226045159</v>
      </c>
      <c r="L1141" t="b">
        <v>0</v>
      </c>
      <c r="M1141" t="b">
        <v>0</v>
      </c>
      <c r="N1141" t="inlineStr">
        <is>
          <t>ref</t>
        </is>
      </c>
      <c r="O1141" t="n">
        <v>95</v>
      </c>
      <c r="P1141" t="n">
        <v>0.002853</v>
      </c>
      <c r="Q1141" t="n">
        <v>-95</v>
      </c>
      <c r="R1141" t="n">
        <v>0.06177</v>
      </c>
      <c r="S1141">
        <f>IMAGE("https://mitra.stanford.edu/kundaje/oak/projects/neuro-variants/variant_position/credible/roussos_2024/variant_figures/roussos_2024.adolescence.GLU/rs9559929_count_position.png",4,220,900)</f>
        <v/>
      </c>
      <c r="T1141">
        <f>IMAGE("https://mitra.stanford.edu/kundaje/oak/projects/neuro-variants/variant_position/credible/roussos_2024/variant_figures/roussos_2024.adolescence.GLU/rs9559929_profile_position.png",4,220,900)</f>
        <v/>
      </c>
    </row>
    <row r="1142">
      <c r="A1142" t="inlineStr">
        <is>
          <t>chr13</t>
        </is>
      </c>
      <c r="B1142" t="n">
        <v>111020704</v>
      </c>
      <c r="C1142" t="inlineStr">
        <is>
          <t>C</t>
        </is>
      </c>
      <c r="D1142" t="inlineStr">
        <is>
          <t>T</t>
        </is>
      </c>
      <c r="E1142" t="inlineStr">
        <is>
          <t>rs9559931</t>
        </is>
      </c>
      <c r="F1142" t="n">
        <v>-0.064555552</v>
      </c>
      <c r="G1142" t="n">
        <v>0.0472599327562215</v>
      </c>
      <c r="H1142" t="n">
        <v>0.0407887810488235</v>
      </c>
      <c r="I1142" t="n">
        <v>0.0053540375394257</v>
      </c>
      <c r="J1142" t="n">
        <v>0.4219345435840281</v>
      </c>
      <c r="K1142" t="n">
        <v>0.1482809203900092</v>
      </c>
      <c r="L1142" t="b">
        <v>1</v>
      </c>
      <c r="M1142" t="b">
        <v>1</v>
      </c>
      <c r="N1142" t="inlineStr">
        <is>
          <t>ref</t>
        </is>
      </c>
      <c r="O1142" t="n">
        <v>100</v>
      </c>
      <c r="P1142" t="n">
        <v>0.008</v>
      </c>
      <c r="Q1142" t="n">
        <v>-20</v>
      </c>
      <c r="R1142" t="n">
        <v>0.002686</v>
      </c>
      <c r="S1142">
        <f>IMAGE("https://mitra.stanford.edu/kundaje/oak/projects/neuro-variants/variant_position/credible/roussos_2024/variant_figures/roussos_2024.adolescence.GLU/rs9559931_count_position.png",4,220,900)</f>
        <v/>
      </c>
      <c r="T1142">
        <f>IMAGE("https://mitra.stanford.edu/kundaje/oak/projects/neuro-variants/variant_position/credible/roussos_2024/variant_figures/roussos_2024.adolescence.GLU/rs9559931_profile_position.png",4,220,900)</f>
        <v/>
      </c>
    </row>
    <row r="1143">
      <c r="A1143" t="inlineStr">
        <is>
          <t>chr13</t>
        </is>
      </c>
      <c r="B1143" t="n">
        <v>111020707</v>
      </c>
      <c r="C1143" t="inlineStr">
        <is>
          <t>C</t>
        </is>
      </c>
      <c r="D1143" t="inlineStr">
        <is>
          <t>G</t>
        </is>
      </c>
      <c r="E1143" t="inlineStr">
        <is>
          <t>rs9559932</t>
        </is>
      </c>
      <c r="F1143" t="n">
        <v>-0.0605592382</v>
      </c>
      <c r="G1143" t="n">
        <v>0.0531700055661673</v>
      </c>
      <c r="H1143" t="n">
        <v>0.0310108346019842</v>
      </c>
      <c r="I1143" t="n">
        <v>0.0223451155804254</v>
      </c>
      <c r="J1143" t="n">
        <v>0.4197740960627557</v>
      </c>
      <c r="K1143" t="n">
        <v>0.1501784594996912</v>
      </c>
      <c r="L1143" t="b">
        <v>0</v>
      </c>
      <c r="M1143" t="b">
        <v>0</v>
      </c>
      <c r="N1143" t="inlineStr">
        <is>
          <t>ref</t>
        </is>
      </c>
      <c r="O1143" t="n">
        <v>100</v>
      </c>
      <c r="P1143" t="n">
        <v>0.00923</v>
      </c>
      <c r="Q1143" t="n">
        <v>-25</v>
      </c>
      <c r="R1143" t="n">
        <v>0.009705</v>
      </c>
      <c r="S1143">
        <f>IMAGE("https://mitra.stanford.edu/kundaje/oak/projects/neuro-variants/variant_position/credible/roussos_2024/variant_figures/roussos_2024.adolescence.GLU/rs9559932_count_position.png",4,220,900)</f>
        <v/>
      </c>
      <c r="T1143">
        <f>IMAGE("https://mitra.stanford.edu/kundaje/oak/projects/neuro-variants/variant_position/credible/roussos_2024/variant_figures/roussos_2024.adolescence.GLU/rs9559932_profile_position.png",4,220,900)</f>
        <v/>
      </c>
    </row>
    <row r="1144">
      <c r="A1144" t="inlineStr">
        <is>
          <t>chr13</t>
        </is>
      </c>
      <c r="B1144" t="n">
        <v>111022866</v>
      </c>
      <c r="C1144" t="inlineStr">
        <is>
          <t>T</t>
        </is>
      </c>
      <c r="D1144" t="inlineStr">
        <is>
          <t>C</t>
        </is>
      </c>
      <c r="E1144" t="inlineStr">
        <is>
          <t>rs9559934</t>
        </is>
      </c>
      <c r="F1144" t="n">
        <v>0.0263308554</v>
      </c>
      <c r="G1144" t="n">
        <v>0.1996238710861607</v>
      </c>
      <c r="H1144" t="n">
        <v>0.0311438110069796</v>
      </c>
      <c r="I1144" t="n">
        <v>0.007089132599482</v>
      </c>
      <c r="J1144" t="n">
        <v>0.0998321080795307</v>
      </c>
      <c r="K1144" t="n">
        <v>0.5710862404686263</v>
      </c>
      <c r="L1144" t="b">
        <v>1</v>
      </c>
      <c r="M1144" t="b">
        <v>1</v>
      </c>
      <c r="N1144" t="inlineStr">
        <is>
          <t>alt</t>
        </is>
      </c>
      <c r="O1144" t="n">
        <v>70</v>
      </c>
      <c r="P1144" t="n">
        <v>0.03217</v>
      </c>
      <c r="Q1144" t="n">
        <v>60</v>
      </c>
      <c r="R1144" t="n">
        <v>0.09039999999999999</v>
      </c>
      <c r="S1144">
        <f>IMAGE("https://mitra.stanford.edu/kundaje/oak/projects/neuro-variants/variant_position/credible/roussos_2024/variant_figures/roussos_2024.adolescence.GLU/rs9559934_count_position.png",4,220,900)</f>
        <v/>
      </c>
      <c r="T1144">
        <f>IMAGE("https://mitra.stanford.edu/kundaje/oak/projects/neuro-variants/variant_position/credible/roussos_2024/variant_figures/roussos_2024.adolescence.GLU/rs9559934_profile_position.png",4,220,900)</f>
        <v/>
      </c>
    </row>
    <row r="1145">
      <c r="A1145" t="inlineStr">
        <is>
          <t>chr13</t>
        </is>
      </c>
      <c r="B1145" t="n">
        <v>111033938</v>
      </c>
      <c r="C1145" t="inlineStr">
        <is>
          <t>G</t>
        </is>
      </c>
      <c r="D1145" t="inlineStr">
        <is>
          <t>A</t>
        </is>
      </c>
      <c r="E1145" t="inlineStr">
        <is>
          <t>rs34061305</t>
        </is>
      </c>
      <c r="F1145" t="n">
        <v>-0.0168765796</v>
      </c>
      <c r="G1145" t="n">
        <v>0.2648421561970119</v>
      </c>
      <c r="H1145" t="n">
        <v>0.0183570701574851</v>
      </c>
      <c r="I1145" t="n">
        <v>0.0935845912855793</v>
      </c>
      <c r="J1145" t="n">
        <v>0.3545991669703009</v>
      </c>
      <c r="K1145" t="n">
        <v>0.2106986818803561</v>
      </c>
      <c r="L1145" t="b">
        <v>0</v>
      </c>
      <c r="M1145" t="b">
        <v>0</v>
      </c>
      <c r="N1145" t="inlineStr">
        <is>
          <t>ref</t>
        </is>
      </c>
      <c r="O1145" t="n">
        <v>25</v>
      </c>
      <c r="P1145" t="n">
        <v>0.00119</v>
      </c>
      <c r="Q1145" t="n">
        <v>-70</v>
      </c>
      <c r="R1145" t="n">
        <v>0.0722</v>
      </c>
      <c r="S1145">
        <f>IMAGE("https://mitra.stanford.edu/kundaje/oak/projects/neuro-variants/variant_position/credible/roussos_2024/variant_figures/roussos_2024.adolescence.GLU/rs34061305_count_position.png",4,220,900)</f>
        <v/>
      </c>
      <c r="T1145">
        <f>IMAGE("https://mitra.stanford.edu/kundaje/oak/projects/neuro-variants/variant_position/credible/roussos_2024/variant_figures/roussos_2024.adolescence.GLU/rs34061305_profile_position.png",4,220,900)</f>
        <v/>
      </c>
    </row>
    <row r="1146">
      <c r="A1146" t="inlineStr">
        <is>
          <t>chr13</t>
        </is>
      </c>
      <c r="B1146" t="n">
        <v>111034262</v>
      </c>
      <c r="C1146" t="inlineStr">
        <is>
          <t>T</t>
        </is>
      </c>
      <c r="D1146" t="inlineStr">
        <is>
          <t>G</t>
        </is>
      </c>
      <c r="E1146" t="inlineStr">
        <is>
          <t>rs9522088</t>
        </is>
      </c>
      <c r="F1146" t="n">
        <v>0.0826415514</v>
      </c>
      <c r="G1146" t="n">
        <v>0.0159664699451625</v>
      </c>
      <c r="H1146" t="n">
        <v>0.0195462166347441</v>
      </c>
      <c r="I1146" t="n">
        <v>0.06916786477348499</v>
      </c>
      <c r="J1146" t="n">
        <v>0.1964121139378871</v>
      </c>
      <c r="K1146" t="n">
        <v>0.4030313846630082</v>
      </c>
      <c r="L1146" t="b">
        <v>1</v>
      </c>
      <c r="M1146" t="b">
        <v>0</v>
      </c>
      <c r="N1146" t="inlineStr">
        <is>
          <t>alt</t>
        </is>
      </c>
      <c r="O1146" t="n">
        <v>5</v>
      </c>
      <c r="P1146" t="n">
        <v>0.0003548</v>
      </c>
      <c r="Q1146" t="n">
        <v>-90</v>
      </c>
      <c r="R1146" t="n">
        <v>0.0636</v>
      </c>
      <c r="S1146">
        <f>IMAGE("https://mitra.stanford.edu/kundaje/oak/projects/neuro-variants/variant_position/credible/roussos_2024/variant_figures/roussos_2024.adolescence.GLU/rs9522088_count_position.png",4,220,900)</f>
        <v/>
      </c>
      <c r="T1146">
        <f>IMAGE("https://mitra.stanford.edu/kundaje/oak/projects/neuro-variants/variant_position/credible/roussos_2024/variant_figures/roussos_2024.adolescence.GLU/rs9522088_profile_position.png",4,220,900)</f>
        <v/>
      </c>
    </row>
    <row r="1147">
      <c r="A1147" t="inlineStr">
        <is>
          <t>chr13</t>
        </is>
      </c>
      <c r="B1147" t="n">
        <v>111038211</v>
      </c>
      <c r="C1147" t="inlineStr">
        <is>
          <t>T</t>
        </is>
      </c>
      <c r="D1147" t="inlineStr">
        <is>
          <t>C</t>
        </is>
      </c>
      <c r="E1147" t="inlineStr">
        <is>
          <t>rs9515358</t>
        </is>
      </c>
      <c r="F1147" t="n">
        <v>0.0286177688</v>
      </c>
      <c r="G1147" t="n">
        <v>0.1773282963949878</v>
      </c>
      <c r="H1147" t="n">
        <v>0.0117068234913186</v>
      </c>
      <c r="I1147" t="n">
        <v>0.3634977880401635</v>
      </c>
      <c r="J1147" t="n">
        <v>0.4546213144151288</v>
      </c>
      <c r="K1147" t="n">
        <v>0.1211202125596016</v>
      </c>
      <c r="L1147" t="b">
        <v>0</v>
      </c>
      <c r="M1147" t="b">
        <v>0</v>
      </c>
      <c r="N1147" t="inlineStr">
        <is>
          <t>alt</t>
        </is>
      </c>
      <c r="O1147" t="n">
        <v>90</v>
      </c>
      <c r="P1147" t="n">
        <v>0.007153</v>
      </c>
      <c r="Q1147" t="n">
        <v>-85</v>
      </c>
      <c r="R1147" t="n">
        <v>0.08459999999999999</v>
      </c>
      <c r="S1147">
        <f>IMAGE("https://mitra.stanford.edu/kundaje/oak/projects/neuro-variants/variant_position/credible/roussos_2024/variant_figures/roussos_2024.adolescence.GLU/rs9515358_count_position.png",4,220,900)</f>
        <v/>
      </c>
      <c r="T1147">
        <f>IMAGE("https://mitra.stanford.edu/kundaje/oak/projects/neuro-variants/variant_position/credible/roussos_2024/variant_figures/roussos_2024.adolescence.GLU/rs9515358_profile_position.png",4,220,900)</f>
        <v/>
      </c>
    </row>
    <row r="1148">
      <c r="A1148" t="inlineStr">
        <is>
          <t>chr13</t>
        </is>
      </c>
      <c r="B1148" t="n">
        <v>111054544</v>
      </c>
      <c r="C1148" t="inlineStr">
        <is>
          <t>C</t>
        </is>
      </c>
      <c r="D1148" t="inlineStr">
        <is>
          <t>T</t>
        </is>
      </c>
      <c r="E1148" t="inlineStr">
        <is>
          <t>rs9559947</t>
        </is>
      </c>
      <c r="F1148" t="n">
        <v>0.01088152598</v>
      </c>
      <c r="G1148" t="n">
        <v>0.5138838228247727</v>
      </c>
      <c r="H1148" t="n">
        <v>0.0259526285790919</v>
      </c>
      <c r="I1148" t="n">
        <v>0.0182052415015864</v>
      </c>
      <c r="J1148" t="n">
        <v>0.0316679883690192</v>
      </c>
      <c r="K1148" t="n">
        <v>0.764953641115535</v>
      </c>
      <c r="L1148" t="b">
        <v>1</v>
      </c>
      <c r="M1148" t="b">
        <v>0</v>
      </c>
      <c r="N1148" t="inlineStr">
        <is>
          <t>alt</t>
        </is>
      </c>
      <c r="O1148" t="n">
        <v>55</v>
      </c>
      <c r="P1148" t="n">
        <v>0.001465</v>
      </c>
      <c r="Q1148" t="n">
        <v>100</v>
      </c>
      <c r="R1148" t="n">
        <v>0.0321</v>
      </c>
      <c r="S1148">
        <f>IMAGE("https://mitra.stanford.edu/kundaje/oak/projects/neuro-variants/variant_position/credible/roussos_2024/variant_figures/roussos_2024.adolescence.GLU/rs9559947_count_position.png",4,220,900)</f>
        <v/>
      </c>
      <c r="T1148">
        <f>IMAGE("https://mitra.stanford.edu/kundaje/oak/projects/neuro-variants/variant_position/credible/roussos_2024/variant_figures/roussos_2024.adolescence.GLU/rs9559947_profile_position.png",4,220,900)</f>
        <v/>
      </c>
    </row>
    <row r="1149">
      <c r="A1149" t="inlineStr">
        <is>
          <t>chr13</t>
        </is>
      </c>
      <c r="B1149" t="n">
        <v>111059584</v>
      </c>
      <c r="C1149" t="inlineStr">
        <is>
          <t>G</t>
        </is>
      </c>
      <c r="D1149" t="inlineStr">
        <is>
          <t>A</t>
        </is>
      </c>
      <c r="E1149" t="inlineStr">
        <is>
          <t>rs1888848</t>
        </is>
      </c>
      <c r="F1149" t="n">
        <v>-0.1112971748</v>
      </c>
      <c r="G1149" t="n">
        <v>0.0078529348704843</v>
      </c>
      <c r="H1149" t="n">
        <v>0.0233845389925725</v>
      </c>
      <c r="I1149" t="n">
        <v>0.0336730658960531</v>
      </c>
      <c r="J1149" t="n">
        <v>0.4370419586914432</v>
      </c>
      <c r="K1149" t="n">
        <v>0.1360397400420763</v>
      </c>
      <c r="L1149" t="b">
        <v>1</v>
      </c>
      <c r="M1149" t="b">
        <v>1</v>
      </c>
      <c r="N1149" t="inlineStr">
        <is>
          <t>ref</t>
        </is>
      </c>
      <c r="O1149" t="n">
        <v>-10</v>
      </c>
      <c r="P1149" t="n">
        <v>0.003769</v>
      </c>
      <c r="Q1149" t="n">
        <v>85</v>
      </c>
      <c r="R1149" t="n">
        <v>0.03223</v>
      </c>
      <c r="S1149">
        <f>IMAGE("https://mitra.stanford.edu/kundaje/oak/projects/neuro-variants/variant_position/credible/roussos_2024/variant_figures/roussos_2024.adolescence.GLU/rs1888848_count_position.png",4,220,900)</f>
        <v/>
      </c>
      <c r="T1149">
        <f>IMAGE("https://mitra.stanford.edu/kundaje/oak/projects/neuro-variants/variant_position/credible/roussos_2024/variant_figures/roussos_2024.adolescence.GLU/rs1888848_profile_position.png",4,220,900)</f>
        <v/>
      </c>
    </row>
    <row r="1150">
      <c r="A1150" t="inlineStr">
        <is>
          <t>chr13</t>
        </is>
      </c>
      <c r="B1150" t="n">
        <v>111059590</v>
      </c>
      <c r="C1150" t="inlineStr">
        <is>
          <t>C</t>
        </is>
      </c>
      <c r="D1150" t="inlineStr">
        <is>
          <t>G</t>
        </is>
      </c>
      <c r="E1150" t="inlineStr">
        <is>
          <t>rs1888847</t>
        </is>
      </c>
      <c r="F1150" t="n">
        <v>-0.04736435312</v>
      </c>
      <c r="G1150" t="n">
        <v>0.08438173920491809</v>
      </c>
      <c r="H1150" t="n">
        <v>0.023617094608866</v>
      </c>
      <c r="I1150" t="n">
        <v>0.0279500593776346</v>
      </c>
      <c r="J1150" t="n">
        <v>0.4354916375534932</v>
      </c>
      <c r="K1150" t="n">
        <v>0.1372845727340647</v>
      </c>
      <c r="L1150" t="b">
        <v>0</v>
      </c>
      <c r="M1150" t="b">
        <v>0</v>
      </c>
      <c r="N1150" t="inlineStr">
        <is>
          <t>ref</t>
        </is>
      </c>
      <c r="O1150" t="n">
        <v>-15</v>
      </c>
      <c r="P1150" t="n">
        <v>0.006012</v>
      </c>
      <c r="Q1150" t="n">
        <v>60</v>
      </c>
      <c r="R1150" t="n">
        <v>0.02368</v>
      </c>
      <c r="S1150">
        <f>IMAGE("https://mitra.stanford.edu/kundaje/oak/projects/neuro-variants/variant_position/credible/roussos_2024/variant_figures/roussos_2024.adolescence.GLU/rs1888847_count_position.png",4,220,900)</f>
        <v/>
      </c>
      <c r="T1150">
        <f>IMAGE("https://mitra.stanford.edu/kundaje/oak/projects/neuro-variants/variant_position/credible/roussos_2024/variant_figures/roussos_2024.adolescence.GLU/rs1888847_profile_position.png",4,220,900)</f>
        <v/>
      </c>
    </row>
    <row r="1151">
      <c r="A1151" t="inlineStr">
        <is>
          <t>chr13</t>
        </is>
      </c>
      <c r="B1151" t="n">
        <v>111059715</v>
      </c>
      <c r="C1151" t="inlineStr">
        <is>
          <t>G</t>
        </is>
      </c>
      <c r="D1151" t="inlineStr">
        <is>
          <t>A</t>
        </is>
      </c>
      <c r="E1151" t="inlineStr">
        <is>
          <t>rs1810895</t>
        </is>
      </c>
      <c r="F1151" t="n">
        <v>0.0434502738</v>
      </c>
      <c r="G1151" t="n">
        <v>0.1027703517016496</v>
      </c>
      <c r="H1151" t="n">
        <v>0.0152996374271001</v>
      </c>
      <c r="I1151" t="n">
        <v>0.1770521968556436</v>
      </c>
      <c r="J1151" t="n">
        <v>0.4048681512599039</v>
      </c>
      <c r="K1151" t="n">
        <v>0.1630029985920279</v>
      </c>
      <c r="L1151" t="b">
        <v>0</v>
      </c>
      <c r="M1151" t="b">
        <v>0</v>
      </c>
      <c r="N1151" t="inlineStr">
        <is>
          <t>alt</t>
        </is>
      </c>
      <c r="O1151" t="n">
        <v>40</v>
      </c>
      <c r="P1151" t="n">
        <v>0.001694</v>
      </c>
      <c r="Q1151" t="n">
        <v>-85</v>
      </c>
      <c r="R1151" t="n">
        <v>0.09827</v>
      </c>
      <c r="S1151">
        <f>IMAGE("https://mitra.stanford.edu/kundaje/oak/projects/neuro-variants/variant_position/credible/roussos_2024/variant_figures/roussos_2024.adolescence.GLU/rs1810895_count_position.png",4,220,900)</f>
        <v/>
      </c>
      <c r="T1151">
        <f>IMAGE("https://mitra.stanford.edu/kundaje/oak/projects/neuro-variants/variant_position/credible/roussos_2024/variant_figures/roussos_2024.adolescence.GLU/rs1810895_profile_position.png",4,220,900)</f>
        <v/>
      </c>
    </row>
    <row r="1152">
      <c r="A1152" t="inlineStr">
        <is>
          <t>chr13</t>
        </is>
      </c>
      <c r="B1152" t="n">
        <v>111060764</v>
      </c>
      <c r="C1152" t="inlineStr">
        <is>
          <t>A</t>
        </is>
      </c>
      <c r="D1152" t="inlineStr">
        <is>
          <t>G</t>
        </is>
      </c>
      <c r="E1152" t="inlineStr">
        <is>
          <t>rs75592562</t>
        </is>
      </c>
      <c r="F1152" t="n">
        <v>0.0071794519799999</v>
      </c>
      <c r="G1152" t="n">
        <v>0.6147180166050671</v>
      </c>
      <c r="H1152" t="n">
        <v>0.0083177095981424</v>
      </c>
      <c r="I1152" t="n">
        <v>0.7495968971118617</v>
      </c>
      <c r="J1152" t="n">
        <v>0.1531388644790706</v>
      </c>
      <c r="K1152" t="n">
        <v>0.4733200547547426</v>
      </c>
      <c r="L1152" t="b">
        <v>0</v>
      </c>
      <c r="M1152" t="b">
        <v>0</v>
      </c>
      <c r="N1152" t="inlineStr">
        <is>
          <t>alt</t>
        </is>
      </c>
      <c r="O1152" t="n">
        <v>-20</v>
      </c>
      <c r="P1152" t="n">
        <v>0.002197</v>
      </c>
      <c r="Q1152" t="n">
        <v>-20</v>
      </c>
      <c r="R1152" t="n">
        <v>0.03488</v>
      </c>
      <c r="S1152">
        <f>IMAGE("https://mitra.stanford.edu/kundaje/oak/projects/neuro-variants/variant_position/credible/roussos_2024/variant_figures/roussos_2024.adolescence.GLU/rs75592562_count_position.png",4,220,900)</f>
        <v/>
      </c>
      <c r="T1152">
        <f>IMAGE("https://mitra.stanford.edu/kundaje/oak/projects/neuro-variants/variant_position/credible/roussos_2024/variant_figures/roussos_2024.adolescence.GLU/rs75592562_profile_position.png",4,220,900)</f>
        <v/>
      </c>
    </row>
    <row r="1153">
      <c r="A1153" t="inlineStr">
        <is>
          <t>chr13</t>
        </is>
      </c>
      <c r="B1153" t="n">
        <v>111060796</v>
      </c>
      <c r="C1153" t="inlineStr">
        <is>
          <t>C</t>
        </is>
      </c>
      <c r="D1153" t="inlineStr">
        <is>
          <t>A</t>
        </is>
      </c>
      <c r="E1153" t="inlineStr">
        <is>
          <t>rs74241867</t>
        </is>
      </c>
      <c r="F1153" t="n">
        <v>0.0122795417999999</v>
      </c>
      <c r="G1153" t="n">
        <v>0.4319156962329061</v>
      </c>
      <c r="H1153" t="n">
        <v>0.008043640015519399</v>
      </c>
      <c r="I1153" t="n">
        <v>0.7970183105745825</v>
      </c>
      <c r="J1153" t="n">
        <v>0.1615406048395738</v>
      </c>
      <c r="K1153" t="n">
        <v>0.4598667681939466</v>
      </c>
      <c r="L1153" t="b">
        <v>0</v>
      </c>
      <c r="M1153" t="b">
        <v>0</v>
      </c>
      <c r="N1153" t="inlineStr">
        <is>
          <t>alt</t>
        </is>
      </c>
      <c r="O1153" t="n">
        <v>-55</v>
      </c>
      <c r="P1153" t="n">
        <v>0.0331</v>
      </c>
      <c r="Q1153" t="n">
        <v>95</v>
      </c>
      <c r="R1153" t="n">
        <v>0.0388</v>
      </c>
      <c r="S1153">
        <f>IMAGE("https://mitra.stanford.edu/kundaje/oak/projects/neuro-variants/variant_position/credible/roussos_2024/variant_figures/roussos_2024.adolescence.GLU/rs74241867_count_position.png",4,220,900)</f>
        <v/>
      </c>
      <c r="T1153">
        <f>IMAGE("https://mitra.stanford.edu/kundaje/oak/projects/neuro-variants/variant_position/credible/roussos_2024/variant_figures/roussos_2024.adolescence.GLU/rs74241867_profile_position.png",4,220,900)</f>
        <v/>
      </c>
    </row>
    <row r="1154">
      <c r="A1154" t="inlineStr">
        <is>
          <t>chr14</t>
        </is>
      </c>
      <c r="B1154" t="n">
        <v>20679686</v>
      </c>
      <c r="C1154" t="inlineStr">
        <is>
          <t>A</t>
        </is>
      </c>
      <c r="D1154" t="inlineStr">
        <is>
          <t>G</t>
        </is>
      </c>
      <c r="E1154" t="inlineStr">
        <is>
          <t>rs2319380</t>
        </is>
      </c>
      <c r="F1154" t="n">
        <v>0.0300352991999999</v>
      </c>
      <c r="G1154" t="n">
        <v>0.1662695712350139</v>
      </c>
      <c r="H1154" t="n">
        <v>0.0128526721173382</v>
      </c>
      <c r="I1154" t="n">
        <v>0.2643502458137626</v>
      </c>
      <c r="J1154" t="n">
        <v>0.0563788213272748</v>
      </c>
      <c r="K1154" t="n">
        <v>0.6785802805382437</v>
      </c>
      <c r="L1154" t="b">
        <v>0</v>
      </c>
      <c r="M1154" t="b">
        <v>0</v>
      </c>
      <c r="N1154" t="inlineStr">
        <is>
          <t>alt</t>
        </is>
      </c>
      <c r="O1154" t="n">
        <v>-40</v>
      </c>
      <c r="P1154" t="n">
        <v>0.04742</v>
      </c>
      <c r="Q1154" t="n">
        <v>30</v>
      </c>
      <c r="R1154" t="n">
        <v>0.02882</v>
      </c>
      <c r="S1154">
        <f>IMAGE("https://mitra.stanford.edu/kundaje/oak/projects/neuro-variants/variant_position/credible/roussos_2024/variant_figures/roussos_2024.adolescence.GLU/rs2319380_count_position.png",4,220,900)</f>
        <v/>
      </c>
      <c r="T1154">
        <f>IMAGE("https://mitra.stanford.edu/kundaje/oak/projects/neuro-variants/variant_position/credible/roussos_2024/variant_figures/roussos_2024.adolescence.GLU/rs2319380_profile_position.png",4,220,900)</f>
        <v/>
      </c>
    </row>
    <row r="1155">
      <c r="A1155" t="inlineStr">
        <is>
          <t>chr14</t>
        </is>
      </c>
      <c r="B1155" t="n">
        <v>20680160</v>
      </c>
      <c r="C1155" t="inlineStr">
        <is>
          <t>C</t>
        </is>
      </c>
      <c r="D1155" t="inlineStr">
        <is>
          <t>A</t>
        </is>
      </c>
      <c r="E1155" t="inlineStr">
        <is>
          <t>rs10146921</t>
        </is>
      </c>
      <c r="F1155" t="n">
        <v>0.0798547803</v>
      </c>
      <c r="G1155" t="n">
        <v>0.0313572084233155</v>
      </c>
      <c r="H1155" t="n">
        <v>0.0364549303230366</v>
      </c>
      <c r="I1155" t="n">
        <v>0.0062022493655993</v>
      </c>
      <c r="J1155" t="n">
        <v>0.2641875817133549</v>
      </c>
      <c r="K1155" t="n">
        <v>0.3127651608023956</v>
      </c>
      <c r="L1155" t="b">
        <v>1</v>
      </c>
      <c r="M1155" t="b">
        <v>1</v>
      </c>
      <c r="N1155" t="inlineStr">
        <is>
          <t>alt</t>
        </is>
      </c>
      <c r="O1155" t="n">
        <v>-100</v>
      </c>
      <c r="P1155" t="n">
        <v>0.00299</v>
      </c>
      <c r="Q1155" t="n">
        <v>75</v>
      </c>
      <c r="R1155" t="n">
        <v>0.0453</v>
      </c>
      <c r="S1155">
        <f>IMAGE("https://mitra.stanford.edu/kundaje/oak/projects/neuro-variants/variant_position/credible/roussos_2024/variant_figures/roussos_2024.adolescence.GLU/rs10146921_count_position.png",4,220,900)</f>
        <v/>
      </c>
      <c r="T1155">
        <f>IMAGE("https://mitra.stanford.edu/kundaje/oak/projects/neuro-variants/variant_position/credible/roussos_2024/variant_figures/roussos_2024.adolescence.GLU/rs10146921_profile_position.png",4,220,900)</f>
        <v/>
      </c>
    </row>
    <row r="1156">
      <c r="A1156" t="inlineStr">
        <is>
          <t>chr14</t>
        </is>
      </c>
      <c r="B1156" t="n">
        <v>20681949</v>
      </c>
      <c r="C1156" t="inlineStr">
        <is>
          <t>G</t>
        </is>
      </c>
      <c r="D1156" t="inlineStr">
        <is>
          <t>A</t>
        </is>
      </c>
      <c r="E1156" t="inlineStr">
        <is>
          <t>rs12587456</t>
        </is>
      </c>
      <c r="F1156" t="n">
        <v>-0.06251816039999999</v>
      </c>
      <c r="G1156" t="n">
        <v>0.0332164186735048</v>
      </c>
      <c r="H1156" t="n">
        <v>0.0113556394906377</v>
      </c>
      <c r="I1156" t="n">
        <v>0.3593882351696528</v>
      </c>
      <c r="J1156" t="n">
        <v>0.6845975237727815</v>
      </c>
      <c r="K1156" t="n">
        <v>0.0172560997762574</v>
      </c>
      <c r="L1156" t="b">
        <v>0</v>
      </c>
      <c r="M1156" t="b">
        <v>0</v>
      </c>
      <c r="N1156" t="inlineStr">
        <is>
          <t>ref</t>
        </is>
      </c>
      <c r="O1156" t="n">
        <v>-95</v>
      </c>
      <c r="P1156" t="n">
        <v>0.004917</v>
      </c>
      <c r="Q1156" t="n">
        <v>100</v>
      </c>
      <c r="R1156" t="n">
        <v>0.06226</v>
      </c>
      <c r="S1156">
        <f>IMAGE("https://mitra.stanford.edu/kundaje/oak/projects/neuro-variants/variant_position/credible/roussos_2024/variant_figures/roussos_2024.adolescence.GLU/rs12587456_count_position.png",4,220,900)</f>
        <v/>
      </c>
      <c r="T1156">
        <f>IMAGE("https://mitra.stanford.edu/kundaje/oak/projects/neuro-variants/variant_position/credible/roussos_2024/variant_figures/roussos_2024.adolescence.GLU/rs12587456_profile_position.png",4,220,900)</f>
        <v/>
      </c>
    </row>
    <row r="1157">
      <c r="A1157" t="inlineStr">
        <is>
          <t>chr14</t>
        </is>
      </c>
      <c r="B1157" t="n">
        <v>28990775</v>
      </c>
      <c r="C1157" t="inlineStr">
        <is>
          <t>G</t>
        </is>
      </c>
      <c r="D1157" t="inlineStr">
        <is>
          <t>A</t>
        </is>
      </c>
      <c r="E1157" t="inlineStr">
        <is>
          <t>rs60652177</t>
        </is>
      </c>
      <c r="F1157" t="n">
        <v>-0.0175565835999999</v>
      </c>
      <c r="G1157" t="n">
        <v>0.3413639683331737</v>
      </c>
      <c r="H1157" t="n">
        <v>0.0101597818549987</v>
      </c>
      <c r="I1157" t="n">
        <v>0.5184570880484771</v>
      </c>
      <c r="J1157" t="n">
        <v>0.0552785934229232</v>
      </c>
      <c r="K1157" t="n">
        <v>0.6908299151263836</v>
      </c>
      <c r="L1157" t="b">
        <v>0</v>
      </c>
      <c r="M1157" t="b">
        <v>0</v>
      </c>
      <c r="N1157" t="inlineStr">
        <is>
          <t>ref</t>
        </is>
      </c>
      <c r="O1157" t="n">
        <v>-65</v>
      </c>
      <c r="P1157" t="n">
        <v>0.00582</v>
      </c>
      <c r="Q1157" t="n">
        <v>60</v>
      </c>
      <c r="R1157" t="n">
        <v>0.06616</v>
      </c>
      <c r="S1157">
        <f>IMAGE("https://mitra.stanford.edu/kundaje/oak/projects/neuro-variants/variant_position/credible/roussos_2024/variant_figures/roussos_2024.adolescence.GLU/rs60652177_count_position.png",4,220,900)</f>
        <v/>
      </c>
      <c r="T1157">
        <f>IMAGE("https://mitra.stanford.edu/kundaje/oak/projects/neuro-variants/variant_position/credible/roussos_2024/variant_figures/roussos_2024.adolescence.GLU/rs60652177_profile_position.png",4,220,900)</f>
        <v/>
      </c>
    </row>
    <row r="1158">
      <c r="A1158" t="inlineStr">
        <is>
          <t>chr14</t>
        </is>
      </c>
      <c r="B1158" t="n">
        <v>29000167</v>
      </c>
      <c r="C1158" t="inlineStr">
        <is>
          <t>T</t>
        </is>
      </c>
      <c r="D1158" t="inlineStr">
        <is>
          <t>C</t>
        </is>
      </c>
      <c r="E1158" t="inlineStr">
        <is>
          <t>rs10148671</t>
        </is>
      </c>
      <c r="F1158" t="n">
        <v>0.0784336546</v>
      </c>
      <c r="G1158" t="n">
        <v>0.0180609001354123</v>
      </c>
      <c r="H1158" t="n">
        <v>0.0131783718100249</v>
      </c>
      <c r="I1158" t="n">
        <v>0.2567091971169865</v>
      </c>
      <c r="J1158" t="n">
        <v>0.1128190839531045</v>
      </c>
      <c r="K1158" t="n">
        <v>0.5493844102631128</v>
      </c>
      <c r="L1158" t="b">
        <v>1</v>
      </c>
      <c r="M1158" t="b">
        <v>0</v>
      </c>
      <c r="N1158" t="inlineStr">
        <is>
          <t>alt</t>
        </is>
      </c>
      <c r="O1158" t="n">
        <v>50</v>
      </c>
      <c r="P1158" t="n">
        <v>0.000763</v>
      </c>
      <c r="Q1158" t="n">
        <v>15</v>
      </c>
      <c r="R1158" t="n">
        <v>0.03592</v>
      </c>
      <c r="S1158">
        <f>IMAGE("https://mitra.stanford.edu/kundaje/oak/projects/neuro-variants/variant_position/credible/roussos_2024/variant_figures/roussos_2024.adolescence.GLU/rs10148671_count_position.png",4,220,900)</f>
        <v/>
      </c>
      <c r="T1158">
        <f>IMAGE("https://mitra.stanford.edu/kundaje/oak/projects/neuro-variants/variant_position/credible/roussos_2024/variant_figures/roussos_2024.adolescence.GLU/rs10148671_profile_position.png",4,220,900)</f>
        <v/>
      </c>
    </row>
    <row r="1159">
      <c r="A1159" t="inlineStr">
        <is>
          <t>chr14</t>
        </is>
      </c>
      <c r="B1159" t="n">
        <v>29001268</v>
      </c>
      <c r="C1159" t="inlineStr">
        <is>
          <t>C</t>
        </is>
      </c>
      <c r="D1159" t="inlineStr">
        <is>
          <t>T</t>
        </is>
      </c>
      <c r="E1159" t="inlineStr">
        <is>
          <t>rs1886456</t>
        </is>
      </c>
      <c r="F1159" t="n">
        <v>-0.01599340718</v>
      </c>
      <c r="G1159" t="n">
        <v>0.3893062660043156</v>
      </c>
      <c r="H1159" t="n">
        <v>0.0121591370631827</v>
      </c>
      <c r="I1159" t="n">
        <v>0.3162691290963508</v>
      </c>
      <c r="J1159" t="n">
        <v>0.0816169063591743</v>
      </c>
      <c r="K1159" t="n">
        <v>0.6153232978733356</v>
      </c>
      <c r="L1159" t="b">
        <v>0</v>
      </c>
      <c r="M1159" t="b">
        <v>0</v>
      </c>
      <c r="N1159" t="inlineStr">
        <is>
          <t>ref</t>
        </is>
      </c>
      <c r="O1159" t="n">
        <v>-75</v>
      </c>
      <c r="P1159" t="n">
        <v>0.00702</v>
      </c>
      <c r="Q1159" t="n">
        <v>25</v>
      </c>
      <c r="R1159" t="n">
        <v>0.0359</v>
      </c>
      <c r="S1159">
        <f>IMAGE("https://mitra.stanford.edu/kundaje/oak/projects/neuro-variants/variant_position/credible/roussos_2024/variant_figures/roussos_2024.adolescence.GLU/rs1886456_count_position.png",4,220,900)</f>
        <v/>
      </c>
      <c r="T1159">
        <f>IMAGE("https://mitra.stanford.edu/kundaje/oak/projects/neuro-variants/variant_position/credible/roussos_2024/variant_figures/roussos_2024.adolescence.GLU/rs1886456_profile_position.png",4,220,900)</f>
        <v/>
      </c>
    </row>
    <row r="1160">
      <c r="A1160" t="inlineStr">
        <is>
          <t>chr14</t>
        </is>
      </c>
      <c r="B1160" t="n">
        <v>29071661</v>
      </c>
      <c r="C1160" t="inlineStr">
        <is>
          <t>A</t>
        </is>
      </c>
      <c r="D1160" t="inlineStr">
        <is>
          <t>G</t>
        </is>
      </c>
      <c r="E1160" t="inlineStr">
        <is>
          <t>rs12882564</t>
        </is>
      </c>
      <c r="F1160" t="n">
        <v>0.035130241</v>
      </c>
      <c r="G1160" t="n">
        <v>0.1355209820986195</v>
      </c>
      <c r="H1160" t="n">
        <v>0.0098825572468371</v>
      </c>
      <c r="I1160" t="n">
        <v>0.5499379960341388</v>
      </c>
      <c r="J1160" t="n">
        <v>0.0368562059283708</v>
      </c>
      <c r="K1160" t="n">
        <v>0.7458971280360882</v>
      </c>
      <c r="L1160" t="b">
        <v>0</v>
      </c>
      <c r="M1160" t="b">
        <v>0</v>
      </c>
      <c r="N1160" t="inlineStr">
        <is>
          <t>alt</t>
        </is>
      </c>
      <c r="O1160" t="n">
        <v>-95</v>
      </c>
      <c r="P1160" t="n">
        <v>0.00425</v>
      </c>
      <c r="Q1160" t="n">
        <v>100</v>
      </c>
      <c r="R1160" t="n">
        <v>0.06836</v>
      </c>
      <c r="S1160">
        <f>IMAGE("https://mitra.stanford.edu/kundaje/oak/projects/neuro-variants/variant_position/credible/roussos_2024/variant_figures/roussos_2024.adolescence.GLU/rs12882564_count_position.png",4,220,900)</f>
        <v/>
      </c>
      <c r="T1160">
        <f>IMAGE("https://mitra.stanford.edu/kundaje/oak/projects/neuro-variants/variant_position/credible/roussos_2024/variant_figures/roussos_2024.adolescence.GLU/rs12882564_profile_position.png",4,220,900)</f>
        <v/>
      </c>
    </row>
    <row r="1161">
      <c r="A1161" t="inlineStr">
        <is>
          <t>chr14</t>
        </is>
      </c>
      <c r="B1161" t="n">
        <v>29256150</v>
      </c>
      <c r="C1161" t="inlineStr">
        <is>
          <t>A</t>
        </is>
      </c>
      <c r="D1161" t="inlineStr">
        <is>
          <t>C</t>
        </is>
      </c>
      <c r="E1161" t="inlineStr">
        <is>
          <t>rs1956235</t>
        </is>
      </c>
      <c r="F1161" t="n">
        <v>-0.0139445291</v>
      </c>
      <c r="G1161" t="n">
        <v>0.4422482588483178</v>
      </c>
      <c r="H1161" t="n">
        <v>0.0157562149594372</v>
      </c>
      <c r="I1161" t="n">
        <v>0.1400556664824822</v>
      </c>
      <c r="J1161" t="n">
        <v>0.039108100963771</v>
      </c>
      <c r="K1161" t="n">
        <v>0.7520852767548071</v>
      </c>
      <c r="L1161" t="b">
        <v>0</v>
      </c>
      <c r="M1161" t="b">
        <v>0</v>
      </c>
      <c r="N1161" t="inlineStr">
        <is>
          <t>ref</t>
        </is>
      </c>
      <c r="O1161" t="n">
        <v>10</v>
      </c>
      <c r="P1161" t="n">
        <v>0.0006104</v>
      </c>
      <c r="Q1161" t="n">
        <v>0</v>
      </c>
      <c r="R1161" t="n">
        <v>0</v>
      </c>
      <c r="S1161">
        <f>IMAGE("https://mitra.stanford.edu/kundaje/oak/projects/neuro-variants/variant_position/credible/roussos_2024/variant_figures/roussos_2024.adolescence.GLU/rs1956235_count_position.png",4,220,900)</f>
        <v/>
      </c>
      <c r="T1161">
        <f>IMAGE("https://mitra.stanford.edu/kundaje/oak/projects/neuro-variants/variant_position/credible/roussos_2024/variant_figures/roussos_2024.adolescence.GLU/rs1956235_profile_position.png",4,220,900)</f>
        <v/>
      </c>
    </row>
    <row r="1162">
      <c r="A1162" t="inlineStr">
        <is>
          <t>chr14</t>
        </is>
      </c>
      <c r="B1162" t="n">
        <v>29262456</v>
      </c>
      <c r="C1162" t="inlineStr">
        <is>
          <t>A</t>
        </is>
      </c>
      <c r="D1162" t="inlineStr">
        <is>
          <t>T</t>
        </is>
      </c>
      <c r="E1162" t="inlineStr">
        <is>
          <t>rs4636809</t>
        </is>
      </c>
      <c r="F1162" t="n">
        <v>-0.0155164448</v>
      </c>
      <c r="G1162" t="n">
        <v>0.3767254772707782</v>
      </c>
      <c r="H1162" t="n">
        <v>0.0280125004264611</v>
      </c>
      <c r="I1162" t="n">
        <v>0.01233888084985</v>
      </c>
      <c r="J1162" t="n">
        <v>0.0050939123104071</v>
      </c>
      <c r="K1162" t="n">
        <v>0.9171127796952496</v>
      </c>
      <c r="L1162" t="b">
        <v>0</v>
      </c>
      <c r="M1162" t="b">
        <v>0</v>
      </c>
      <c r="N1162" t="inlineStr">
        <is>
          <t>ref</t>
        </is>
      </c>
      <c r="O1162" t="n">
        <v>75</v>
      </c>
      <c r="P1162" t="n">
        <v>0.0047</v>
      </c>
      <c r="Q1162" t="n">
        <v>-50</v>
      </c>
      <c r="R1162" t="n">
        <v>0.04272</v>
      </c>
      <c r="S1162">
        <f>IMAGE("https://mitra.stanford.edu/kundaje/oak/projects/neuro-variants/variant_position/credible/roussos_2024/variant_figures/roussos_2024.adolescence.GLU/rs4636809_count_position.png",4,220,900)</f>
        <v/>
      </c>
      <c r="T1162">
        <f>IMAGE("https://mitra.stanford.edu/kundaje/oak/projects/neuro-variants/variant_position/credible/roussos_2024/variant_figures/roussos_2024.adolescence.GLU/rs4636809_profile_position.png",4,220,900)</f>
        <v/>
      </c>
    </row>
    <row r="1163">
      <c r="A1163" t="inlineStr">
        <is>
          <t>chr14</t>
        </is>
      </c>
      <c r="B1163" t="n">
        <v>29531826</v>
      </c>
      <c r="C1163" t="inlineStr">
        <is>
          <t>A</t>
        </is>
      </c>
      <c r="D1163" t="inlineStr">
        <is>
          <t>T</t>
        </is>
      </c>
      <c r="E1163" t="inlineStr">
        <is>
          <t>rs1191547</t>
        </is>
      </c>
      <c r="F1163" t="n">
        <v>0.01184978286</v>
      </c>
      <c r="G1163" t="n">
        <v>0.4603281599427166</v>
      </c>
      <c r="H1163" t="n">
        <v>0.0176148715557947</v>
      </c>
      <c r="I1163" t="n">
        <v>0.0910438149719799</v>
      </c>
      <c r="J1163" t="n">
        <v>0.1947146194568874</v>
      </c>
      <c r="K1163" t="n">
        <v>0.4105423451692176</v>
      </c>
      <c r="L1163" t="b">
        <v>0</v>
      </c>
      <c r="M1163" t="b">
        <v>0</v>
      </c>
      <c r="N1163" t="inlineStr">
        <is>
          <t>alt</t>
        </is>
      </c>
      <c r="O1163" t="n">
        <v>65</v>
      </c>
      <c r="P1163" t="n">
        <v>0.003555</v>
      </c>
      <c r="Q1163" t="n">
        <v>100</v>
      </c>
      <c r="R1163" t="n">
        <v>0.04852</v>
      </c>
      <c r="S1163">
        <f>IMAGE("https://mitra.stanford.edu/kundaje/oak/projects/neuro-variants/variant_position/credible/roussos_2024/variant_figures/roussos_2024.adolescence.GLU/rs1191547_count_position.png",4,220,900)</f>
        <v/>
      </c>
      <c r="T1163">
        <f>IMAGE("https://mitra.stanford.edu/kundaje/oak/projects/neuro-variants/variant_position/credible/roussos_2024/variant_figures/roussos_2024.adolescence.GLU/rs1191547_profile_position.png",4,220,900)</f>
        <v/>
      </c>
    </row>
    <row r="1164">
      <c r="A1164" t="inlineStr">
        <is>
          <t>chr14</t>
        </is>
      </c>
      <c r="B1164" t="n">
        <v>29601703</v>
      </c>
      <c r="C1164" t="inlineStr">
        <is>
          <t>G</t>
        </is>
      </c>
      <c r="D1164" t="inlineStr">
        <is>
          <t>T</t>
        </is>
      </c>
      <c r="E1164" t="inlineStr">
        <is>
          <t>rs3783301</t>
        </is>
      </c>
      <c r="F1164" t="n">
        <v>0.0236172903599999</v>
      </c>
      <c r="G1164" t="n">
        <v>0.2584610710182552</v>
      </c>
      <c r="H1164" t="n">
        <v>0.0153468171906903</v>
      </c>
      <c r="I1164" t="n">
        <v>0.166141073790468</v>
      </c>
      <c r="J1164" t="n">
        <v>0.2115338177193847</v>
      </c>
      <c r="K1164" t="n">
        <v>0.3865630494974712</v>
      </c>
      <c r="L1164" t="b">
        <v>0</v>
      </c>
      <c r="M1164" t="b">
        <v>0</v>
      </c>
      <c r="N1164" t="inlineStr">
        <is>
          <t>alt</t>
        </is>
      </c>
      <c r="O1164" t="n">
        <v>-100</v>
      </c>
      <c r="P1164" t="n">
        <v>0.004196</v>
      </c>
      <c r="Q1164" t="n">
        <v>-80</v>
      </c>
      <c r="R1164" t="n">
        <v>0.0641</v>
      </c>
      <c r="S1164">
        <f>IMAGE("https://mitra.stanford.edu/kundaje/oak/projects/neuro-variants/variant_position/credible/roussos_2024/variant_figures/roussos_2024.adolescence.GLU/rs3783301_count_position.png",4,220,900)</f>
        <v/>
      </c>
      <c r="T1164">
        <f>IMAGE("https://mitra.stanford.edu/kundaje/oak/projects/neuro-variants/variant_position/credible/roussos_2024/variant_figures/roussos_2024.adolescence.GLU/rs3783301_profile_position.png",4,220,900)</f>
        <v/>
      </c>
    </row>
    <row r="1165">
      <c r="A1165" t="inlineStr">
        <is>
          <t>chr14</t>
        </is>
      </c>
      <c r="B1165" t="n">
        <v>29614498</v>
      </c>
      <c r="C1165" t="inlineStr">
        <is>
          <t>T</t>
        </is>
      </c>
      <c r="D1165" t="inlineStr">
        <is>
          <t>G</t>
        </is>
      </c>
      <c r="E1165" t="inlineStr">
        <is>
          <t>rs10149921</t>
        </is>
      </c>
      <c r="F1165" t="n">
        <v>0.003636940064</v>
      </c>
      <c r="G1165" t="n">
        <v>0.7799936177763757</v>
      </c>
      <c r="H1165" t="n">
        <v>0.0160790670926853</v>
      </c>
      <c r="I1165" t="n">
        <v>0.1253669922803962</v>
      </c>
      <c r="J1165" t="n">
        <v>0.0072114938094319</v>
      </c>
      <c r="K1165" t="n">
        <v>0.8979259851642089</v>
      </c>
      <c r="L1165" t="b">
        <v>0</v>
      </c>
      <c r="M1165" t="b">
        <v>0</v>
      </c>
      <c r="N1165" t="inlineStr">
        <is>
          <t>alt</t>
        </is>
      </c>
      <c r="O1165" t="n">
        <v>90</v>
      </c>
      <c r="P1165" t="n">
        <v>0.00876</v>
      </c>
      <c r="Q1165" t="n">
        <v>-100</v>
      </c>
      <c r="R1165" t="n">
        <v>0.0245</v>
      </c>
      <c r="S1165">
        <f>IMAGE("https://mitra.stanford.edu/kundaje/oak/projects/neuro-variants/variant_position/credible/roussos_2024/variant_figures/roussos_2024.adolescence.GLU/rs10149921_count_position.png",4,220,900)</f>
        <v/>
      </c>
      <c r="T1165">
        <f>IMAGE("https://mitra.stanford.edu/kundaje/oak/projects/neuro-variants/variant_position/credible/roussos_2024/variant_figures/roussos_2024.adolescence.GLU/rs10149921_profile_position.png",4,220,900)</f>
        <v/>
      </c>
    </row>
    <row r="1166">
      <c r="A1166" t="inlineStr">
        <is>
          <t>chr14</t>
        </is>
      </c>
      <c r="B1166" t="n">
        <v>29678684</v>
      </c>
      <c r="C1166" t="inlineStr">
        <is>
          <t>C</t>
        </is>
      </c>
      <c r="D1166" t="inlineStr">
        <is>
          <t>A</t>
        </is>
      </c>
      <c r="E1166" t="inlineStr">
        <is>
          <t>rs7158984</t>
        </is>
      </c>
      <c r="F1166" t="n">
        <v>-0.00020761154</v>
      </c>
      <c r="G1166" t="n">
        <v>0.7814341122779132</v>
      </c>
      <c r="H1166" t="n">
        <v>0.0219694097593421</v>
      </c>
      <c r="I1166" t="n">
        <v>0.0362923033153625</v>
      </c>
      <c r="J1166" t="n">
        <v>0.0121896678597709</v>
      </c>
      <c r="K1166" t="n">
        <v>0.8663442422963969</v>
      </c>
      <c r="L1166" t="b">
        <v>0</v>
      </c>
      <c r="M1166" t="b">
        <v>0</v>
      </c>
      <c r="N1166" t="inlineStr">
        <is>
          <t>ref</t>
        </is>
      </c>
      <c r="O1166" t="n">
        <v>-85</v>
      </c>
      <c r="P1166" t="n">
        <v>0.006927</v>
      </c>
      <c r="Q1166" t="n">
        <v>-90</v>
      </c>
      <c r="R1166" t="n">
        <v>0.07153</v>
      </c>
      <c r="S1166">
        <f>IMAGE("https://mitra.stanford.edu/kundaje/oak/projects/neuro-variants/variant_position/credible/roussos_2024/variant_figures/roussos_2024.adolescence.GLU/rs7158984_count_position.png",4,220,900)</f>
        <v/>
      </c>
      <c r="T1166">
        <f>IMAGE("https://mitra.stanford.edu/kundaje/oak/projects/neuro-variants/variant_position/credible/roussos_2024/variant_figures/roussos_2024.adolescence.GLU/rs7158984_profile_position.png",4,220,900)</f>
        <v/>
      </c>
    </row>
    <row r="1167">
      <c r="A1167" t="inlineStr">
        <is>
          <t>chr14</t>
        </is>
      </c>
      <c r="B1167" t="n">
        <v>29695765</v>
      </c>
      <c r="C1167" t="inlineStr">
        <is>
          <t>C</t>
        </is>
      </c>
      <c r="D1167" t="inlineStr">
        <is>
          <t>T</t>
        </is>
      </c>
      <c r="E1167" t="inlineStr">
        <is>
          <t>rs10150918</t>
        </is>
      </c>
      <c r="F1167" t="n">
        <v>-0.0200240286</v>
      </c>
      <c r="G1167" t="n">
        <v>0.3054614018628289</v>
      </c>
      <c r="H1167" t="n">
        <v>0.0146128256117022</v>
      </c>
      <c r="I1167" t="n">
        <v>0.1782253158313003</v>
      </c>
      <c r="J1167" t="n">
        <v>0.1451972194240235</v>
      </c>
      <c r="K1167" t="n">
        <v>0.4853132011551953</v>
      </c>
      <c r="L1167" t="b">
        <v>0</v>
      </c>
      <c r="M1167" t="b">
        <v>0</v>
      </c>
      <c r="N1167" t="inlineStr">
        <is>
          <t>ref</t>
        </is>
      </c>
      <c r="O1167" t="n">
        <v>80</v>
      </c>
      <c r="P1167" t="n">
        <v>0.01807</v>
      </c>
      <c r="Q1167" t="n">
        <v>-45</v>
      </c>
      <c r="R1167" t="n">
        <v>0.0945</v>
      </c>
      <c r="S1167">
        <f>IMAGE("https://mitra.stanford.edu/kundaje/oak/projects/neuro-variants/variant_position/credible/roussos_2024/variant_figures/roussos_2024.adolescence.GLU/rs10150918_count_position.png",4,220,900)</f>
        <v/>
      </c>
      <c r="T1167">
        <f>IMAGE("https://mitra.stanford.edu/kundaje/oak/projects/neuro-variants/variant_position/credible/roussos_2024/variant_figures/roussos_2024.adolescence.GLU/rs10150918_profile_position.png",4,220,900)</f>
        <v/>
      </c>
    </row>
    <row r="1168">
      <c r="A1168" t="inlineStr">
        <is>
          <t>chr14</t>
        </is>
      </c>
      <c r="B1168" t="n">
        <v>29700781</v>
      </c>
      <c r="C1168" t="inlineStr">
        <is>
          <t>T</t>
        </is>
      </c>
      <c r="D1168" t="inlineStr">
        <is>
          <t>G</t>
        </is>
      </c>
      <c r="E1168" t="inlineStr">
        <is>
          <t>rs959388</t>
        </is>
      </c>
      <c r="F1168" t="n">
        <v>0.0589618737999999</v>
      </c>
      <c r="G1168" t="n">
        <v>0.0361452209690657</v>
      </c>
      <c r="H1168" t="n">
        <v>0.0182569555027698</v>
      </c>
      <c r="I1168" t="n">
        <v>0.0784105843595289</v>
      </c>
      <c r="J1168" t="n">
        <v>0.4052568031949475</v>
      </c>
      <c r="K1168" t="n">
        <v>0.1632973111365874</v>
      </c>
      <c r="L1168" t="b">
        <v>0</v>
      </c>
      <c r="M1168" t="b">
        <v>0</v>
      </c>
      <c r="N1168" t="inlineStr">
        <is>
          <t>alt</t>
        </is>
      </c>
      <c r="O1168" t="n">
        <v>100</v>
      </c>
      <c r="P1168" t="n">
        <v>0.12463</v>
      </c>
      <c r="Q1168" t="n">
        <v>95</v>
      </c>
      <c r="R1168" t="n">
        <v>0.5757</v>
      </c>
      <c r="S1168">
        <f>IMAGE("https://mitra.stanford.edu/kundaje/oak/projects/neuro-variants/variant_position/credible/roussos_2024/variant_figures/roussos_2024.adolescence.GLU/rs959388_count_position.png",4,220,900)</f>
        <v/>
      </c>
      <c r="T1168">
        <f>IMAGE("https://mitra.stanford.edu/kundaje/oak/projects/neuro-variants/variant_position/credible/roussos_2024/variant_figures/roussos_2024.adolescence.GLU/rs959388_profile_position.png",4,220,900)</f>
        <v/>
      </c>
    </row>
    <row r="1169">
      <c r="A1169" t="inlineStr">
        <is>
          <t>chr14</t>
        </is>
      </c>
      <c r="B1169" t="n">
        <v>29705233</v>
      </c>
      <c r="C1169" t="inlineStr">
        <is>
          <t>T</t>
        </is>
      </c>
      <c r="D1169" t="inlineStr">
        <is>
          <t>C</t>
        </is>
      </c>
      <c r="E1169" t="inlineStr">
        <is>
          <t>rs7140901</t>
        </is>
      </c>
      <c r="F1169" t="n">
        <v>-0.00286002984</v>
      </c>
      <c r="G1169" t="n">
        <v>0.8517673948896817</v>
      </c>
      <c r="H1169" t="n">
        <v>0.017461210471853</v>
      </c>
      <c r="I1169" t="n">
        <v>0.1017577779689942</v>
      </c>
      <c r="J1169" t="n">
        <v>0.0483357266862421</v>
      </c>
      <c r="K1169" t="n">
        <v>0.7074072079900376</v>
      </c>
      <c r="L1169" t="b">
        <v>0</v>
      </c>
      <c r="M1169" t="b">
        <v>0</v>
      </c>
      <c r="N1169" t="inlineStr">
        <is>
          <t>ref</t>
        </is>
      </c>
      <c r="O1169" t="n">
        <v>-85</v>
      </c>
      <c r="P1169" t="n">
        <v>0.005516</v>
      </c>
      <c r="Q1169" t="n">
        <v>-100</v>
      </c>
      <c r="R1169" t="n">
        <v>0.06396</v>
      </c>
      <c r="S1169">
        <f>IMAGE("https://mitra.stanford.edu/kundaje/oak/projects/neuro-variants/variant_position/credible/roussos_2024/variant_figures/roussos_2024.adolescence.GLU/rs7140901_count_position.png",4,220,900)</f>
        <v/>
      </c>
      <c r="T1169">
        <f>IMAGE("https://mitra.stanford.edu/kundaje/oak/projects/neuro-variants/variant_position/credible/roussos_2024/variant_figures/roussos_2024.adolescence.GLU/rs7140901_profile_position.png",4,220,900)</f>
        <v/>
      </c>
    </row>
    <row r="1170">
      <c r="A1170" t="inlineStr">
        <is>
          <t>chr14</t>
        </is>
      </c>
      <c r="B1170" t="n">
        <v>32737301</v>
      </c>
      <c r="C1170" t="inlineStr">
        <is>
          <t>T</t>
        </is>
      </c>
      <c r="D1170" t="inlineStr">
        <is>
          <t>C</t>
        </is>
      </c>
      <c r="E1170" t="inlineStr">
        <is>
          <t>rs17440692</t>
        </is>
      </c>
      <c r="F1170" t="n">
        <v>0.00364310417</v>
      </c>
      <c r="G1170" t="n">
        <v>0.7504022267897871</v>
      </c>
      <c r="H1170" t="n">
        <v>0.0211036735624952</v>
      </c>
      <c r="I1170" t="n">
        <v>0.0439300612357035</v>
      </c>
      <c r="J1170" t="n">
        <v>0.042800294346686</v>
      </c>
      <c r="K1170" t="n">
        <v>0.7257464776847303</v>
      </c>
      <c r="L1170" t="b">
        <v>0</v>
      </c>
      <c r="M1170" t="b">
        <v>0</v>
      </c>
      <c r="N1170" t="inlineStr">
        <is>
          <t>alt</t>
        </is>
      </c>
      <c r="O1170" t="n">
        <v>85</v>
      </c>
      <c r="P1170" t="n">
        <v>0.002472</v>
      </c>
      <c r="Q1170" t="n">
        <v>100</v>
      </c>
      <c r="R1170" t="n">
        <v>0.02844</v>
      </c>
      <c r="S1170">
        <f>IMAGE("https://mitra.stanford.edu/kundaje/oak/projects/neuro-variants/variant_position/credible/roussos_2024/variant_figures/roussos_2024.adolescence.GLU/rs17440692_count_position.png",4,220,900)</f>
        <v/>
      </c>
      <c r="T1170">
        <f>IMAGE("https://mitra.stanford.edu/kundaje/oak/projects/neuro-variants/variant_position/credible/roussos_2024/variant_figures/roussos_2024.adolescence.GLU/rs17440692_profile_position.png",4,220,900)</f>
        <v/>
      </c>
    </row>
    <row r="1171">
      <c r="A1171" t="inlineStr">
        <is>
          <t>chr14</t>
        </is>
      </c>
      <c r="B1171" t="n">
        <v>32741769</v>
      </c>
      <c r="C1171" t="inlineStr">
        <is>
          <t>T</t>
        </is>
      </c>
      <c r="D1171" t="inlineStr">
        <is>
          <t>G</t>
        </is>
      </c>
      <c r="E1171" t="inlineStr">
        <is>
          <t>rs73266980</t>
        </is>
      </c>
      <c r="F1171" t="n">
        <v>0.00542970836</v>
      </c>
      <c r="G1171" t="n">
        <v>0.6538961069727929</v>
      </c>
      <c r="H1171" t="n">
        <v>0.0205512513750536</v>
      </c>
      <c r="I1171" t="n">
        <v>0.0493469200903999</v>
      </c>
      <c r="J1171" t="n">
        <v>0.0055725828921704</v>
      </c>
      <c r="K1171" t="n">
        <v>0.913734000386951</v>
      </c>
      <c r="L1171" t="b">
        <v>0</v>
      </c>
      <c r="M1171" t="b">
        <v>0</v>
      </c>
      <c r="N1171" t="inlineStr">
        <is>
          <t>alt</t>
        </is>
      </c>
      <c r="O1171" t="n">
        <v>65</v>
      </c>
      <c r="P1171" t="n">
        <v>0.003223</v>
      </c>
      <c r="Q1171" t="n">
        <v>40</v>
      </c>
      <c r="R1171" t="n">
        <v>0.03223</v>
      </c>
      <c r="S1171">
        <f>IMAGE("https://mitra.stanford.edu/kundaje/oak/projects/neuro-variants/variant_position/credible/roussos_2024/variant_figures/roussos_2024.adolescence.GLU/rs73266980_count_position.png",4,220,900)</f>
        <v/>
      </c>
      <c r="T1171">
        <f>IMAGE("https://mitra.stanford.edu/kundaje/oak/projects/neuro-variants/variant_position/credible/roussos_2024/variant_figures/roussos_2024.adolescence.GLU/rs73266980_profile_position.png",4,220,900)</f>
        <v/>
      </c>
    </row>
    <row r="1172">
      <c r="A1172" t="inlineStr">
        <is>
          <t>chr14</t>
        </is>
      </c>
      <c r="B1172" t="n">
        <v>32833853</v>
      </c>
      <c r="C1172" t="inlineStr">
        <is>
          <t>A</t>
        </is>
      </c>
      <c r="D1172" t="inlineStr">
        <is>
          <t>T</t>
        </is>
      </c>
      <c r="E1172" t="inlineStr">
        <is>
          <t>rs12882859</t>
        </is>
      </c>
      <c r="F1172" t="n">
        <v>-0.0126239438</v>
      </c>
      <c r="G1172" t="n">
        <v>0.4699862080321174</v>
      </c>
      <c r="H1172" t="n">
        <v>0.0273806128985822</v>
      </c>
      <c r="I1172" t="n">
        <v>0.0130694100117793</v>
      </c>
      <c r="J1172" t="n">
        <v>0.0047138335798129</v>
      </c>
      <c r="K1172" t="n">
        <v>0.9230677590907812</v>
      </c>
      <c r="L1172" t="b">
        <v>0</v>
      </c>
      <c r="M1172" t="b">
        <v>0</v>
      </c>
      <c r="N1172" t="inlineStr">
        <is>
          <t>ref</t>
        </is>
      </c>
      <c r="O1172" t="n">
        <v>-15</v>
      </c>
      <c r="P1172" t="n">
        <v>0.001373</v>
      </c>
      <c r="Q1172" t="n">
        <v>65</v>
      </c>
      <c r="R1172" t="n">
        <v>0.02542</v>
      </c>
      <c r="S1172">
        <f>IMAGE("https://mitra.stanford.edu/kundaje/oak/projects/neuro-variants/variant_position/credible/roussos_2024/variant_figures/roussos_2024.adolescence.GLU/rs12882859_count_position.png",4,220,900)</f>
        <v/>
      </c>
      <c r="T1172">
        <f>IMAGE("https://mitra.stanford.edu/kundaje/oak/projects/neuro-variants/variant_position/credible/roussos_2024/variant_figures/roussos_2024.adolescence.GLU/rs12882859_profile_position.png",4,220,900)</f>
        <v/>
      </c>
    </row>
    <row r="1173">
      <c r="A1173" t="inlineStr">
        <is>
          <t>chr14</t>
        </is>
      </c>
      <c r="B1173" t="n">
        <v>32836003</v>
      </c>
      <c r="C1173" t="inlineStr">
        <is>
          <t>C</t>
        </is>
      </c>
      <c r="D1173" t="inlineStr">
        <is>
          <t>G</t>
        </is>
      </c>
      <c r="E1173" t="inlineStr">
        <is>
          <t>rs12894833</t>
        </is>
      </c>
      <c r="F1173" t="n">
        <v>0.08593293859999999</v>
      </c>
      <c r="G1173" t="n">
        <v>0.0154715025580771</v>
      </c>
      <c r="H1173" t="n">
        <v>0.023462458168753</v>
      </c>
      <c r="I1173" t="n">
        <v>0.0305999396417675</v>
      </c>
      <c r="J1173" t="n">
        <v>0.2585749905337534</v>
      </c>
      <c r="K1173" t="n">
        <v>0.3234053562647791</v>
      </c>
      <c r="L1173" t="b">
        <v>1</v>
      </c>
      <c r="M1173" t="b">
        <v>0</v>
      </c>
      <c r="N1173" t="inlineStr">
        <is>
          <t>alt</t>
        </is>
      </c>
      <c r="O1173" t="n">
        <v>90</v>
      </c>
      <c r="P1173" t="n">
        <v>0.003029</v>
      </c>
      <c r="Q1173" t="n">
        <v>95</v>
      </c>
      <c r="R1173" t="n">
        <v>0.09669999999999999</v>
      </c>
      <c r="S1173">
        <f>IMAGE("https://mitra.stanford.edu/kundaje/oak/projects/neuro-variants/variant_position/credible/roussos_2024/variant_figures/roussos_2024.adolescence.GLU/rs12894833_count_position.png",4,220,900)</f>
        <v/>
      </c>
      <c r="T1173">
        <f>IMAGE("https://mitra.stanford.edu/kundaje/oak/projects/neuro-variants/variant_position/credible/roussos_2024/variant_figures/roussos_2024.adolescence.GLU/rs12894833_profile_position.png",4,220,900)</f>
        <v/>
      </c>
    </row>
    <row r="1174">
      <c r="A1174" t="inlineStr">
        <is>
          <t>chr14</t>
        </is>
      </c>
      <c r="B1174" t="n">
        <v>32836293</v>
      </c>
      <c r="C1174" t="inlineStr">
        <is>
          <t>T</t>
        </is>
      </c>
      <c r="D1174" t="inlineStr">
        <is>
          <t>G</t>
        </is>
      </c>
      <c r="E1174" t="inlineStr">
        <is>
          <t>rs12896446</t>
        </is>
      </c>
      <c r="F1174" t="n">
        <v>-0.00874009332</v>
      </c>
      <c r="G1174" t="n">
        <v>0.5793460077081544</v>
      </c>
      <c r="H1174" t="n">
        <v>0.0128121222524744</v>
      </c>
      <c r="I1174" t="n">
        <v>0.2808367197725454</v>
      </c>
      <c r="J1174" t="n">
        <v>0.2117567210350715</v>
      </c>
      <c r="K1174" t="n">
        <v>0.3891929470032443</v>
      </c>
      <c r="L1174" t="b">
        <v>0</v>
      </c>
      <c r="M1174" t="b">
        <v>0</v>
      </c>
      <c r="N1174" t="inlineStr">
        <is>
          <t>ref</t>
        </is>
      </c>
      <c r="O1174" t="n">
        <v>-90</v>
      </c>
      <c r="P1174" t="n">
        <v>0.01591</v>
      </c>
      <c r="Q1174" t="n">
        <v>-70</v>
      </c>
      <c r="R1174" t="n">
        <v>0.07306</v>
      </c>
      <c r="S1174">
        <f>IMAGE("https://mitra.stanford.edu/kundaje/oak/projects/neuro-variants/variant_position/credible/roussos_2024/variant_figures/roussos_2024.adolescence.GLU/rs12896446_count_position.png",4,220,900)</f>
        <v/>
      </c>
      <c r="T1174">
        <f>IMAGE("https://mitra.stanford.edu/kundaje/oak/projects/neuro-variants/variant_position/credible/roussos_2024/variant_figures/roussos_2024.adolescence.GLU/rs12896446_profile_position.png",4,220,900)</f>
        <v/>
      </c>
    </row>
    <row r="1175">
      <c r="A1175" t="inlineStr">
        <is>
          <t>chr14</t>
        </is>
      </c>
      <c r="B1175" t="n">
        <v>32839824</v>
      </c>
      <c r="C1175" t="inlineStr">
        <is>
          <t>T</t>
        </is>
      </c>
      <c r="D1175" t="inlineStr">
        <is>
          <t>G</t>
        </is>
      </c>
      <c r="E1175" t="inlineStr">
        <is>
          <t>rs7140259</t>
        </is>
      </c>
      <c r="F1175" t="n">
        <v>-0.0013879618599999</v>
      </c>
      <c r="G1175" t="n">
        <v>0.7657235103816493</v>
      </c>
      <c r="H1175" t="n">
        <v>0.0215352851791593</v>
      </c>
      <c r="I1175" t="n">
        <v>0.0435560350431417</v>
      </c>
      <c r="J1175" t="n">
        <v>0.040394081631195</v>
      </c>
      <c r="K1175" t="n">
        <v>0.7313457129682175</v>
      </c>
      <c r="L1175" t="b">
        <v>0</v>
      </c>
      <c r="M1175" t="b">
        <v>0</v>
      </c>
      <c r="N1175" t="inlineStr">
        <is>
          <t>ref</t>
        </is>
      </c>
      <c r="O1175" t="n">
        <v>50</v>
      </c>
      <c r="P1175" t="n">
        <v>0.003723</v>
      </c>
      <c r="Q1175" t="n">
        <v>100</v>
      </c>
      <c r="R1175" t="n">
        <v>0.0525</v>
      </c>
      <c r="S1175">
        <f>IMAGE("https://mitra.stanford.edu/kundaje/oak/projects/neuro-variants/variant_position/credible/roussos_2024/variant_figures/roussos_2024.adolescence.GLU/rs7140259_count_position.png",4,220,900)</f>
        <v/>
      </c>
      <c r="T1175">
        <f>IMAGE("https://mitra.stanford.edu/kundaje/oak/projects/neuro-variants/variant_position/credible/roussos_2024/variant_figures/roussos_2024.adolescence.GLU/rs7140259_profile_position.png",4,220,900)</f>
        <v/>
      </c>
    </row>
    <row r="1176">
      <c r="A1176" t="inlineStr">
        <is>
          <t>chr14</t>
        </is>
      </c>
      <c r="B1176" t="n">
        <v>32840087</v>
      </c>
      <c r="C1176" t="inlineStr">
        <is>
          <t>C</t>
        </is>
      </c>
      <c r="D1176" t="inlineStr">
        <is>
          <t>A</t>
        </is>
      </c>
      <c r="E1176" t="inlineStr">
        <is>
          <t>rs7161135</t>
        </is>
      </c>
      <c r="F1176" t="n">
        <v>-0.0054053494</v>
      </c>
      <c r="G1176" t="n">
        <v>0.6589199255960368</v>
      </c>
      <c r="H1176" t="n">
        <v>0.0300066827022184</v>
      </c>
      <c r="I1176" t="n">
        <v>0.0091693470012456</v>
      </c>
      <c r="J1176" t="n">
        <v>0.0352372991548248</v>
      </c>
      <c r="K1176" t="n">
        <v>0.7523215502658513</v>
      </c>
      <c r="L1176" t="b">
        <v>1</v>
      </c>
      <c r="M1176" t="b">
        <v>0</v>
      </c>
      <c r="N1176" t="inlineStr">
        <is>
          <t>ref</t>
        </is>
      </c>
      <c r="O1176" t="n">
        <v>-100</v>
      </c>
      <c r="P1176" t="n">
        <v>0.01496</v>
      </c>
      <c r="Q1176" t="n">
        <v>-55</v>
      </c>
      <c r="R1176" t="n">
        <v>0.05127</v>
      </c>
      <c r="S1176">
        <f>IMAGE("https://mitra.stanford.edu/kundaje/oak/projects/neuro-variants/variant_position/credible/roussos_2024/variant_figures/roussos_2024.adolescence.GLU/rs7161135_count_position.png",4,220,900)</f>
        <v/>
      </c>
      <c r="T1176">
        <f>IMAGE("https://mitra.stanford.edu/kundaje/oak/projects/neuro-variants/variant_position/credible/roussos_2024/variant_figures/roussos_2024.adolescence.GLU/rs7161135_profile_position.png",4,220,900)</f>
        <v/>
      </c>
    </row>
    <row r="1177">
      <c r="A1177" t="inlineStr">
        <is>
          <t>chr14</t>
        </is>
      </c>
      <c r="B1177" t="n">
        <v>32870195</v>
      </c>
      <c r="C1177" t="inlineStr">
        <is>
          <t>T</t>
        </is>
      </c>
      <c r="D1177" t="inlineStr">
        <is>
          <t>C</t>
        </is>
      </c>
      <c r="E1177" t="inlineStr">
        <is>
          <t>rs12434588</t>
        </is>
      </c>
      <c r="F1177" t="n">
        <v>-0.0242430155999999</v>
      </c>
      <c r="G1177" t="n">
        <v>0.2407246410897104</v>
      </c>
      <c r="H1177" t="n">
        <v>0.0233388733471822</v>
      </c>
      <c r="I1177" t="n">
        <v>0.0329091876378711</v>
      </c>
      <c r="J1177" t="n">
        <v>0.0130584192439862</v>
      </c>
      <c r="K1177" t="n">
        <v>0.8627346187507031</v>
      </c>
      <c r="L1177" t="b">
        <v>0</v>
      </c>
      <c r="M1177" t="b">
        <v>0</v>
      </c>
      <c r="N1177" t="inlineStr">
        <is>
          <t>ref</t>
        </is>
      </c>
      <c r="O1177" t="n">
        <v>90</v>
      </c>
      <c r="P1177" t="n">
        <v>0.008606000000000001</v>
      </c>
      <c r="Q1177" t="n">
        <v>15</v>
      </c>
      <c r="R1177" t="n">
        <v>0.0117</v>
      </c>
      <c r="S1177">
        <f>IMAGE("https://mitra.stanford.edu/kundaje/oak/projects/neuro-variants/variant_position/credible/roussos_2024/variant_figures/roussos_2024.adolescence.GLU/rs12434588_count_position.png",4,220,900)</f>
        <v/>
      </c>
      <c r="T1177">
        <f>IMAGE("https://mitra.stanford.edu/kundaje/oak/projects/neuro-variants/variant_position/credible/roussos_2024/variant_figures/roussos_2024.adolescence.GLU/rs12434588_profile_position.png",4,220,900)</f>
        <v/>
      </c>
    </row>
    <row r="1178">
      <c r="A1178" t="inlineStr">
        <is>
          <t>chr14</t>
        </is>
      </c>
      <c r="B1178" t="n">
        <v>33186914</v>
      </c>
      <c r="C1178" t="inlineStr">
        <is>
          <t>A</t>
        </is>
      </c>
      <c r="D1178" t="inlineStr">
        <is>
          <t>G</t>
        </is>
      </c>
      <c r="E1178" t="inlineStr">
        <is>
          <t>rs12887688</t>
        </is>
      </c>
      <c r="F1178" t="n">
        <v>-0.01520470752</v>
      </c>
      <c r="G1178" t="n">
        <v>0.216788975389774</v>
      </c>
      <c r="H1178" t="n">
        <v>0.0156667994784873</v>
      </c>
      <c r="I1178" t="n">
        <v>0.1368169444839681</v>
      </c>
      <c r="J1178" t="n">
        <v>0.2442991762579391</v>
      </c>
      <c r="K1178" t="n">
        <v>0.3325980924167786</v>
      </c>
      <c r="L1178" t="b">
        <v>0</v>
      </c>
      <c r="M1178" t="b">
        <v>0</v>
      </c>
      <c r="N1178" t="inlineStr">
        <is>
          <t>ref</t>
        </is>
      </c>
      <c r="O1178" t="n">
        <v>-70</v>
      </c>
      <c r="P1178" t="n">
        <v>0.010376</v>
      </c>
      <c r="Q1178" t="n">
        <v>-65</v>
      </c>
      <c r="R1178" t="n">
        <v>0.01294</v>
      </c>
      <c r="S1178">
        <f>IMAGE("https://mitra.stanford.edu/kundaje/oak/projects/neuro-variants/variant_position/credible/roussos_2024/variant_figures/roussos_2024.adolescence.GLU/rs12887688_count_position.png",4,220,900)</f>
        <v/>
      </c>
      <c r="T1178">
        <f>IMAGE("https://mitra.stanford.edu/kundaje/oak/projects/neuro-variants/variant_position/credible/roussos_2024/variant_figures/roussos_2024.adolescence.GLU/rs12887688_profile_position.png",4,220,900)</f>
        <v/>
      </c>
    </row>
    <row r="1179">
      <c r="A1179" t="inlineStr">
        <is>
          <t>chr14</t>
        </is>
      </c>
      <c r="B1179" t="n">
        <v>35006989</v>
      </c>
      <c r="C1179" t="inlineStr">
        <is>
          <t>A</t>
        </is>
      </c>
      <c r="D1179" t="inlineStr">
        <is>
          <t>G</t>
        </is>
      </c>
      <c r="E1179" t="inlineStr">
        <is>
          <t>rs10133628</t>
        </is>
      </c>
      <c r="F1179" t="n">
        <v>-0.024077496</v>
      </c>
      <c r="G1179" t="n">
        <v>0.2435304978606837</v>
      </c>
      <c r="H1179" t="n">
        <v>0.0174765617408352</v>
      </c>
      <c r="I1179" t="n">
        <v>0.09552238915423129</v>
      </c>
      <c r="J1179" t="n">
        <v>0.0016846346743253</v>
      </c>
      <c r="K1179" t="n">
        <v>0.9579494185590408</v>
      </c>
      <c r="L1179" t="b">
        <v>0</v>
      </c>
      <c r="M1179" t="b">
        <v>0</v>
      </c>
      <c r="N1179" t="inlineStr">
        <is>
          <t>ref</t>
        </is>
      </c>
      <c r="O1179" t="n">
        <v>10</v>
      </c>
      <c r="P1179" t="n">
        <v>6.104e-05</v>
      </c>
      <c r="Q1179" t="n">
        <v>50</v>
      </c>
      <c r="R1179" t="n">
        <v>0.03534</v>
      </c>
      <c r="S1179">
        <f>IMAGE("https://mitra.stanford.edu/kundaje/oak/projects/neuro-variants/variant_position/credible/roussos_2024/variant_figures/roussos_2024.adolescence.GLU/rs10133628_count_position.png",4,220,900)</f>
        <v/>
      </c>
      <c r="T1179">
        <f>IMAGE("https://mitra.stanford.edu/kundaje/oak/projects/neuro-variants/variant_position/credible/roussos_2024/variant_figures/roussos_2024.adolescence.GLU/rs10133628_profile_position.png",4,220,900)</f>
        <v/>
      </c>
    </row>
    <row r="1180">
      <c r="A1180" t="inlineStr">
        <is>
          <t>chr14</t>
        </is>
      </c>
      <c r="B1180" t="n">
        <v>35007770</v>
      </c>
      <c r="C1180" t="inlineStr">
        <is>
          <t>T</t>
        </is>
      </c>
      <c r="D1180" t="inlineStr">
        <is>
          <t>C</t>
        </is>
      </c>
      <c r="E1180" t="inlineStr">
        <is>
          <t>rs72474105</t>
        </is>
      </c>
      <c r="F1180" t="n">
        <v>0.0010971801799999</v>
      </c>
      <c r="G1180" t="n">
        <v>0.8034809996501506</v>
      </c>
      <c r="H1180" t="n">
        <v>0.0134731702967003</v>
      </c>
      <c r="I1180" t="n">
        <v>0.2308108825490836</v>
      </c>
      <c r="J1180" t="n">
        <v>0.0012659765237084</v>
      </c>
      <c r="K1180" t="n">
        <v>0.967365765231473</v>
      </c>
      <c r="L1180" t="b">
        <v>0</v>
      </c>
      <c r="M1180" t="b">
        <v>0</v>
      </c>
      <c r="N1180" t="inlineStr">
        <is>
          <t>alt</t>
        </is>
      </c>
      <c r="O1180" t="n">
        <v>-100</v>
      </c>
      <c r="P1180" t="n">
        <v>0.0139</v>
      </c>
      <c r="Q1180" t="n">
        <v>100</v>
      </c>
      <c r="R1180" t="n">
        <v>0.08740000000000001</v>
      </c>
      <c r="S1180">
        <f>IMAGE("https://mitra.stanford.edu/kundaje/oak/projects/neuro-variants/variant_position/credible/roussos_2024/variant_figures/roussos_2024.adolescence.GLU/rs72474105_count_position.png",4,220,900)</f>
        <v/>
      </c>
      <c r="T1180">
        <f>IMAGE("https://mitra.stanford.edu/kundaje/oak/projects/neuro-variants/variant_position/credible/roussos_2024/variant_figures/roussos_2024.adolescence.GLU/rs72474105_profile_position.png",4,220,900)</f>
        <v/>
      </c>
    </row>
    <row r="1181">
      <c r="A1181" t="inlineStr">
        <is>
          <t>chr14</t>
        </is>
      </c>
      <c r="B1181" t="n">
        <v>51182363</v>
      </c>
      <c r="C1181" t="inlineStr">
        <is>
          <t>G</t>
        </is>
      </c>
      <c r="D1181" t="inlineStr">
        <is>
          <t>A</t>
        </is>
      </c>
      <c r="E1181" t="inlineStr">
        <is>
          <t>rs61985092</t>
        </is>
      </c>
      <c r="F1181" t="n">
        <v>-0.068899922</v>
      </c>
      <c r="G1181" t="n">
        <v>0.0274343996470117</v>
      </c>
      <c r="H1181" t="n">
        <v>0.0160859458274618</v>
      </c>
      <c r="I1181" t="n">
        <v>0.1331980698093594</v>
      </c>
      <c r="J1181" t="n">
        <v>0.1930885683463002</v>
      </c>
      <c r="K1181" t="n">
        <v>0.4063059845208906</v>
      </c>
      <c r="L1181" t="b">
        <v>0</v>
      </c>
      <c r="M1181" t="b">
        <v>0</v>
      </c>
      <c r="N1181" t="inlineStr">
        <is>
          <t>ref</t>
        </is>
      </c>
      <c r="O1181" t="n">
        <v>-45</v>
      </c>
      <c r="P1181" t="n">
        <v>0.009860000000000001</v>
      </c>
      <c r="Q1181" t="n">
        <v>-45</v>
      </c>
      <c r="R1181" t="n">
        <v>0.07920000000000001</v>
      </c>
      <c r="S1181">
        <f>IMAGE("https://mitra.stanford.edu/kundaje/oak/projects/neuro-variants/variant_position/credible/roussos_2024/variant_figures/roussos_2024.adolescence.GLU/rs61985092_count_position.png",4,220,900)</f>
        <v/>
      </c>
      <c r="T1181">
        <f>IMAGE("https://mitra.stanford.edu/kundaje/oak/projects/neuro-variants/variant_position/credible/roussos_2024/variant_figures/roussos_2024.adolescence.GLU/rs61985092_profile_position.png",4,220,900)</f>
        <v/>
      </c>
    </row>
    <row r="1182">
      <c r="A1182" t="inlineStr">
        <is>
          <t>chr14</t>
        </is>
      </c>
      <c r="B1182" t="n">
        <v>51241212</v>
      </c>
      <c r="C1182" t="inlineStr">
        <is>
          <t>T</t>
        </is>
      </c>
      <c r="D1182" t="inlineStr">
        <is>
          <t>C</t>
        </is>
      </c>
      <c r="E1182" t="inlineStr">
        <is>
          <t>rs75682793</t>
        </is>
      </c>
      <c r="F1182" t="n">
        <v>0.0583834015999999</v>
      </c>
      <c r="G1182" t="n">
        <v>0.0399689749571271</v>
      </c>
      <c r="H1182" t="n">
        <v>0.01022991498118</v>
      </c>
      <c r="I1182" t="n">
        <v>0.4900175256514278</v>
      </c>
      <c r="J1182" t="n">
        <v>0.31904037264862</v>
      </c>
      <c r="K1182" t="n">
        <v>0.2503084963925591</v>
      </c>
      <c r="L1182" t="b">
        <v>0</v>
      </c>
      <c r="M1182" t="b">
        <v>0</v>
      </c>
      <c r="N1182" t="inlineStr">
        <is>
          <t>alt</t>
        </is>
      </c>
      <c r="O1182" t="n">
        <v>95</v>
      </c>
      <c r="P1182" t="n">
        <v>0.01768</v>
      </c>
      <c r="Q1182" t="n">
        <v>85</v>
      </c>
      <c r="R1182" t="n">
        <v>0.0537</v>
      </c>
      <c r="S1182">
        <f>IMAGE("https://mitra.stanford.edu/kundaje/oak/projects/neuro-variants/variant_position/credible/roussos_2024/variant_figures/roussos_2024.adolescence.GLU/rs75682793_count_position.png",4,220,900)</f>
        <v/>
      </c>
      <c r="T1182">
        <f>IMAGE("https://mitra.stanford.edu/kundaje/oak/projects/neuro-variants/variant_position/credible/roussos_2024/variant_figures/roussos_2024.adolescence.GLU/rs75682793_profile_position.png",4,220,900)</f>
        <v/>
      </c>
    </row>
    <row r="1183">
      <c r="A1183" t="inlineStr">
        <is>
          <t>chr14</t>
        </is>
      </c>
      <c r="B1183" t="n">
        <v>59450826</v>
      </c>
      <c r="C1183" t="inlineStr">
        <is>
          <t>T</t>
        </is>
      </c>
      <c r="D1183" t="inlineStr">
        <is>
          <t>G</t>
        </is>
      </c>
      <c r="E1183" t="inlineStr">
        <is>
          <t>rs112261101</t>
        </is>
      </c>
      <c r="F1183" t="n">
        <v>0.032650097</v>
      </c>
      <c r="G1183" t="n">
        <v>0.143945242176528</v>
      </c>
      <c r="H1183" t="n">
        <v>0.0113413673348348</v>
      </c>
      <c r="I1183" t="n">
        <v>0.403453884240233</v>
      </c>
      <c r="J1183" t="n">
        <v>0.0582820727150623</v>
      </c>
      <c r="K1183" t="n">
        <v>0.6703424961540331</v>
      </c>
      <c r="L1183" t="b">
        <v>0</v>
      </c>
      <c r="M1183" t="b">
        <v>0</v>
      </c>
      <c r="N1183" t="inlineStr">
        <is>
          <t>alt</t>
        </is>
      </c>
      <c r="O1183" t="n">
        <v>-100</v>
      </c>
      <c r="P1183" t="n">
        <v>0.01746</v>
      </c>
      <c r="Q1183" t="n">
        <v>30</v>
      </c>
      <c r="R1183" t="n">
        <v>0.00708</v>
      </c>
      <c r="S1183">
        <f>IMAGE("https://mitra.stanford.edu/kundaje/oak/projects/neuro-variants/variant_position/credible/roussos_2024/variant_figures/roussos_2024.adolescence.GLU/rs112261101_count_position.png",4,220,900)</f>
        <v/>
      </c>
      <c r="T1183">
        <f>IMAGE("https://mitra.stanford.edu/kundaje/oak/projects/neuro-variants/variant_position/credible/roussos_2024/variant_figures/roussos_2024.adolescence.GLU/rs112261101_profile_position.png",4,220,900)</f>
        <v/>
      </c>
    </row>
    <row r="1184">
      <c r="A1184" t="inlineStr">
        <is>
          <t>chr14</t>
        </is>
      </c>
      <c r="B1184" t="n">
        <v>59452013</v>
      </c>
      <c r="C1184" t="inlineStr">
        <is>
          <t>C</t>
        </is>
      </c>
      <c r="D1184" t="inlineStr">
        <is>
          <t>T</t>
        </is>
      </c>
      <c r="E1184" t="inlineStr">
        <is>
          <t>rs113869004</t>
        </is>
      </c>
      <c r="F1184" t="n">
        <v>-0.0173365654</v>
      </c>
      <c r="G1184" t="n">
        <v>0.355970229956738</v>
      </c>
      <c r="H1184" t="n">
        <v>0.0092786351943796</v>
      </c>
      <c r="I1184" t="n">
        <v>0.6067813410631135</v>
      </c>
      <c r="J1184" t="n">
        <v>0.0895314029334647</v>
      </c>
      <c r="K1184" t="n">
        <v>0.587554819372623</v>
      </c>
      <c r="L1184" t="b">
        <v>0</v>
      </c>
      <c r="M1184" t="b">
        <v>0</v>
      </c>
      <c r="N1184" t="inlineStr">
        <is>
          <t>ref</t>
        </is>
      </c>
      <c r="O1184" t="n">
        <v>-30</v>
      </c>
      <c r="P1184" t="n">
        <v>0.00753</v>
      </c>
      <c r="Q1184" t="n">
        <v>100</v>
      </c>
      <c r="R1184" t="n">
        <v>0.1149</v>
      </c>
      <c r="S1184">
        <f>IMAGE("https://mitra.stanford.edu/kundaje/oak/projects/neuro-variants/variant_position/credible/roussos_2024/variant_figures/roussos_2024.adolescence.GLU/rs113869004_count_position.png",4,220,900)</f>
        <v/>
      </c>
      <c r="T1184">
        <f>IMAGE("https://mitra.stanford.edu/kundaje/oak/projects/neuro-variants/variant_position/credible/roussos_2024/variant_figures/roussos_2024.adolescence.GLU/rs113869004_profile_position.png",4,220,900)</f>
        <v/>
      </c>
    </row>
    <row r="1185">
      <c r="A1185" t="inlineStr">
        <is>
          <t>chr14</t>
        </is>
      </c>
      <c r="B1185" t="n">
        <v>59453473</v>
      </c>
      <c r="C1185" t="inlineStr">
        <is>
          <t>T</t>
        </is>
      </c>
      <c r="D1185" t="inlineStr">
        <is>
          <t>C</t>
        </is>
      </c>
      <c r="E1185" t="inlineStr">
        <is>
          <t>rs111476301</t>
        </is>
      </c>
      <c r="F1185" t="n">
        <v>-0.0111603335999999</v>
      </c>
      <c r="G1185" t="n">
        <v>0.4476463396984101</v>
      </c>
      <c r="H1185" t="n">
        <v>0.0131079095022749</v>
      </c>
      <c r="I1185" t="n">
        <v>0.2800255436391951</v>
      </c>
      <c r="J1185" t="n">
        <v>0.0721592329839752</v>
      </c>
      <c r="K1185" t="n">
        <v>0.6378884753184265</v>
      </c>
      <c r="L1185" t="b">
        <v>0</v>
      </c>
      <c r="M1185" t="b">
        <v>0</v>
      </c>
      <c r="N1185" t="inlineStr">
        <is>
          <t>ref</t>
        </is>
      </c>
      <c r="O1185" t="n">
        <v>-45</v>
      </c>
      <c r="P1185" t="n">
        <v>0.0003357</v>
      </c>
      <c r="Q1185" t="n">
        <v>45</v>
      </c>
      <c r="R1185" t="n">
        <v>0.03604</v>
      </c>
      <c r="S1185">
        <f>IMAGE("https://mitra.stanford.edu/kundaje/oak/projects/neuro-variants/variant_position/credible/roussos_2024/variant_figures/roussos_2024.adolescence.GLU/rs111476301_count_position.png",4,220,900)</f>
        <v/>
      </c>
      <c r="T1185">
        <f>IMAGE("https://mitra.stanford.edu/kundaje/oak/projects/neuro-variants/variant_position/credible/roussos_2024/variant_figures/roussos_2024.adolescence.GLU/rs111476301_profile_position.png",4,220,900)</f>
        <v/>
      </c>
    </row>
    <row r="1186">
      <c r="A1186" t="inlineStr">
        <is>
          <t>chr14</t>
        </is>
      </c>
      <c r="B1186" t="n">
        <v>59473086</v>
      </c>
      <c r="C1186" t="inlineStr">
        <is>
          <t>G</t>
        </is>
      </c>
      <c r="D1186" t="inlineStr">
        <is>
          <t>A</t>
        </is>
      </c>
      <c r="E1186" t="inlineStr">
        <is>
          <t>rs1046701</t>
        </is>
      </c>
      <c r="F1186" t="n">
        <v>-0.06316378959999989</v>
      </c>
      <c r="G1186" t="n">
        <v>0.0352495997848838</v>
      </c>
      <c r="H1186" t="n">
        <v>0.0158507188896111</v>
      </c>
      <c r="I1186" t="n">
        <v>0.1362152585005298</v>
      </c>
      <c r="J1186" t="n">
        <v>0.0309707010737938</v>
      </c>
      <c r="K1186" t="n">
        <v>0.7720393711052416</v>
      </c>
      <c r="L1186" t="b">
        <v>0</v>
      </c>
      <c r="M1186" t="b">
        <v>0</v>
      </c>
      <c r="N1186" t="inlineStr">
        <is>
          <t>ref</t>
        </is>
      </c>
      <c r="O1186" t="n">
        <v>30</v>
      </c>
      <c r="P1186" t="n">
        <v>0.004436</v>
      </c>
      <c r="Q1186" t="n">
        <v>10</v>
      </c>
      <c r="R1186" t="n">
        <v>0.00641</v>
      </c>
      <c r="S1186">
        <f>IMAGE("https://mitra.stanford.edu/kundaje/oak/projects/neuro-variants/variant_position/credible/roussos_2024/variant_figures/roussos_2024.adolescence.GLU/rs1046701_count_position.png",4,220,900)</f>
        <v/>
      </c>
      <c r="T1186">
        <f>IMAGE("https://mitra.stanford.edu/kundaje/oak/projects/neuro-variants/variant_position/credible/roussos_2024/variant_figures/roussos_2024.adolescence.GLU/rs1046701_profile_position.png",4,220,900)</f>
        <v/>
      </c>
    </row>
    <row r="1187">
      <c r="A1187" t="inlineStr">
        <is>
          <t>chr14</t>
        </is>
      </c>
      <c r="B1187" t="n">
        <v>59480112</v>
      </c>
      <c r="C1187" t="inlineStr">
        <is>
          <t>T</t>
        </is>
      </c>
      <c r="D1187" t="inlineStr">
        <is>
          <t>C</t>
        </is>
      </c>
      <c r="E1187" t="inlineStr">
        <is>
          <t>rs1253099</t>
        </is>
      </c>
      <c r="F1187" t="n">
        <v>-0.00090105394</v>
      </c>
      <c r="G1187" t="n">
        <v>0.5640973112566915</v>
      </c>
      <c r="H1187" t="n">
        <v>0.009465252380292799</v>
      </c>
      <c r="I1187" t="n">
        <v>0.5883387120912748</v>
      </c>
      <c r="J1187" t="n">
        <v>0.1312829086024962</v>
      </c>
      <c r="K1187" t="n">
        <v>0.5208644004175577</v>
      </c>
      <c r="L1187" t="b">
        <v>0</v>
      </c>
      <c r="M1187" t="b">
        <v>0</v>
      </c>
      <c r="N1187" t="inlineStr">
        <is>
          <t>ref</t>
        </is>
      </c>
      <c r="O1187" t="n">
        <v>30</v>
      </c>
      <c r="P1187" t="n">
        <v>0.0101</v>
      </c>
      <c r="Q1187" t="n">
        <v>25</v>
      </c>
      <c r="R1187" t="n">
        <v>0.0534</v>
      </c>
      <c r="S1187">
        <f>IMAGE("https://mitra.stanford.edu/kundaje/oak/projects/neuro-variants/variant_position/credible/roussos_2024/variant_figures/roussos_2024.adolescence.GLU/rs1253099_count_position.png",4,220,900)</f>
        <v/>
      </c>
      <c r="T1187">
        <f>IMAGE("https://mitra.stanford.edu/kundaje/oak/projects/neuro-variants/variant_position/credible/roussos_2024/variant_figures/roussos_2024.adolescence.GLU/rs1253099_profile_position.png",4,220,900)</f>
        <v/>
      </c>
    </row>
    <row r="1188">
      <c r="A1188" t="inlineStr">
        <is>
          <t>chr14</t>
        </is>
      </c>
      <c r="B1188" t="n">
        <v>59481143</v>
      </c>
      <c r="C1188" t="inlineStr">
        <is>
          <t>C</t>
        </is>
      </c>
      <c r="D1188" t="inlineStr">
        <is>
          <t>T</t>
        </is>
      </c>
      <c r="E1188" t="inlineStr">
        <is>
          <t>rs1253102</t>
        </is>
      </c>
      <c r="F1188" t="n">
        <v>0.00877840966</v>
      </c>
      <c r="G1188" t="n">
        <v>0.5617715136908179</v>
      </c>
      <c r="H1188" t="n">
        <v>0.0121358605932684</v>
      </c>
      <c r="I1188" t="n">
        <v>0.3270529569193881</v>
      </c>
      <c r="J1188" t="n">
        <v>0.0462538668724235</v>
      </c>
      <c r="K1188" t="n">
        <v>0.7211853713461212</v>
      </c>
      <c r="L1188" t="b">
        <v>0</v>
      </c>
      <c r="M1188" t="b">
        <v>0</v>
      </c>
      <c r="N1188" t="inlineStr">
        <is>
          <t>alt</t>
        </is>
      </c>
      <c r="O1188" t="n">
        <v>100</v>
      </c>
      <c r="P1188" t="n">
        <v>0.008460000000000001</v>
      </c>
      <c r="Q1188" t="n">
        <v>-70</v>
      </c>
      <c r="R1188" t="n">
        <v>0.10486</v>
      </c>
      <c r="S1188">
        <f>IMAGE("https://mitra.stanford.edu/kundaje/oak/projects/neuro-variants/variant_position/credible/roussos_2024/variant_figures/roussos_2024.adolescence.GLU/rs1253102_count_position.png",4,220,900)</f>
        <v/>
      </c>
      <c r="T1188">
        <f>IMAGE("https://mitra.stanford.edu/kundaje/oak/projects/neuro-variants/variant_position/credible/roussos_2024/variant_figures/roussos_2024.adolescence.GLU/rs1253102_profile_position.png",4,220,900)</f>
        <v/>
      </c>
    </row>
    <row r="1189">
      <c r="A1189" t="inlineStr">
        <is>
          <t>chr14</t>
        </is>
      </c>
      <c r="B1189" t="n">
        <v>59530395</v>
      </c>
      <c r="C1189" t="inlineStr">
        <is>
          <t>A</t>
        </is>
      </c>
      <c r="D1189" t="inlineStr">
        <is>
          <t>G</t>
        </is>
      </c>
      <c r="E1189" t="inlineStr">
        <is>
          <t>rs111758996</t>
        </is>
      </c>
      <c r="F1189" t="n">
        <v>0.0067440975399999</v>
      </c>
      <c r="G1189" t="n">
        <v>0.6178994478637605</v>
      </c>
      <c r="H1189" t="n">
        <v>0.0111502807351458</v>
      </c>
      <c r="I1189" t="n">
        <v>0.405076168918666</v>
      </c>
      <c r="J1189" t="n">
        <v>0.0298218916775617</v>
      </c>
      <c r="K1189" t="n">
        <v>0.7784483876041928</v>
      </c>
      <c r="L1189" t="b">
        <v>0</v>
      </c>
      <c r="M1189" t="b">
        <v>0</v>
      </c>
      <c r="N1189" t="inlineStr">
        <is>
          <t>alt</t>
        </is>
      </c>
      <c r="O1189" t="n">
        <v>-55</v>
      </c>
      <c r="P1189" t="n">
        <v>0.00861</v>
      </c>
      <c r="Q1189" t="n">
        <v>5</v>
      </c>
      <c r="R1189" t="n">
        <v>0.001801</v>
      </c>
      <c r="S1189">
        <f>IMAGE("https://mitra.stanford.edu/kundaje/oak/projects/neuro-variants/variant_position/credible/roussos_2024/variant_figures/roussos_2024.adolescence.GLU/rs111758996_count_position.png",4,220,900)</f>
        <v/>
      </c>
      <c r="T1189">
        <f>IMAGE("https://mitra.stanford.edu/kundaje/oak/projects/neuro-variants/variant_position/credible/roussos_2024/variant_figures/roussos_2024.adolescence.GLU/rs111758996_profile_position.png",4,220,900)</f>
        <v/>
      </c>
    </row>
    <row r="1190">
      <c r="A1190" t="inlineStr">
        <is>
          <t>chr14</t>
        </is>
      </c>
      <c r="B1190" t="n">
        <v>70892347</v>
      </c>
      <c r="C1190" t="inlineStr">
        <is>
          <t>G</t>
        </is>
      </c>
      <c r="D1190" t="inlineStr">
        <is>
          <t>T</t>
        </is>
      </c>
      <c r="E1190" t="inlineStr">
        <is>
          <t>rs2526886</t>
        </is>
      </c>
      <c r="F1190" t="n">
        <v>0.004574650181</v>
      </c>
      <c r="G1190" t="n">
        <v>0.7220287229857566</v>
      </c>
      <c r="H1190" t="n">
        <v>0.0283605150714591</v>
      </c>
      <c r="I1190" t="n">
        <v>0.0111326201245561</v>
      </c>
      <c r="J1190" t="n">
        <v>0.1294439562480799</v>
      </c>
      <c r="K1190" t="n">
        <v>0.5223776807622988</v>
      </c>
      <c r="L1190" t="b">
        <v>1</v>
      </c>
      <c r="M1190" t="b">
        <v>0</v>
      </c>
      <c r="N1190" t="inlineStr">
        <is>
          <t>alt</t>
        </is>
      </c>
      <c r="O1190" t="n">
        <v>-95</v>
      </c>
      <c r="P1190" t="n">
        <v>0.02698</v>
      </c>
      <c r="Q1190" t="n">
        <v>60</v>
      </c>
      <c r="R1190" t="n">
        <v>0.03207</v>
      </c>
      <c r="S1190">
        <f>IMAGE("https://mitra.stanford.edu/kundaje/oak/projects/neuro-variants/variant_position/credible/roussos_2024/variant_figures/roussos_2024.adolescence.GLU/rs2526886_count_position.png",4,220,900)</f>
        <v/>
      </c>
      <c r="T1190">
        <f>IMAGE("https://mitra.stanford.edu/kundaje/oak/projects/neuro-variants/variant_position/credible/roussos_2024/variant_figures/roussos_2024.adolescence.GLU/rs2526886_profile_position.png",4,220,900)</f>
        <v/>
      </c>
    </row>
    <row r="1191">
      <c r="A1191" t="inlineStr">
        <is>
          <t>chr14</t>
        </is>
      </c>
      <c r="B1191" t="n">
        <v>70917131</v>
      </c>
      <c r="C1191" t="inlineStr">
        <is>
          <t>T</t>
        </is>
      </c>
      <c r="D1191" t="inlineStr">
        <is>
          <t>C</t>
        </is>
      </c>
      <c r="E1191" t="inlineStr">
        <is>
          <t>rs2810073</t>
        </is>
      </c>
      <c r="F1191" t="n">
        <v>0.00762071306</v>
      </c>
      <c r="G1191" t="n">
        <v>0.5934014988033232</v>
      </c>
      <c r="H1191" t="n">
        <v>0.0167273640935069</v>
      </c>
      <c r="I1191" t="n">
        <v>0.1073490190976615</v>
      </c>
      <c r="J1191" t="n">
        <v>0.1449428810253551</v>
      </c>
      <c r="K1191" t="n">
        <v>0.4822225293463995</v>
      </c>
      <c r="L1191" t="b">
        <v>0</v>
      </c>
      <c r="M1191" t="b">
        <v>0</v>
      </c>
      <c r="N1191" t="inlineStr">
        <is>
          <t>alt</t>
        </is>
      </c>
      <c r="O1191" t="n">
        <v>-100</v>
      </c>
      <c r="P1191" t="n">
        <v>0.01587</v>
      </c>
      <c r="Q1191" t="n">
        <v>-100</v>
      </c>
      <c r="R1191" t="n">
        <v>0.12476</v>
      </c>
      <c r="S1191">
        <f>IMAGE("https://mitra.stanford.edu/kundaje/oak/projects/neuro-variants/variant_position/credible/roussos_2024/variant_figures/roussos_2024.adolescence.GLU/rs2810073_count_position.png",4,220,900)</f>
        <v/>
      </c>
      <c r="T1191">
        <f>IMAGE("https://mitra.stanford.edu/kundaje/oak/projects/neuro-variants/variant_position/credible/roussos_2024/variant_figures/roussos_2024.adolescence.GLU/rs2810073_profile_position.png",4,220,900)</f>
        <v/>
      </c>
    </row>
    <row r="1192">
      <c r="A1192" t="inlineStr">
        <is>
          <t>chr14</t>
        </is>
      </c>
      <c r="B1192" t="n">
        <v>70921681</v>
      </c>
      <c r="C1192" t="inlineStr">
        <is>
          <t>T</t>
        </is>
      </c>
      <c r="D1192" t="inlineStr">
        <is>
          <t>A</t>
        </is>
      </c>
      <c r="E1192" t="inlineStr">
        <is>
          <t>rs2189806</t>
        </is>
      </c>
      <c r="F1192" t="n">
        <v>-0.001209697426</v>
      </c>
      <c r="G1192" t="n">
        <v>0.9362897009155629</v>
      </c>
      <c r="H1192" t="n">
        <v>0.0197153671332283</v>
      </c>
      <c r="I1192" t="n">
        <v>0.0600439885414777</v>
      </c>
      <c r="J1192" t="n">
        <v>0.0116424116424116</v>
      </c>
      <c r="K1192" t="n">
        <v>0.8741062975939549</v>
      </c>
      <c r="L1192" t="b">
        <v>0</v>
      </c>
      <c r="M1192" t="b">
        <v>0</v>
      </c>
      <c r="N1192" t="inlineStr">
        <is>
          <t>ref</t>
        </is>
      </c>
      <c r="O1192" t="n">
        <v>-55</v>
      </c>
      <c r="P1192" t="n">
        <v>0.004486</v>
      </c>
      <c r="Q1192" t="n">
        <v>80</v>
      </c>
      <c r="R1192" t="n">
        <v>0.04385</v>
      </c>
      <c r="S1192">
        <f>IMAGE("https://mitra.stanford.edu/kundaje/oak/projects/neuro-variants/variant_position/credible/roussos_2024/variant_figures/roussos_2024.adolescence.GLU/rs2189806_count_position.png",4,220,900)</f>
        <v/>
      </c>
      <c r="T1192">
        <f>IMAGE("https://mitra.stanford.edu/kundaje/oak/projects/neuro-variants/variant_position/credible/roussos_2024/variant_figures/roussos_2024.adolescence.GLU/rs2189806_profile_position.png",4,220,900)</f>
        <v/>
      </c>
    </row>
    <row r="1193">
      <c r="A1193" t="inlineStr">
        <is>
          <t>chr14</t>
        </is>
      </c>
      <c r="B1193" t="n">
        <v>70936594</v>
      </c>
      <c r="C1193" t="inlineStr">
        <is>
          <t>T</t>
        </is>
      </c>
      <c r="D1193" t="inlineStr">
        <is>
          <t>C</t>
        </is>
      </c>
      <c r="E1193" t="inlineStr">
        <is>
          <t>rs2332477</t>
        </is>
      </c>
      <c r="F1193" t="n">
        <v>0.0661079457999999</v>
      </c>
      <c r="G1193" t="n">
        <v>0.0273568354532538</v>
      </c>
      <c r="H1193" t="n">
        <v>0.0111269361736234</v>
      </c>
      <c r="I1193" t="n">
        <v>0.4054364688920483</v>
      </c>
      <c r="J1193" t="n">
        <v>0.034991533960606</v>
      </c>
      <c r="K1193" t="n">
        <v>0.7537749506940221</v>
      </c>
      <c r="L1193" t="b">
        <v>0</v>
      </c>
      <c r="M1193" t="b">
        <v>0</v>
      </c>
      <c r="N1193" t="inlineStr">
        <is>
          <t>alt</t>
        </is>
      </c>
      <c r="O1193" t="n">
        <v>-45</v>
      </c>
      <c r="P1193" t="n">
        <v>0.00322</v>
      </c>
      <c r="Q1193" t="n">
        <v>80</v>
      </c>
      <c r="R1193" t="n">
        <v>0.04404</v>
      </c>
      <c r="S1193">
        <f>IMAGE("https://mitra.stanford.edu/kundaje/oak/projects/neuro-variants/variant_position/credible/roussos_2024/variant_figures/roussos_2024.adolescence.GLU/rs2332477_count_position.png",4,220,900)</f>
        <v/>
      </c>
      <c r="T1193">
        <f>IMAGE("https://mitra.stanford.edu/kundaje/oak/projects/neuro-variants/variant_position/credible/roussos_2024/variant_figures/roussos_2024.adolescence.GLU/rs2332477_profile_position.png",4,220,900)</f>
        <v/>
      </c>
    </row>
    <row r="1194">
      <c r="A1194" t="inlineStr">
        <is>
          <t>chr14</t>
        </is>
      </c>
      <c r="B1194" t="n">
        <v>70940939</v>
      </c>
      <c r="C1194" t="inlineStr">
        <is>
          <t>A</t>
        </is>
      </c>
      <c r="D1194" t="inlineStr">
        <is>
          <t>G</t>
        </is>
      </c>
      <c r="E1194" t="inlineStr">
        <is>
          <t>rs2097866</t>
        </is>
      </c>
      <c r="F1194" t="n">
        <v>0.1029942476</v>
      </c>
      <c r="G1194" t="n">
        <v>0.0064241126011514</v>
      </c>
      <c r="H1194" t="n">
        <v>0.0193152763004756</v>
      </c>
      <c r="I1194" t="n">
        <v>0.06427307268189369</v>
      </c>
      <c r="J1194" t="n">
        <v>0.1161654914232233</v>
      </c>
      <c r="K1194" t="n">
        <v>0.5523890503690199</v>
      </c>
      <c r="L1194" t="b">
        <v>1</v>
      </c>
      <c r="M1194" t="b">
        <v>1</v>
      </c>
      <c r="N1194" t="inlineStr">
        <is>
          <t>alt</t>
        </is>
      </c>
      <c r="O1194" t="n">
        <v>-75</v>
      </c>
      <c r="P1194" t="n">
        <v>0.005627</v>
      </c>
      <c r="Q1194" t="n">
        <v>100</v>
      </c>
      <c r="R1194" t="n">
        <v>0.1278</v>
      </c>
      <c r="S1194">
        <f>IMAGE("https://mitra.stanford.edu/kundaje/oak/projects/neuro-variants/variant_position/credible/roussos_2024/variant_figures/roussos_2024.adolescence.GLU/rs2097866_count_position.png",4,220,900)</f>
        <v/>
      </c>
      <c r="T1194">
        <f>IMAGE("https://mitra.stanford.edu/kundaje/oak/projects/neuro-variants/variant_position/credible/roussos_2024/variant_figures/roussos_2024.adolescence.GLU/rs2097866_profile_position.png",4,220,900)</f>
        <v/>
      </c>
    </row>
    <row r="1195">
      <c r="A1195" t="inlineStr">
        <is>
          <t>chr14</t>
        </is>
      </c>
      <c r="B1195" t="n">
        <v>70945161</v>
      </c>
      <c r="C1195" t="inlineStr">
        <is>
          <t>T</t>
        </is>
      </c>
      <c r="D1195" t="inlineStr">
        <is>
          <t>C</t>
        </is>
      </c>
      <c r="E1195" t="inlineStr">
        <is>
          <t>rs2526860</t>
        </is>
      </c>
      <c r="F1195" t="n">
        <v>-0.00480074074</v>
      </c>
      <c r="G1195" t="n">
        <v>0.4706003874397386</v>
      </c>
      <c r="H1195" t="n">
        <v>0.0091677484947947</v>
      </c>
      <c r="I1195" t="n">
        <v>0.6529373360112095</v>
      </c>
      <c r="J1195" t="n">
        <v>0.1023326260439662</v>
      </c>
      <c r="K1195" t="n">
        <v>0.566982824582477</v>
      </c>
      <c r="L1195" t="b">
        <v>0</v>
      </c>
      <c r="M1195" t="b">
        <v>0</v>
      </c>
      <c r="N1195" t="inlineStr">
        <is>
          <t>ref</t>
        </is>
      </c>
      <c r="O1195" t="n">
        <v>65</v>
      </c>
      <c r="P1195" t="n">
        <v>0.002598</v>
      </c>
      <c r="Q1195" t="n">
        <v>-40</v>
      </c>
      <c r="R1195" t="n">
        <v>0.03412</v>
      </c>
      <c r="S1195">
        <f>IMAGE("https://mitra.stanford.edu/kundaje/oak/projects/neuro-variants/variant_position/credible/roussos_2024/variant_figures/roussos_2024.adolescence.GLU/rs2526860_count_position.png",4,220,900)</f>
        <v/>
      </c>
      <c r="T1195">
        <f>IMAGE("https://mitra.stanford.edu/kundaje/oak/projects/neuro-variants/variant_position/credible/roussos_2024/variant_figures/roussos_2024.adolescence.GLU/rs2526860_profile_position.png",4,220,900)</f>
        <v/>
      </c>
    </row>
    <row r="1196">
      <c r="A1196" t="inlineStr">
        <is>
          <t>chr14</t>
        </is>
      </c>
      <c r="B1196" t="n">
        <v>70991112</v>
      </c>
      <c r="C1196" t="inlineStr">
        <is>
          <t>T</t>
        </is>
      </c>
      <c r="D1196" t="inlineStr">
        <is>
          <t>C</t>
        </is>
      </c>
      <c r="E1196" t="inlineStr">
        <is>
          <t>rs7157250</t>
        </is>
      </c>
      <c r="F1196" t="n">
        <v>0.0714313974</v>
      </c>
      <c r="G1196" t="n">
        <v>0.0249003470480265</v>
      </c>
      <c r="H1196" t="n">
        <v>0.0125897997614899</v>
      </c>
      <c r="I1196" t="n">
        <v>0.2950901449318298</v>
      </c>
      <c r="J1196" t="n">
        <v>0.107849483107215</v>
      </c>
      <c r="K1196" t="n">
        <v>0.5559114393935053</v>
      </c>
      <c r="L1196" t="b">
        <v>0</v>
      </c>
      <c r="M1196" t="b">
        <v>0</v>
      </c>
      <c r="N1196" t="inlineStr">
        <is>
          <t>alt</t>
        </is>
      </c>
      <c r="O1196" t="n">
        <v>-20</v>
      </c>
      <c r="P1196" t="n">
        <v>0.0119</v>
      </c>
      <c r="Q1196" t="n">
        <v>50</v>
      </c>
      <c r="R1196" t="n">
        <v>0.05792</v>
      </c>
      <c r="S1196">
        <f>IMAGE("https://mitra.stanford.edu/kundaje/oak/projects/neuro-variants/variant_position/credible/roussos_2024/variant_figures/roussos_2024.adolescence.GLU/rs7157250_count_position.png",4,220,900)</f>
        <v/>
      </c>
      <c r="T1196">
        <f>IMAGE("https://mitra.stanford.edu/kundaje/oak/projects/neuro-variants/variant_position/credible/roussos_2024/variant_figures/roussos_2024.adolescence.GLU/rs7157250_profile_position.png",4,220,900)</f>
        <v/>
      </c>
    </row>
    <row r="1197">
      <c r="A1197" t="inlineStr">
        <is>
          <t>chr14</t>
        </is>
      </c>
      <c r="B1197" t="n">
        <v>71005509</v>
      </c>
      <c r="C1197" t="inlineStr">
        <is>
          <t>A</t>
        </is>
      </c>
      <c r="D1197" t="inlineStr">
        <is>
          <t>G</t>
        </is>
      </c>
      <c r="E1197" t="inlineStr">
        <is>
          <t>rs67981189</t>
        </is>
      </c>
      <c r="F1197" t="n">
        <v>0.00629638144</v>
      </c>
      <c r="G1197" t="n">
        <v>0.5493998674727214</v>
      </c>
      <c r="H1197" t="n">
        <v>0.0196481372662016</v>
      </c>
      <c r="I1197" t="n">
        <v>0.0613616282632807</v>
      </c>
      <c r="J1197" t="n">
        <v>0.0877038815183144</v>
      </c>
      <c r="K1197" t="n">
        <v>0.5983144167078046</v>
      </c>
      <c r="L1197" t="b">
        <v>0</v>
      </c>
      <c r="M1197" t="b">
        <v>0</v>
      </c>
      <c r="N1197" t="inlineStr">
        <is>
          <t>alt</t>
        </is>
      </c>
      <c r="O1197" t="n">
        <v>-75</v>
      </c>
      <c r="P1197" t="n">
        <v>0.008644000000000001</v>
      </c>
      <c r="Q1197" t="n">
        <v>-95</v>
      </c>
      <c r="R1197" t="n">
        <v>0.03336</v>
      </c>
      <c r="S1197">
        <f>IMAGE("https://mitra.stanford.edu/kundaje/oak/projects/neuro-variants/variant_position/credible/roussos_2024/variant_figures/roussos_2024.adolescence.GLU/rs67981189_count_position.png",4,220,900)</f>
        <v/>
      </c>
      <c r="T1197">
        <f>IMAGE("https://mitra.stanford.edu/kundaje/oak/projects/neuro-variants/variant_position/credible/roussos_2024/variant_figures/roussos_2024.adolescence.GLU/rs67981189_profile_position.png",4,220,900)</f>
        <v/>
      </c>
    </row>
    <row r="1198">
      <c r="A1198" t="inlineStr">
        <is>
          <t>chr14</t>
        </is>
      </c>
      <c r="B1198" t="n">
        <v>71010328</v>
      </c>
      <c r="C1198" t="inlineStr">
        <is>
          <t>A</t>
        </is>
      </c>
      <c r="D1198" t="inlineStr">
        <is>
          <t>G</t>
        </is>
      </c>
      <c r="E1198" t="inlineStr">
        <is>
          <t>rs7146932</t>
        </is>
      </c>
      <c r="F1198" t="n">
        <v>0.0834409718</v>
      </c>
      <c r="G1198" t="n">
        <v>0.0142779901773483</v>
      </c>
      <c r="H1198" t="n">
        <v>0.0179211386814344</v>
      </c>
      <c r="I1198" t="n">
        <v>0.0924829593099654</v>
      </c>
      <c r="J1198" t="n">
        <v>0.0150874109636995</v>
      </c>
      <c r="K1198" t="n">
        <v>0.850676701559262</v>
      </c>
      <c r="L1198" t="b">
        <v>1</v>
      </c>
      <c r="M1198" t="b">
        <v>0</v>
      </c>
      <c r="N1198" t="inlineStr">
        <is>
          <t>alt</t>
        </is>
      </c>
      <c r="O1198" t="n">
        <v>-70</v>
      </c>
      <c r="P1198" t="n">
        <v>0.02948</v>
      </c>
      <c r="Q1198" t="n">
        <v>-75</v>
      </c>
      <c r="R1198" t="n">
        <v>0.0906</v>
      </c>
      <c r="S1198">
        <f>IMAGE("https://mitra.stanford.edu/kundaje/oak/projects/neuro-variants/variant_position/credible/roussos_2024/variant_figures/roussos_2024.adolescence.GLU/rs7146932_count_position.png",4,220,900)</f>
        <v/>
      </c>
      <c r="T1198">
        <f>IMAGE("https://mitra.stanford.edu/kundaje/oak/projects/neuro-variants/variant_position/credible/roussos_2024/variant_figures/roussos_2024.adolescence.GLU/rs7146932_profile_position.png",4,220,900)</f>
        <v/>
      </c>
    </row>
    <row r="1199">
      <c r="A1199" t="inlineStr">
        <is>
          <t>chr14</t>
        </is>
      </c>
      <c r="B1199" t="n">
        <v>71028571</v>
      </c>
      <c r="C1199" t="inlineStr">
        <is>
          <t>C</t>
        </is>
      </c>
      <c r="D1199" t="inlineStr">
        <is>
          <t>T</t>
        </is>
      </c>
      <c r="E1199" t="inlineStr">
        <is>
          <t>rs34488204</t>
        </is>
      </c>
      <c r="F1199" t="n">
        <v>-0.00473180554</v>
      </c>
      <c r="G1199" t="n">
        <v>0.7264457841846574</v>
      </c>
      <c r="H1199" t="n">
        <v>0.0133256149068471</v>
      </c>
      <c r="I1199" t="n">
        <v>0.2512555560595489</v>
      </c>
      <c r="J1199" t="n">
        <v>0.0008416029034585</v>
      </c>
      <c r="K1199" t="n">
        <v>0.9749277953098512</v>
      </c>
      <c r="L1199" t="b">
        <v>0</v>
      </c>
      <c r="M1199" t="b">
        <v>0</v>
      </c>
      <c r="N1199" t="inlineStr">
        <is>
          <t>ref</t>
        </is>
      </c>
      <c r="O1199" t="n">
        <v>-100</v>
      </c>
      <c r="P1199" t="n">
        <v>0.00557</v>
      </c>
      <c r="Q1199" t="n">
        <v>55</v>
      </c>
      <c r="R1199" t="n">
        <v>0.0404</v>
      </c>
      <c r="S1199">
        <f>IMAGE("https://mitra.stanford.edu/kundaje/oak/projects/neuro-variants/variant_position/credible/roussos_2024/variant_figures/roussos_2024.adolescence.GLU/rs34488204_count_position.png",4,220,900)</f>
        <v/>
      </c>
      <c r="T1199">
        <f>IMAGE("https://mitra.stanford.edu/kundaje/oak/projects/neuro-variants/variant_position/credible/roussos_2024/variant_figures/roussos_2024.adolescence.GLU/rs34488204_profile_position.png",4,220,900)</f>
        <v/>
      </c>
    </row>
    <row r="1200">
      <c r="A1200" t="inlineStr">
        <is>
          <t>chr14</t>
        </is>
      </c>
      <c r="B1200" t="n">
        <v>71028982</v>
      </c>
      <c r="C1200" t="inlineStr">
        <is>
          <t>C</t>
        </is>
      </c>
      <c r="D1200" t="inlineStr">
        <is>
          <t>T</t>
        </is>
      </c>
      <c r="E1200" t="inlineStr">
        <is>
          <t>rs3814869</t>
        </is>
      </c>
      <c r="F1200" t="n">
        <v>-0.0099960403</v>
      </c>
      <c r="G1200" t="n">
        <v>0.5276545706463961</v>
      </c>
      <c r="H1200" t="n">
        <v>0.0159880025561901</v>
      </c>
      <c r="I1200" t="n">
        <v>0.1304908976011668</v>
      </c>
      <c r="J1200" t="n">
        <v>0.0061084081702638</v>
      </c>
      <c r="K1200" t="n">
        <v>0.9229480074635044</v>
      </c>
      <c r="L1200" t="b">
        <v>0</v>
      </c>
      <c r="M1200" t="b">
        <v>0</v>
      </c>
      <c r="N1200" t="inlineStr">
        <is>
          <t>ref</t>
        </is>
      </c>
      <c r="O1200" t="n">
        <v>-95</v>
      </c>
      <c r="P1200" t="n">
        <v>0.01081</v>
      </c>
      <c r="Q1200" t="n">
        <v>-30</v>
      </c>
      <c r="R1200" t="n">
        <v>0.011986</v>
      </c>
      <c r="S1200">
        <f>IMAGE("https://mitra.stanford.edu/kundaje/oak/projects/neuro-variants/variant_position/credible/roussos_2024/variant_figures/roussos_2024.adolescence.GLU/rs3814869_count_position.png",4,220,900)</f>
        <v/>
      </c>
      <c r="T1200">
        <f>IMAGE("https://mitra.stanford.edu/kundaje/oak/projects/neuro-variants/variant_position/credible/roussos_2024/variant_figures/roussos_2024.adolescence.GLU/rs3814869_profile_position.png",4,220,900)</f>
        <v/>
      </c>
    </row>
    <row r="1201">
      <c r="A1201" t="inlineStr">
        <is>
          <t>chr14</t>
        </is>
      </c>
      <c r="B1201" t="n">
        <v>71060982</v>
      </c>
      <c r="C1201" t="inlineStr">
        <is>
          <t>A</t>
        </is>
      </c>
      <c r="D1201" t="inlineStr">
        <is>
          <t>G</t>
        </is>
      </c>
      <c r="E1201" t="inlineStr">
        <is>
          <t>rs4048474</t>
        </is>
      </c>
      <c r="F1201" t="n">
        <v>-0.00314301768</v>
      </c>
      <c r="G1201" t="n">
        <v>0.5488356269543876</v>
      </c>
      <c r="H1201" t="n">
        <v>0.0127665914228027</v>
      </c>
      <c r="I1201" t="n">
        <v>0.2852127522988285</v>
      </c>
      <c r="J1201" t="n">
        <v>0.0889541405005321</v>
      </c>
      <c r="K1201" t="n">
        <v>0.5959359097080953</v>
      </c>
      <c r="L1201" t="b">
        <v>0</v>
      </c>
      <c r="M1201" t="b">
        <v>0</v>
      </c>
      <c r="N1201" t="inlineStr">
        <is>
          <t>ref</t>
        </is>
      </c>
      <c r="O1201" t="n">
        <v>-10</v>
      </c>
      <c r="P1201" t="n">
        <v>0.001984</v>
      </c>
      <c r="Q1201" t="n">
        <v>-10</v>
      </c>
      <c r="R1201" t="n">
        <v>0.002625</v>
      </c>
      <c r="S1201">
        <f>IMAGE("https://mitra.stanford.edu/kundaje/oak/projects/neuro-variants/variant_position/credible/roussos_2024/variant_figures/roussos_2024.adolescence.GLU/rs4048474_count_position.png",4,220,900)</f>
        <v/>
      </c>
      <c r="T1201">
        <f>IMAGE("https://mitra.stanford.edu/kundaje/oak/projects/neuro-variants/variant_position/credible/roussos_2024/variant_figures/roussos_2024.adolescence.GLU/rs4048474_profile_position.png",4,220,900)</f>
        <v/>
      </c>
    </row>
    <row r="1202">
      <c r="A1202" t="inlineStr">
        <is>
          <t>chr14</t>
        </is>
      </c>
      <c r="B1202" t="n">
        <v>71117756</v>
      </c>
      <c r="C1202" t="inlineStr">
        <is>
          <t>T</t>
        </is>
      </c>
      <c r="D1202" t="inlineStr">
        <is>
          <t>C</t>
        </is>
      </c>
      <c r="E1202" t="inlineStr">
        <is>
          <t>rs221923</t>
        </is>
      </c>
      <c r="F1202" t="n">
        <v>-0.00314178444</v>
      </c>
      <c r="G1202" t="n">
        <v>0.8438401772682109</v>
      </c>
      <c r="H1202" t="n">
        <v>0.0174666815710807</v>
      </c>
      <c r="I1202" t="n">
        <v>0.0903665178664229</v>
      </c>
      <c r="J1202" t="n">
        <v>0.0659508040951339</v>
      </c>
      <c r="K1202" t="n">
        <v>0.6488001528865297</v>
      </c>
      <c r="L1202" t="b">
        <v>0</v>
      </c>
      <c r="M1202" t="b">
        <v>0</v>
      </c>
      <c r="N1202" t="inlineStr">
        <is>
          <t>ref</t>
        </is>
      </c>
      <c r="O1202" t="n">
        <v>-85</v>
      </c>
      <c r="P1202" t="n">
        <v>0.004635</v>
      </c>
      <c r="Q1202" t="n">
        <v>90</v>
      </c>
      <c r="R1202" t="n">
        <v>0.0751</v>
      </c>
      <c r="S1202">
        <f>IMAGE("https://mitra.stanford.edu/kundaje/oak/projects/neuro-variants/variant_position/credible/roussos_2024/variant_figures/roussos_2024.adolescence.GLU/rs221923_count_position.png",4,220,900)</f>
        <v/>
      </c>
      <c r="T1202">
        <f>IMAGE("https://mitra.stanford.edu/kundaje/oak/projects/neuro-variants/variant_position/credible/roussos_2024/variant_figures/roussos_2024.adolescence.GLU/rs221923_profile_position.png",4,220,900)</f>
        <v/>
      </c>
    </row>
    <row r="1203">
      <c r="A1203" t="inlineStr">
        <is>
          <t>chr14</t>
        </is>
      </c>
      <c r="B1203" t="n">
        <v>71253368</v>
      </c>
      <c r="C1203" t="inlineStr">
        <is>
          <t>G</t>
        </is>
      </c>
      <c r="D1203" t="inlineStr">
        <is>
          <t>C</t>
        </is>
      </c>
      <c r="E1203" t="inlineStr">
        <is>
          <t>rs75982415</t>
        </is>
      </c>
      <c r="F1203" t="n">
        <v>0.0157397438</v>
      </c>
      <c r="G1203" t="n">
        <v>0.3629599783693515</v>
      </c>
      <c r="H1203" t="n">
        <v>0.0118832297069898</v>
      </c>
      <c r="I1203" t="n">
        <v>0.3526606972341147</v>
      </c>
      <c r="J1203" t="n">
        <v>0.0082545670174535</v>
      </c>
      <c r="K1203" t="n">
        <v>0.8903912618248031</v>
      </c>
      <c r="L1203" t="b">
        <v>0</v>
      </c>
      <c r="M1203" t="b">
        <v>0</v>
      </c>
      <c r="N1203" t="inlineStr">
        <is>
          <t>alt</t>
        </is>
      </c>
      <c r="O1203" t="n">
        <v>-85</v>
      </c>
      <c r="P1203" t="n">
        <v>0.01614</v>
      </c>
      <c r="Q1203" t="n">
        <v>-100</v>
      </c>
      <c r="R1203" t="n">
        <v>0.0382</v>
      </c>
      <c r="S1203">
        <f>IMAGE("https://mitra.stanford.edu/kundaje/oak/projects/neuro-variants/variant_position/credible/roussos_2024/variant_figures/roussos_2024.adolescence.GLU/rs75982415_count_position.png",4,220,900)</f>
        <v/>
      </c>
      <c r="T1203">
        <f>IMAGE("https://mitra.stanford.edu/kundaje/oak/projects/neuro-variants/variant_position/credible/roussos_2024/variant_figures/roussos_2024.adolescence.GLU/rs75982415_profile_position.png",4,220,900)</f>
        <v/>
      </c>
    </row>
    <row r="1204">
      <c r="A1204" t="inlineStr">
        <is>
          <t>chr14</t>
        </is>
      </c>
      <c r="B1204" t="n">
        <v>71255117</v>
      </c>
      <c r="C1204" t="inlineStr">
        <is>
          <t>C</t>
        </is>
      </c>
      <c r="D1204" t="inlineStr">
        <is>
          <t>T</t>
        </is>
      </c>
      <c r="E1204" t="inlineStr">
        <is>
          <t>rs142859468</t>
        </is>
      </c>
      <c r="F1204" t="n">
        <v>-0.0288915311999999</v>
      </c>
      <c r="G1204" t="n">
        <v>0.1960142201584259</v>
      </c>
      <c r="H1204" t="n">
        <v>0.0127093760492852</v>
      </c>
      <c r="I1204" t="n">
        <v>0.272809119596207</v>
      </c>
      <c r="J1204" t="n">
        <v>0.6004272313550664</v>
      </c>
      <c r="K1204" t="n">
        <v>0.0370064291551083</v>
      </c>
      <c r="L1204" t="b">
        <v>0</v>
      </c>
      <c r="M1204" t="b">
        <v>0</v>
      </c>
      <c r="N1204" t="inlineStr">
        <is>
          <t>ref</t>
        </is>
      </c>
      <c r="O1204" t="n">
        <v>-25</v>
      </c>
      <c r="P1204" t="n">
        <v>0.0007133</v>
      </c>
      <c r="Q1204" t="n">
        <v>40</v>
      </c>
      <c r="R1204" t="n">
        <v>0.06134</v>
      </c>
      <c r="S1204">
        <f>IMAGE("https://mitra.stanford.edu/kundaje/oak/projects/neuro-variants/variant_position/credible/roussos_2024/variant_figures/roussos_2024.adolescence.GLU/rs142859468_count_position.png",4,220,900)</f>
        <v/>
      </c>
      <c r="T1204">
        <f>IMAGE("https://mitra.stanford.edu/kundaje/oak/projects/neuro-variants/variant_position/credible/roussos_2024/variant_figures/roussos_2024.adolescence.GLU/rs142859468_profile_position.png",4,220,900)</f>
        <v/>
      </c>
    </row>
    <row r="1205">
      <c r="A1205" t="inlineStr">
        <is>
          <t>chr14</t>
        </is>
      </c>
      <c r="B1205" t="n">
        <v>71271317</v>
      </c>
      <c r="C1205" t="inlineStr">
        <is>
          <t>G</t>
        </is>
      </c>
      <c r="D1205" t="inlineStr">
        <is>
          <t>A</t>
        </is>
      </c>
      <c r="E1205" t="inlineStr">
        <is>
          <t>rs57923981</t>
        </is>
      </c>
      <c r="F1205" t="n">
        <v>-0.0559409565999999</v>
      </c>
      <c r="G1205" t="n">
        <v>0.0535978827167267</v>
      </c>
      <c r="H1205" t="n">
        <v>0.0104824056427677</v>
      </c>
      <c r="I1205" t="n">
        <v>0.4900604623604525</v>
      </c>
      <c r="J1205" t="n">
        <v>0.2430317708668223</v>
      </c>
      <c r="K1205" t="n">
        <v>0.3406755846261238</v>
      </c>
      <c r="L1205" t="b">
        <v>0</v>
      </c>
      <c r="M1205" t="b">
        <v>0</v>
      </c>
      <c r="N1205" t="inlineStr">
        <is>
          <t>ref</t>
        </is>
      </c>
      <c r="O1205" t="n">
        <v>100</v>
      </c>
      <c r="P1205" t="n">
        <v>0.01531</v>
      </c>
      <c r="Q1205" t="n">
        <v>95</v>
      </c>
      <c r="R1205" t="n">
        <v>0.1135</v>
      </c>
      <c r="S1205">
        <f>IMAGE("https://mitra.stanford.edu/kundaje/oak/projects/neuro-variants/variant_position/credible/roussos_2024/variant_figures/roussos_2024.adolescence.GLU/rs57923981_count_position.png",4,220,900)</f>
        <v/>
      </c>
      <c r="T1205">
        <f>IMAGE("https://mitra.stanford.edu/kundaje/oak/projects/neuro-variants/variant_position/credible/roussos_2024/variant_figures/roussos_2024.adolescence.GLU/rs57923981_profile_position.png",4,220,900)</f>
        <v/>
      </c>
    </row>
    <row r="1206">
      <c r="A1206" t="inlineStr">
        <is>
          <t>chr14</t>
        </is>
      </c>
      <c r="B1206" t="n">
        <v>71299193</v>
      </c>
      <c r="C1206" t="inlineStr">
        <is>
          <t>A</t>
        </is>
      </c>
      <c r="D1206" t="inlineStr">
        <is>
          <t>G</t>
        </is>
      </c>
      <c r="E1206" t="inlineStr">
        <is>
          <t>rs723966</t>
        </is>
      </c>
      <c r="F1206" t="n">
        <v>-0.02413518866</v>
      </c>
      <c r="G1206" t="n">
        <v>0.211233083989877</v>
      </c>
      <c r="H1206" t="n">
        <v>0.014684417937649</v>
      </c>
      <c r="I1206" t="n">
        <v>0.2050363452403606</v>
      </c>
      <c r="J1206" t="n">
        <v>0.0721435154424844</v>
      </c>
      <c r="K1206" t="n">
        <v>0.6401261372336955</v>
      </c>
      <c r="L1206" t="b">
        <v>0</v>
      </c>
      <c r="M1206" t="b">
        <v>0</v>
      </c>
      <c r="N1206" t="inlineStr">
        <is>
          <t>ref</t>
        </is>
      </c>
      <c r="O1206" t="n">
        <v>-10</v>
      </c>
      <c r="P1206" t="n">
        <v>0.001324</v>
      </c>
      <c r="Q1206" t="n">
        <v>-100</v>
      </c>
      <c r="R1206" t="n">
        <v>0.0437</v>
      </c>
      <c r="S1206">
        <f>IMAGE("https://mitra.stanford.edu/kundaje/oak/projects/neuro-variants/variant_position/credible/roussos_2024/variant_figures/roussos_2024.adolescence.GLU/rs723966_count_position.png",4,220,900)</f>
        <v/>
      </c>
      <c r="T1206">
        <f>IMAGE("https://mitra.stanford.edu/kundaje/oak/projects/neuro-variants/variant_position/credible/roussos_2024/variant_figures/roussos_2024.adolescence.GLU/rs723966_profile_position.png",4,220,900)</f>
        <v/>
      </c>
    </row>
    <row r="1207">
      <c r="A1207" t="inlineStr">
        <is>
          <t>chr14</t>
        </is>
      </c>
      <c r="B1207" t="n">
        <v>71301356</v>
      </c>
      <c r="C1207" t="inlineStr">
        <is>
          <t>C</t>
        </is>
      </c>
      <c r="D1207" t="inlineStr">
        <is>
          <t>T</t>
        </is>
      </c>
      <c r="E1207" t="inlineStr">
        <is>
          <t>rs61991204</t>
        </is>
      </c>
      <c r="F1207" t="n">
        <v>-0.032293759</v>
      </c>
      <c r="G1207" t="n">
        <v>0.1645590876697102</v>
      </c>
      <c r="H1207" t="n">
        <v>0.0075220469044676</v>
      </c>
      <c r="I1207" t="n">
        <v>0.8611886801277249</v>
      </c>
      <c r="J1207" t="n">
        <v>0.1518400240049724</v>
      </c>
      <c r="K1207" t="n">
        <v>0.4803412093944459</v>
      </c>
      <c r="L1207" t="b">
        <v>0</v>
      </c>
      <c r="M1207" t="b">
        <v>0</v>
      </c>
      <c r="N1207" t="inlineStr">
        <is>
          <t>ref</t>
        </is>
      </c>
      <c r="O1207" t="n">
        <v>100</v>
      </c>
      <c r="P1207" t="n">
        <v>0.007889999999999999</v>
      </c>
      <c r="Q1207" t="n">
        <v>100</v>
      </c>
      <c r="R1207" t="n">
        <v>0.1323</v>
      </c>
      <c r="S1207">
        <f>IMAGE("https://mitra.stanford.edu/kundaje/oak/projects/neuro-variants/variant_position/credible/roussos_2024/variant_figures/roussos_2024.adolescence.GLU/rs61991204_count_position.png",4,220,900)</f>
        <v/>
      </c>
      <c r="T1207">
        <f>IMAGE("https://mitra.stanford.edu/kundaje/oak/projects/neuro-variants/variant_position/credible/roussos_2024/variant_figures/roussos_2024.adolescence.GLU/rs61991204_profile_position.png",4,220,900)</f>
        <v/>
      </c>
    </row>
    <row r="1208">
      <c r="A1208" t="inlineStr">
        <is>
          <t>chr14</t>
        </is>
      </c>
      <c r="B1208" t="n">
        <v>71305380</v>
      </c>
      <c r="C1208" t="inlineStr">
        <is>
          <t>G</t>
        </is>
      </c>
      <c r="D1208" t="inlineStr">
        <is>
          <t>T</t>
        </is>
      </c>
      <c r="E1208" t="inlineStr">
        <is>
          <t>rs78053899</t>
        </is>
      </c>
      <c r="F1208" t="n">
        <v>-0.0570717544</v>
      </c>
      <c r="G1208" t="n">
        <v>0.0441177550134164</v>
      </c>
      <c r="H1208" t="n">
        <v>0.0114702259786318</v>
      </c>
      <c r="I1208" t="n">
        <v>0.3745537364799343</v>
      </c>
      <c r="J1208" t="n">
        <v>0.3030770659636639</v>
      </c>
      <c r="K1208" t="n">
        <v>0.2682717066096737</v>
      </c>
      <c r="L1208" t="b">
        <v>0</v>
      </c>
      <c r="M1208" t="b">
        <v>0</v>
      </c>
      <c r="N1208" t="inlineStr">
        <is>
          <t>ref</t>
        </is>
      </c>
      <c r="O1208" t="n">
        <v>-90</v>
      </c>
      <c r="P1208" t="n">
        <v>0.001831</v>
      </c>
      <c r="Q1208" t="n">
        <v>5</v>
      </c>
      <c r="R1208" t="n">
        <v>0.0017395</v>
      </c>
      <c r="S1208">
        <f>IMAGE("https://mitra.stanford.edu/kundaje/oak/projects/neuro-variants/variant_position/credible/roussos_2024/variant_figures/roussos_2024.adolescence.GLU/rs78053899_count_position.png",4,220,900)</f>
        <v/>
      </c>
      <c r="T1208">
        <f>IMAGE("https://mitra.stanford.edu/kundaje/oak/projects/neuro-variants/variant_position/credible/roussos_2024/variant_figures/roussos_2024.adolescence.GLU/rs78053899_profile_position.png",4,220,900)</f>
        <v/>
      </c>
    </row>
    <row r="1209">
      <c r="A1209" t="inlineStr">
        <is>
          <t>chr14</t>
        </is>
      </c>
      <c r="B1209" t="n">
        <v>71307335</v>
      </c>
      <c r="C1209" t="inlineStr">
        <is>
          <t>T</t>
        </is>
      </c>
      <c r="D1209" t="inlineStr">
        <is>
          <t>G</t>
        </is>
      </c>
      <c r="E1209" t="inlineStr">
        <is>
          <t>rs1990241</t>
        </is>
      </c>
      <c r="F1209" t="n">
        <v>0.0523155129999999</v>
      </c>
      <c r="G1209" t="n">
        <v>0.069520717848827</v>
      </c>
      <c r="H1209" t="n">
        <v>0.0193339770670226</v>
      </c>
      <c r="I1209" t="n">
        <v>0.08410089233372919</v>
      </c>
      <c r="J1209" t="n">
        <v>0.08270998992648471</v>
      </c>
      <c r="K1209" t="n">
        <v>0.6087538306860405</v>
      </c>
      <c r="L1209" t="b">
        <v>0</v>
      </c>
      <c r="M1209" t="b">
        <v>0</v>
      </c>
      <c r="N1209" t="inlineStr">
        <is>
          <t>alt</t>
        </is>
      </c>
      <c r="O1209" t="n">
        <v>-85</v>
      </c>
      <c r="P1209" t="n">
        <v>0.02768</v>
      </c>
      <c r="Q1209" t="n">
        <v>0</v>
      </c>
      <c r="R1209" t="n">
        <v>0</v>
      </c>
      <c r="S1209">
        <f>IMAGE("https://mitra.stanford.edu/kundaje/oak/projects/neuro-variants/variant_position/credible/roussos_2024/variant_figures/roussos_2024.adolescence.GLU/rs1990241_count_position.png",4,220,900)</f>
        <v/>
      </c>
      <c r="T1209">
        <f>IMAGE("https://mitra.stanford.edu/kundaje/oak/projects/neuro-variants/variant_position/credible/roussos_2024/variant_figures/roussos_2024.adolescence.GLU/rs1990241_profile_position.png",4,220,900)</f>
        <v/>
      </c>
    </row>
    <row r="1210">
      <c r="A1210" t="inlineStr">
        <is>
          <t>chr14</t>
        </is>
      </c>
      <c r="B1210" t="n">
        <v>71314024</v>
      </c>
      <c r="C1210" t="inlineStr">
        <is>
          <t>C</t>
        </is>
      </c>
      <c r="D1210" t="inlineStr">
        <is>
          <t>T</t>
        </is>
      </c>
      <c r="E1210" t="inlineStr">
        <is>
          <t>rs34873919</t>
        </is>
      </c>
      <c r="F1210" t="n">
        <v>-0.0845908496</v>
      </c>
      <c r="G1210" t="n">
        <v>0.0176404379474125</v>
      </c>
      <c r="H1210" t="n">
        <v>0.0148370900802527</v>
      </c>
      <c r="I1210" t="n">
        <v>0.1890590279872452</v>
      </c>
      <c r="J1210" t="n">
        <v>0.1293310757228282</v>
      </c>
      <c r="K1210" t="n">
        <v>0.5171191098058764</v>
      </c>
      <c r="L1210" t="b">
        <v>1</v>
      </c>
      <c r="M1210" t="b">
        <v>0</v>
      </c>
      <c r="N1210" t="inlineStr">
        <is>
          <t>ref</t>
        </is>
      </c>
      <c r="O1210" t="n">
        <v>20</v>
      </c>
      <c r="P1210" t="n">
        <v>0.001434</v>
      </c>
      <c r="Q1210" t="n">
        <v>55</v>
      </c>
      <c r="R1210" t="n">
        <v>0.012085</v>
      </c>
      <c r="S1210">
        <f>IMAGE("https://mitra.stanford.edu/kundaje/oak/projects/neuro-variants/variant_position/credible/roussos_2024/variant_figures/roussos_2024.adolescence.GLU/rs34873919_count_position.png",4,220,900)</f>
        <v/>
      </c>
      <c r="T1210">
        <f>IMAGE("https://mitra.stanford.edu/kundaje/oak/projects/neuro-variants/variant_position/credible/roussos_2024/variant_figures/roussos_2024.adolescence.GLU/rs34873919_profile_position.png",4,220,900)</f>
        <v/>
      </c>
    </row>
    <row r="1211">
      <c r="A1211" t="inlineStr">
        <is>
          <t>chr14</t>
        </is>
      </c>
      <c r="B1211" t="n">
        <v>71315393</v>
      </c>
      <c r="C1211" t="inlineStr">
        <is>
          <t>C</t>
        </is>
      </c>
      <c r="D1211" t="inlineStr">
        <is>
          <t>A</t>
        </is>
      </c>
      <c r="E1211" t="inlineStr">
        <is>
          <t>rs80173099</t>
        </is>
      </c>
      <c r="F1211" t="n">
        <v>-0.01188027388</v>
      </c>
      <c r="G1211" t="n">
        <v>0.4808090805182253</v>
      </c>
      <c r="H1211" t="n">
        <v>0.0214390317202015</v>
      </c>
      <c r="I1211" t="n">
        <v>0.0419434206477272</v>
      </c>
      <c r="J1211" t="n">
        <v>0.1949546691814732</v>
      </c>
      <c r="K1211" t="n">
        <v>0.4098331652174384</v>
      </c>
      <c r="L1211" t="b">
        <v>0</v>
      </c>
      <c r="M1211" t="b">
        <v>0</v>
      </c>
      <c r="N1211" t="inlineStr">
        <is>
          <t>ref</t>
        </is>
      </c>
      <c r="O1211" t="n">
        <v>100</v>
      </c>
      <c r="P1211" t="n">
        <v>0.009769999999999999</v>
      </c>
      <c r="Q1211" t="n">
        <v>95</v>
      </c>
      <c r="R1211" t="n">
        <v>0.12274</v>
      </c>
      <c r="S1211">
        <f>IMAGE("https://mitra.stanford.edu/kundaje/oak/projects/neuro-variants/variant_position/credible/roussos_2024/variant_figures/roussos_2024.adolescence.GLU/rs80173099_count_position.png",4,220,900)</f>
        <v/>
      </c>
      <c r="T1211">
        <f>IMAGE("https://mitra.stanford.edu/kundaje/oak/projects/neuro-variants/variant_position/credible/roussos_2024/variant_figures/roussos_2024.adolescence.GLU/rs80173099_profile_position.png",4,220,900)</f>
        <v/>
      </c>
    </row>
    <row r="1212">
      <c r="A1212" t="inlineStr">
        <is>
          <t>chr14</t>
        </is>
      </c>
      <c r="B1212" t="n">
        <v>71318485</v>
      </c>
      <c r="C1212" t="inlineStr">
        <is>
          <t>T</t>
        </is>
      </c>
      <c r="D1212" t="inlineStr">
        <is>
          <t>G</t>
        </is>
      </c>
      <c r="E1212" t="inlineStr">
        <is>
          <t>rs35054229</t>
        </is>
      </c>
      <c r="F1212" t="n">
        <v>-0.002638744186</v>
      </c>
      <c r="G1212" t="n">
        <v>0.8614634855599168</v>
      </c>
      <c r="H1212" t="n">
        <v>0.0220366130320191</v>
      </c>
      <c r="I1212" t="n">
        <v>0.0376320277139329</v>
      </c>
      <c r="J1212" t="n">
        <v>0.0084303177086681</v>
      </c>
      <c r="K1212" t="n">
        <v>0.8971570222619452</v>
      </c>
      <c r="L1212" t="b">
        <v>0</v>
      </c>
      <c r="M1212" t="b">
        <v>0</v>
      </c>
      <c r="N1212" t="inlineStr">
        <is>
          <t>ref</t>
        </is>
      </c>
      <c r="O1212" t="n">
        <v>100</v>
      </c>
      <c r="P1212" t="n">
        <v>0.01575</v>
      </c>
      <c r="Q1212" t="n">
        <v>-100</v>
      </c>
      <c r="R1212" t="n">
        <v>0.07006999999999999</v>
      </c>
      <c r="S1212">
        <f>IMAGE("https://mitra.stanford.edu/kundaje/oak/projects/neuro-variants/variant_position/credible/roussos_2024/variant_figures/roussos_2024.adolescence.GLU/rs35054229_count_position.png",4,220,900)</f>
        <v/>
      </c>
      <c r="T1212">
        <f>IMAGE("https://mitra.stanford.edu/kundaje/oak/projects/neuro-variants/variant_position/credible/roussos_2024/variant_figures/roussos_2024.adolescence.GLU/rs35054229_profile_position.png",4,220,900)</f>
        <v/>
      </c>
    </row>
    <row r="1213">
      <c r="A1213" t="inlineStr">
        <is>
          <t>chr14</t>
        </is>
      </c>
      <c r="B1213" t="n">
        <v>71332956</v>
      </c>
      <c r="C1213" t="inlineStr">
        <is>
          <t>A</t>
        </is>
      </c>
      <c r="D1213" t="inlineStr">
        <is>
          <t>T</t>
        </is>
      </c>
      <c r="E1213" t="inlineStr">
        <is>
          <t>rs116311114</t>
        </is>
      </c>
      <c r="F1213" t="n">
        <v>-0.0004463728</v>
      </c>
      <c r="G1213" t="n">
        <v>0.8623406250922563</v>
      </c>
      <c r="H1213" t="n">
        <v>0.015423548737964</v>
      </c>
      <c r="I1213" t="n">
        <v>0.1494941154446768</v>
      </c>
      <c r="J1213" t="n">
        <v>0.0377392459866686</v>
      </c>
      <c r="K1213" t="n">
        <v>0.7427938467418507</v>
      </c>
      <c r="L1213" t="b">
        <v>0</v>
      </c>
      <c r="M1213" t="b">
        <v>0</v>
      </c>
      <c r="N1213" t="inlineStr">
        <is>
          <t>ref</t>
        </is>
      </c>
      <c r="O1213" t="n">
        <v>50</v>
      </c>
      <c r="P1213" t="n">
        <v>0.003372</v>
      </c>
      <c r="Q1213" t="n">
        <v>100</v>
      </c>
      <c r="R1213" t="n">
        <v>0.0293</v>
      </c>
      <c r="S1213">
        <f>IMAGE("https://mitra.stanford.edu/kundaje/oak/projects/neuro-variants/variant_position/credible/roussos_2024/variant_figures/roussos_2024.adolescence.GLU/rs116311114_count_position.png",4,220,900)</f>
        <v/>
      </c>
      <c r="T1213">
        <f>IMAGE("https://mitra.stanford.edu/kundaje/oak/projects/neuro-variants/variant_position/credible/roussos_2024/variant_figures/roussos_2024.adolescence.GLU/rs116311114_profile_position.png",4,220,900)</f>
        <v/>
      </c>
    </row>
    <row r="1214">
      <c r="A1214" t="inlineStr">
        <is>
          <t>chr14</t>
        </is>
      </c>
      <c r="B1214" t="n">
        <v>71350087</v>
      </c>
      <c r="C1214" t="inlineStr">
        <is>
          <t>C</t>
        </is>
      </c>
      <c r="D1214" t="inlineStr">
        <is>
          <t>A</t>
        </is>
      </c>
      <c r="E1214" t="inlineStr">
        <is>
          <t>rs113102830</t>
        </is>
      </c>
      <c r="F1214" t="n">
        <v>0.000997052444</v>
      </c>
      <c r="G1214" t="n">
        <v>0.8182137483248101</v>
      </c>
      <c r="H1214" t="n">
        <v>0.036364145884457</v>
      </c>
      <c r="I1214" t="n">
        <v>0.0040882088419989</v>
      </c>
      <c r="J1214" t="n">
        <v>0.3429681862671553</v>
      </c>
      <c r="K1214" t="n">
        <v>0.2232693351358044</v>
      </c>
      <c r="L1214" t="b">
        <v>1</v>
      </c>
      <c r="M1214" t="b">
        <v>1</v>
      </c>
      <c r="N1214" t="inlineStr">
        <is>
          <t>alt</t>
        </is>
      </c>
      <c r="O1214" t="n">
        <v>100</v>
      </c>
      <c r="P1214" t="n">
        <v>0.00783</v>
      </c>
      <c r="Q1214" t="n">
        <v>-100</v>
      </c>
      <c r="R1214" t="n">
        <v>0.03308</v>
      </c>
      <c r="S1214">
        <f>IMAGE("https://mitra.stanford.edu/kundaje/oak/projects/neuro-variants/variant_position/credible/roussos_2024/variant_figures/roussos_2024.adolescence.GLU/rs113102830_count_position.png",4,220,900)</f>
        <v/>
      </c>
      <c r="T1214">
        <f>IMAGE("https://mitra.stanford.edu/kundaje/oak/projects/neuro-variants/variant_position/credible/roussos_2024/variant_figures/roussos_2024.adolescence.GLU/rs113102830_profile_position.png",4,220,900)</f>
        <v/>
      </c>
    </row>
    <row r="1215">
      <c r="A1215" t="inlineStr">
        <is>
          <t>chr14</t>
        </is>
      </c>
      <c r="B1215" t="n">
        <v>71357783</v>
      </c>
      <c r="C1215" t="inlineStr">
        <is>
          <t>A</t>
        </is>
      </c>
      <c r="D1215" t="inlineStr">
        <is>
          <t>G</t>
        </is>
      </c>
      <c r="E1215" t="inlineStr">
        <is>
          <t>rs111590846</t>
        </is>
      </c>
      <c r="F1215" t="n">
        <v>0.0530614568</v>
      </c>
      <c r="G1215" t="n">
        <v>0.0552142914885406</v>
      </c>
      <c r="H1215" t="n">
        <v>0.0134392149564043</v>
      </c>
      <c r="I1215" t="n">
        <v>0.2576833252389983</v>
      </c>
      <c r="J1215" t="n">
        <v>0.2211572397139407</v>
      </c>
      <c r="K1215" t="n">
        <v>0.3685933152642838</v>
      </c>
      <c r="L1215" t="b">
        <v>0</v>
      </c>
      <c r="M1215" t="b">
        <v>0</v>
      </c>
      <c r="N1215" t="inlineStr">
        <is>
          <t>alt</t>
        </is>
      </c>
      <c r="O1215" t="n">
        <v>-80</v>
      </c>
      <c r="P1215" t="n">
        <v>0.007088</v>
      </c>
      <c r="Q1215" t="n">
        <v>-100</v>
      </c>
      <c r="R1215" t="n">
        <v>0.10187</v>
      </c>
      <c r="S1215">
        <f>IMAGE("https://mitra.stanford.edu/kundaje/oak/projects/neuro-variants/variant_position/credible/roussos_2024/variant_figures/roussos_2024.adolescence.GLU/rs111590846_count_position.png",4,220,900)</f>
        <v/>
      </c>
      <c r="T1215">
        <f>IMAGE("https://mitra.stanford.edu/kundaje/oak/projects/neuro-variants/variant_position/credible/roussos_2024/variant_figures/roussos_2024.adolescence.GLU/rs111590846_profile_position.png",4,220,900)</f>
        <v/>
      </c>
    </row>
    <row r="1216">
      <c r="A1216" t="inlineStr">
        <is>
          <t>chr14</t>
        </is>
      </c>
      <c r="B1216" t="n">
        <v>71360805</v>
      </c>
      <c r="C1216" t="inlineStr">
        <is>
          <t>C</t>
        </is>
      </c>
      <c r="D1216" t="inlineStr">
        <is>
          <t>G</t>
        </is>
      </c>
      <c r="E1216" t="inlineStr">
        <is>
          <t>rs77942366</t>
        </is>
      </c>
      <c r="F1216" t="n">
        <v>-0.0033253844</v>
      </c>
      <c r="G1216" t="n">
        <v>0.7277245804160756</v>
      </c>
      <c r="H1216" t="n">
        <v>0.010091704373417</v>
      </c>
      <c r="I1216" t="n">
        <v>0.5270013704691732</v>
      </c>
      <c r="J1216" t="n">
        <v>0.0607425823920668</v>
      </c>
      <c r="K1216" t="n">
        <v>0.6670430258854404</v>
      </c>
      <c r="L1216" t="b">
        <v>0</v>
      </c>
      <c r="M1216" t="b">
        <v>0</v>
      </c>
      <c r="N1216" t="inlineStr">
        <is>
          <t>ref</t>
        </is>
      </c>
      <c r="O1216" t="n">
        <v>-60</v>
      </c>
      <c r="P1216" t="n">
        <v>0.004227</v>
      </c>
      <c r="Q1216" t="n">
        <v>-100</v>
      </c>
      <c r="R1216" t="n">
        <v>0.03546</v>
      </c>
      <c r="S1216">
        <f>IMAGE("https://mitra.stanford.edu/kundaje/oak/projects/neuro-variants/variant_position/credible/roussos_2024/variant_figures/roussos_2024.adolescence.GLU/rs77942366_count_position.png",4,220,900)</f>
        <v/>
      </c>
      <c r="T1216">
        <f>IMAGE("https://mitra.stanford.edu/kundaje/oak/projects/neuro-variants/variant_position/credible/roussos_2024/variant_figures/roussos_2024.adolescence.GLU/rs77942366_profile_position.png",4,220,900)</f>
        <v/>
      </c>
    </row>
    <row r="1217">
      <c r="A1217" t="inlineStr">
        <is>
          <t>chr14</t>
        </is>
      </c>
      <c r="B1217" t="n">
        <v>71372567</v>
      </c>
      <c r="C1217" t="inlineStr">
        <is>
          <t>T</t>
        </is>
      </c>
      <c r="D1217" t="inlineStr">
        <is>
          <t>C</t>
        </is>
      </c>
      <c r="E1217" t="inlineStr">
        <is>
          <t>rs76088535</t>
        </is>
      </c>
      <c r="F1217" t="n">
        <v>0.091136277</v>
      </c>
      <c r="G1217" t="n">
        <v>0.0097743584061566</v>
      </c>
      <c r="H1217" t="n">
        <v>0.014299535634874</v>
      </c>
      <c r="I1217" t="n">
        <v>0.1879010968654629</v>
      </c>
      <c r="J1217" t="n">
        <v>0.117811546677526</v>
      </c>
      <c r="K1217" t="n">
        <v>0.5389988192578237</v>
      </c>
      <c r="L1217" t="b">
        <v>1</v>
      </c>
      <c r="M1217" t="b">
        <v>0</v>
      </c>
      <c r="N1217" t="inlineStr">
        <is>
          <t>alt</t>
        </is>
      </c>
      <c r="O1217" t="n">
        <v>-100</v>
      </c>
      <c r="P1217" t="n">
        <v>0.03104</v>
      </c>
      <c r="Q1217" t="n">
        <v>-95</v>
      </c>
      <c r="R1217" t="n">
        <v>0.06710000000000001</v>
      </c>
      <c r="S1217">
        <f>IMAGE("https://mitra.stanford.edu/kundaje/oak/projects/neuro-variants/variant_position/credible/roussos_2024/variant_figures/roussos_2024.adolescence.GLU/rs76088535_count_position.png",4,220,900)</f>
        <v/>
      </c>
      <c r="T1217">
        <f>IMAGE("https://mitra.stanford.edu/kundaje/oak/projects/neuro-variants/variant_position/credible/roussos_2024/variant_figures/roussos_2024.adolescence.GLU/rs76088535_profile_position.png",4,220,900)</f>
        <v/>
      </c>
    </row>
    <row r="1218">
      <c r="A1218" t="inlineStr">
        <is>
          <t>chr14</t>
        </is>
      </c>
      <c r="B1218" t="n">
        <v>71376191</v>
      </c>
      <c r="C1218" t="inlineStr">
        <is>
          <t>A</t>
        </is>
      </c>
      <c r="D1218" t="inlineStr">
        <is>
          <t>G</t>
        </is>
      </c>
      <c r="E1218" t="inlineStr">
        <is>
          <t>rs113124653</t>
        </is>
      </c>
      <c r="F1218" t="n">
        <v>0.0097275081199999</v>
      </c>
      <c r="G1218" t="n">
        <v>0.5045294475758534</v>
      </c>
      <c r="H1218" t="n">
        <v>0.0130771935599743</v>
      </c>
      <c r="I1218" t="n">
        <v>0.2540886217388592</v>
      </c>
      <c r="J1218" t="n">
        <v>0.0047495552650191</v>
      </c>
      <c r="K1218" t="n">
        <v>0.9220535861013222</v>
      </c>
      <c r="L1218" t="b">
        <v>0</v>
      </c>
      <c r="M1218" t="b">
        <v>0</v>
      </c>
      <c r="N1218" t="inlineStr">
        <is>
          <t>alt</t>
        </is>
      </c>
      <c r="O1218" t="n">
        <v>45</v>
      </c>
      <c r="P1218" t="n">
        <v>0.00285</v>
      </c>
      <c r="Q1218" t="n">
        <v>-95</v>
      </c>
      <c r="R1218" t="n">
        <v>0.02502</v>
      </c>
      <c r="S1218">
        <f>IMAGE("https://mitra.stanford.edu/kundaje/oak/projects/neuro-variants/variant_position/credible/roussos_2024/variant_figures/roussos_2024.adolescence.GLU/rs113124653_count_position.png",4,220,900)</f>
        <v/>
      </c>
      <c r="T1218">
        <f>IMAGE("https://mitra.stanford.edu/kundaje/oak/projects/neuro-variants/variant_position/credible/roussos_2024/variant_figures/roussos_2024.adolescence.GLU/rs113124653_profile_position.png",4,220,900)</f>
        <v/>
      </c>
    </row>
    <row r="1219">
      <c r="A1219" t="inlineStr">
        <is>
          <t>chr14</t>
        </is>
      </c>
      <c r="B1219" t="n">
        <v>71377271</v>
      </c>
      <c r="C1219" t="inlineStr">
        <is>
          <t>G</t>
        </is>
      </c>
      <c r="D1219" t="inlineStr">
        <is>
          <t>A</t>
        </is>
      </c>
      <c r="E1219" t="inlineStr">
        <is>
          <t>rs116767752</t>
        </is>
      </c>
      <c r="F1219" t="n">
        <v>0.0288633614</v>
      </c>
      <c r="G1219" t="n">
        <v>0.1948069803163077</v>
      </c>
      <c r="H1219" t="n">
        <v>0.0192591761552869</v>
      </c>
      <c r="I1219" t="n">
        <v>0.0860862980907051</v>
      </c>
      <c r="J1219" t="n">
        <v>0.5787198776889498</v>
      </c>
      <c r="K1219" t="n">
        <v>0.0469416242514758</v>
      </c>
      <c r="L1219" t="b">
        <v>0</v>
      </c>
      <c r="M1219" t="b">
        <v>0</v>
      </c>
      <c r="N1219" t="inlineStr">
        <is>
          <t>alt</t>
        </is>
      </c>
      <c r="O1219" t="n">
        <v>-10</v>
      </c>
      <c r="P1219" t="n">
        <v>0.0009155</v>
      </c>
      <c r="Q1219" t="n">
        <v>-10</v>
      </c>
      <c r="R1219" t="n">
        <v>0.015015</v>
      </c>
      <c r="S1219">
        <f>IMAGE("https://mitra.stanford.edu/kundaje/oak/projects/neuro-variants/variant_position/credible/roussos_2024/variant_figures/roussos_2024.adolescence.GLU/rs116767752_count_position.png",4,220,900)</f>
        <v/>
      </c>
      <c r="T1219">
        <f>IMAGE("https://mitra.stanford.edu/kundaje/oak/projects/neuro-variants/variant_position/credible/roussos_2024/variant_figures/roussos_2024.adolescence.GLU/rs116767752_profile_position.png",4,220,900)</f>
        <v/>
      </c>
    </row>
    <row r="1220">
      <c r="A1220" t="inlineStr">
        <is>
          <t>chr14</t>
        </is>
      </c>
      <c r="B1220" t="n">
        <v>71935714</v>
      </c>
      <c r="C1220" t="inlineStr">
        <is>
          <t>C</t>
        </is>
      </c>
      <c r="D1220" t="inlineStr">
        <is>
          <t>T</t>
        </is>
      </c>
      <c r="E1220" t="inlineStr">
        <is>
          <t>rs71427137</t>
        </is>
      </c>
      <c r="F1220" t="n">
        <v>-0.00594325552</v>
      </c>
      <c r="G1220" t="n">
        <v>0.6956241939475122</v>
      </c>
      <c r="H1220" t="n">
        <v>0.0111661037652841</v>
      </c>
      <c r="I1220" t="n">
        <v>0.39423587838016</v>
      </c>
      <c r="J1220" t="n">
        <v>0.0208843260389651</v>
      </c>
      <c r="K1220" t="n">
        <v>0.8224879793540065</v>
      </c>
      <c r="L1220" t="b">
        <v>0</v>
      </c>
      <c r="M1220" t="b">
        <v>0</v>
      </c>
      <c r="N1220" t="inlineStr">
        <is>
          <t>ref</t>
        </is>
      </c>
      <c r="O1220" t="n">
        <v>-45</v>
      </c>
      <c r="P1220" t="n">
        <v>0.01142</v>
      </c>
      <c r="Q1220" t="n">
        <v>100</v>
      </c>
      <c r="R1220" t="n">
        <v>0.02077</v>
      </c>
      <c r="S1220">
        <f>IMAGE("https://mitra.stanford.edu/kundaje/oak/projects/neuro-variants/variant_position/credible/roussos_2024/variant_figures/roussos_2024.adolescence.GLU/rs71427137_count_position.png",4,220,900)</f>
        <v/>
      </c>
      <c r="T1220">
        <f>IMAGE("https://mitra.stanford.edu/kundaje/oak/projects/neuro-variants/variant_position/credible/roussos_2024/variant_figures/roussos_2024.adolescence.GLU/rs71427137_profile_position.png",4,220,900)</f>
        <v/>
      </c>
    </row>
    <row r="1221">
      <c r="A1221" t="inlineStr">
        <is>
          <t>chr14</t>
        </is>
      </c>
      <c r="B1221" t="n">
        <v>71938968</v>
      </c>
      <c r="C1221" t="inlineStr">
        <is>
          <t>C</t>
        </is>
      </c>
      <c r="D1221" t="inlineStr">
        <is>
          <t>T</t>
        </is>
      </c>
      <c r="E1221" t="inlineStr">
        <is>
          <t>rs2332687</t>
        </is>
      </c>
      <c r="F1221" t="n">
        <v>-0.007311903326</v>
      </c>
      <c r="G1221" t="n">
        <v>0.5438929925114425</v>
      </c>
      <c r="H1221" t="n">
        <v>0.009858889890803999</v>
      </c>
      <c r="I1221" t="n">
        <v>0.5418453577211541</v>
      </c>
      <c r="J1221" t="n">
        <v>0.2773445928085102</v>
      </c>
      <c r="K1221" t="n">
        <v>0.2988501733954546</v>
      </c>
      <c r="L1221" t="b">
        <v>0</v>
      </c>
      <c r="M1221" t="b">
        <v>0</v>
      </c>
      <c r="N1221" t="inlineStr">
        <is>
          <t>ref</t>
        </is>
      </c>
      <c r="O1221" t="n">
        <v>80</v>
      </c>
      <c r="P1221" t="n">
        <v>0.002705</v>
      </c>
      <c r="Q1221" t="n">
        <v>60</v>
      </c>
      <c r="R1221" t="n">
        <v>0.0517</v>
      </c>
      <c r="S1221">
        <f>IMAGE("https://mitra.stanford.edu/kundaje/oak/projects/neuro-variants/variant_position/credible/roussos_2024/variant_figures/roussos_2024.adolescence.GLU/rs2332687_count_position.png",4,220,900)</f>
        <v/>
      </c>
      <c r="T1221">
        <f>IMAGE("https://mitra.stanford.edu/kundaje/oak/projects/neuro-variants/variant_position/credible/roussos_2024/variant_figures/roussos_2024.adolescence.GLU/rs2332687_profile_position.png",4,220,900)</f>
        <v/>
      </c>
    </row>
    <row r="1222">
      <c r="A1222" t="inlineStr">
        <is>
          <t>chr14</t>
        </is>
      </c>
      <c r="B1222" t="n">
        <v>71949502</v>
      </c>
      <c r="C1222" t="inlineStr">
        <is>
          <t>T</t>
        </is>
      </c>
      <c r="D1222" t="inlineStr">
        <is>
          <t>C</t>
        </is>
      </c>
      <c r="E1222" t="inlineStr">
        <is>
          <t>rs2190864</t>
        </is>
      </c>
      <c r="F1222" t="n">
        <v>0.00427792466</v>
      </c>
      <c r="G1222" t="n">
        <v>0.7501067717833371</v>
      </c>
      <c r="H1222" t="n">
        <v>0.02011758606545</v>
      </c>
      <c r="I1222" t="n">
        <v>0.0559109843412316</v>
      </c>
      <c r="J1222" t="n">
        <v>0.0237763536732608</v>
      </c>
      <c r="K1222" t="n">
        <v>0.7994121103570792</v>
      </c>
      <c r="L1222" t="b">
        <v>0</v>
      </c>
      <c r="M1222" t="b">
        <v>0</v>
      </c>
      <c r="N1222" t="inlineStr">
        <is>
          <t>alt</t>
        </is>
      </c>
      <c r="O1222" t="n">
        <v>-25</v>
      </c>
      <c r="P1222" t="n">
        <v>0.0004883</v>
      </c>
      <c r="Q1222" t="n">
        <v>0</v>
      </c>
      <c r="R1222" t="n">
        <v>0</v>
      </c>
      <c r="S1222">
        <f>IMAGE("https://mitra.stanford.edu/kundaje/oak/projects/neuro-variants/variant_position/credible/roussos_2024/variant_figures/roussos_2024.adolescence.GLU/rs2190864_count_position.png",4,220,900)</f>
        <v/>
      </c>
      <c r="T1222">
        <f>IMAGE("https://mitra.stanford.edu/kundaje/oak/projects/neuro-variants/variant_position/credible/roussos_2024/variant_figures/roussos_2024.adolescence.GLU/rs2190864_profile_position.png",4,220,900)</f>
        <v/>
      </c>
    </row>
    <row r="1223">
      <c r="A1223" t="inlineStr">
        <is>
          <t>chr14</t>
        </is>
      </c>
      <c r="B1223" t="n">
        <v>71973898</v>
      </c>
      <c r="C1223" t="inlineStr">
        <is>
          <t>G</t>
        </is>
      </c>
      <c r="D1223" t="inlineStr">
        <is>
          <t>C</t>
        </is>
      </c>
      <c r="E1223" t="inlineStr">
        <is>
          <t>rs2877774</t>
        </is>
      </c>
      <c r="F1223" t="n">
        <v>0.01510959202</v>
      </c>
      <c r="G1223" t="n">
        <v>0.3550424000575229</v>
      </c>
      <c r="H1223" t="n">
        <v>0.0147302818415439</v>
      </c>
      <c r="I1223" t="n">
        <v>0.1936957672229921</v>
      </c>
      <c r="J1223" t="n">
        <v>0.0528938137185559</v>
      </c>
      <c r="K1223" t="n">
        <v>0.6905137407664537</v>
      </c>
      <c r="L1223" t="b">
        <v>0</v>
      </c>
      <c r="M1223" t="b">
        <v>0</v>
      </c>
      <c r="N1223" t="inlineStr">
        <is>
          <t>alt</t>
        </is>
      </c>
      <c r="O1223" t="n">
        <v>-100</v>
      </c>
      <c r="P1223" t="n">
        <v>0.009350000000000001</v>
      </c>
      <c r="Q1223" t="n">
        <v>25</v>
      </c>
      <c r="R1223" t="n">
        <v>0.008789999999999999</v>
      </c>
      <c r="S1223">
        <f>IMAGE("https://mitra.stanford.edu/kundaje/oak/projects/neuro-variants/variant_position/credible/roussos_2024/variant_figures/roussos_2024.adolescence.GLU/rs2877774_count_position.png",4,220,900)</f>
        <v/>
      </c>
      <c r="T1223">
        <f>IMAGE("https://mitra.stanford.edu/kundaje/oak/projects/neuro-variants/variant_position/credible/roussos_2024/variant_figures/roussos_2024.adolescence.GLU/rs2877774_profile_position.png",4,220,900)</f>
        <v/>
      </c>
    </row>
    <row r="1224">
      <c r="A1224" t="inlineStr">
        <is>
          <t>chr14</t>
        </is>
      </c>
      <c r="B1224" t="n">
        <v>71981278</v>
      </c>
      <c r="C1224" t="inlineStr">
        <is>
          <t>C</t>
        </is>
      </c>
      <c r="D1224" t="inlineStr">
        <is>
          <t>T</t>
        </is>
      </c>
      <c r="E1224" t="inlineStr">
        <is>
          <t>rs145192742</t>
        </is>
      </c>
      <c r="F1224" t="n">
        <v>-0.0516941112</v>
      </c>
      <c r="G1224" t="n">
        <v>0.0599850619593451</v>
      </c>
      <c r="H1224" t="n">
        <v>0.0109758687959731</v>
      </c>
      <c r="I1224" t="n">
        <v>0.4137279476829987</v>
      </c>
      <c r="J1224" t="n">
        <v>0.4049653142436648</v>
      </c>
      <c r="K1224" t="n">
        <v>0.1615987390591096</v>
      </c>
      <c r="L1224" t="b">
        <v>0</v>
      </c>
      <c r="M1224" t="b">
        <v>0</v>
      </c>
      <c r="N1224" t="inlineStr">
        <is>
          <t>ref</t>
        </is>
      </c>
      <c r="O1224" t="n">
        <v>-5</v>
      </c>
      <c r="P1224" t="n">
        <v>0.0002594</v>
      </c>
      <c r="Q1224" t="n">
        <v>-55</v>
      </c>
      <c r="R1224" t="n">
        <v>0.03732</v>
      </c>
      <c r="S1224">
        <f>IMAGE("https://mitra.stanford.edu/kundaje/oak/projects/neuro-variants/variant_position/credible/roussos_2024/variant_figures/roussos_2024.adolescence.GLU/rs145192742_count_position.png",4,220,900)</f>
        <v/>
      </c>
      <c r="T1224">
        <f>IMAGE("https://mitra.stanford.edu/kundaje/oak/projects/neuro-variants/variant_position/credible/roussos_2024/variant_figures/roussos_2024.adolescence.GLU/rs145192742_profile_position.png",4,220,900)</f>
        <v/>
      </c>
    </row>
    <row r="1225">
      <c r="A1225" t="inlineStr">
        <is>
          <t>chr14</t>
        </is>
      </c>
      <c r="B1225" t="n">
        <v>84174900</v>
      </c>
      <c r="C1225" t="inlineStr">
        <is>
          <t>T</t>
        </is>
      </c>
      <c r="D1225" t="inlineStr">
        <is>
          <t>C</t>
        </is>
      </c>
      <c r="E1225" t="inlineStr">
        <is>
          <t>rs1779550</t>
        </is>
      </c>
      <c r="F1225" t="n">
        <v>0.07267132580000001</v>
      </c>
      <c r="G1225" t="n">
        <v>0.0185031605626501</v>
      </c>
      <c r="H1225" t="n">
        <v>0.0102727900125849</v>
      </c>
      <c r="I1225" t="n">
        <v>0.5032755878890283</v>
      </c>
      <c r="J1225" t="n">
        <v>0.2300733723414135</v>
      </c>
      <c r="K1225" t="n">
        <v>0.3619725698944237</v>
      </c>
      <c r="L1225" t="b">
        <v>1</v>
      </c>
      <c r="M1225" t="b">
        <v>0</v>
      </c>
      <c r="N1225" t="inlineStr">
        <is>
          <t>alt</t>
        </is>
      </c>
      <c r="O1225" t="n">
        <v>35</v>
      </c>
      <c r="P1225" t="n">
        <v>0.0037</v>
      </c>
      <c r="Q1225" t="n">
        <v>15</v>
      </c>
      <c r="R1225" t="n">
        <v>0.008359999999999999</v>
      </c>
      <c r="S1225">
        <f>IMAGE("https://mitra.stanford.edu/kundaje/oak/projects/neuro-variants/variant_position/credible/roussos_2024/variant_figures/roussos_2024.adolescence.GLU/rs1779550_count_position.png",4,220,900)</f>
        <v/>
      </c>
      <c r="T1225">
        <f>IMAGE("https://mitra.stanford.edu/kundaje/oak/projects/neuro-variants/variant_position/credible/roussos_2024/variant_figures/roussos_2024.adolescence.GLU/rs1779550_profile_position.png",4,220,900)</f>
        <v/>
      </c>
    </row>
    <row r="1226">
      <c r="A1226" t="inlineStr">
        <is>
          <t>chr14</t>
        </is>
      </c>
      <c r="B1226" t="n">
        <v>84176590</v>
      </c>
      <c r="C1226" t="inlineStr">
        <is>
          <t>C</t>
        </is>
      </c>
      <c r="D1226" t="inlineStr">
        <is>
          <t>T</t>
        </is>
      </c>
      <c r="E1226" t="inlineStr">
        <is>
          <t>rs2841157</t>
        </is>
      </c>
      <c r="F1226" t="n">
        <v>-0.0119276356</v>
      </c>
      <c r="G1226" t="n">
        <v>0.4728896955842412</v>
      </c>
      <c r="H1226" t="n">
        <v>0.009173452484013</v>
      </c>
      <c r="I1226" t="n">
        <v>0.6429849542245244</v>
      </c>
      <c r="J1226" t="n">
        <v>0.06614655893006401</v>
      </c>
      <c r="K1226" t="n">
        <v>0.6640203314022017</v>
      </c>
      <c r="L1226" t="b">
        <v>0</v>
      </c>
      <c r="M1226" t="b">
        <v>0</v>
      </c>
      <c r="N1226" t="inlineStr">
        <is>
          <t>ref</t>
        </is>
      </c>
      <c r="O1226" t="n">
        <v>-30</v>
      </c>
      <c r="P1226" t="n">
        <v>0.00885</v>
      </c>
      <c r="Q1226" t="n">
        <v>25</v>
      </c>
      <c r="R1226" t="n">
        <v>0.02316</v>
      </c>
      <c r="S1226">
        <f>IMAGE("https://mitra.stanford.edu/kundaje/oak/projects/neuro-variants/variant_position/credible/roussos_2024/variant_figures/roussos_2024.adolescence.GLU/rs2841157_count_position.png",4,220,900)</f>
        <v/>
      </c>
      <c r="T1226">
        <f>IMAGE("https://mitra.stanford.edu/kundaje/oak/projects/neuro-variants/variant_position/credible/roussos_2024/variant_figures/roussos_2024.adolescence.GLU/rs2841157_profile_position.png",4,220,900)</f>
        <v/>
      </c>
    </row>
    <row r="1227">
      <c r="A1227" t="inlineStr">
        <is>
          <t>chr14</t>
        </is>
      </c>
      <c r="B1227" t="n">
        <v>84185848</v>
      </c>
      <c r="C1227" t="inlineStr">
        <is>
          <t>C</t>
        </is>
      </c>
      <c r="D1227" t="inlineStr">
        <is>
          <t>T</t>
        </is>
      </c>
      <c r="E1227" t="inlineStr">
        <is>
          <t>rs995791</t>
        </is>
      </c>
      <c r="F1227" t="n">
        <v>0.01052778764</v>
      </c>
      <c r="G1227" t="n">
        <v>0.5030300677088045</v>
      </c>
      <c r="H1227" t="n">
        <v>0.0181214240093993</v>
      </c>
      <c r="I1227" t="n">
        <v>0.08347405270417731</v>
      </c>
      <c r="J1227" t="n">
        <v>0.0831529388230418</v>
      </c>
      <c r="K1227" t="n">
        <v>0.6055152524181396</v>
      </c>
      <c r="L1227" t="b">
        <v>0</v>
      </c>
      <c r="M1227" t="b">
        <v>0</v>
      </c>
      <c r="N1227" t="inlineStr">
        <is>
          <t>alt</t>
        </is>
      </c>
      <c r="O1227" t="n">
        <v>-100</v>
      </c>
      <c r="P1227" t="n">
        <v>0.00788</v>
      </c>
      <c r="Q1227" t="n">
        <v>100</v>
      </c>
      <c r="R1227" t="n">
        <v>0.02954</v>
      </c>
      <c r="S1227">
        <f>IMAGE("https://mitra.stanford.edu/kundaje/oak/projects/neuro-variants/variant_position/credible/roussos_2024/variant_figures/roussos_2024.adolescence.GLU/rs995791_count_position.png",4,220,900)</f>
        <v/>
      </c>
      <c r="T1227">
        <f>IMAGE("https://mitra.stanford.edu/kundaje/oak/projects/neuro-variants/variant_position/credible/roussos_2024/variant_figures/roussos_2024.adolescence.GLU/rs995791_profile_position.png",4,220,900)</f>
        <v/>
      </c>
    </row>
    <row r="1228">
      <c r="A1228" t="inlineStr">
        <is>
          <t>chr14</t>
        </is>
      </c>
      <c r="B1228" t="n">
        <v>84185979</v>
      </c>
      <c r="C1228" t="inlineStr">
        <is>
          <t>G</t>
        </is>
      </c>
      <c r="D1228" t="inlineStr">
        <is>
          <t>A</t>
        </is>
      </c>
      <c r="E1228" t="inlineStr">
        <is>
          <t>rs1157827</t>
        </is>
      </c>
      <c r="F1228" t="n">
        <v>-0.013161385928</v>
      </c>
      <c r="G1228" t="n">
        <v>0.4392848707201239</v>
      </c>
      <c r="H1228" t="n">
        <v>0.0102589036090603</v>
      </c>
      <c r="I1228" t="n">
        <v>0.4987140573278047</v>
      </c>
      <c r="J1228" t="n">
        <v>0.0453236741896535</v>
      </c>
      <c r="K1228" t="n">
        <v>0.7169219954172761</v>
      </c>
      <c r="L1228" t="b">
        <v>0</v>
      </c>
      <c r="M1228" t="b">
        <v>0</v>
      </c>
      <c r="N1228" t="inlineStr">
        <is>
          <t>ref</t>
        </is>
      </c>
      <c r="O1228" t="n">
        <v>-90</v>
      </c>
      <c r="P1228" t="n">
        <v>0.0188</v>
      </c>
      <c r="Q1228" t="n">
        <v>-20</v>
      </c>
      <c r="R1228" t="n">
        <v>0.013306</v>
      </c>
      <c r="S1228">
        <f>IMAGE("https://mitra.stanford.edu/kundaje/oak/projects/neuro-variants/variant_position/credible/roussos_2024/variant_figures/roussos_2024.adolescence.GLU/rs1157827_count_position.png",4,220,900)</f>
        <v/>
      </c>
      <c r="T1228">
        <f>IMAGE("https://mitra.stanford.edu/kundaje/oak/projects/neuro-variants/variant_position/credible/roussos_2024/variant_figures/roussos_2024.adolescence.GLU/rs1157827_profile_position.png",4,220,900)</f>
        <v/>
      </c>
    </row>
    <row r="1229">
      <c r="A1229" t="inlineStr">
        <is>
          <t>chr14</t>
        </is>
      </c>
      <c r="B1229" t="n">
        <v>84209066</v>
      </c>
      <c r="C1229" t="inlineStr">
        <is>
          <t>A</t>
        </is>
      </c>
      <c r="D1229" t="inlineStr">
        <is>
          <t>G</t>
        </is>
      </c>
      <c r="E1229" t="inlineStr">
        <is>
          <t>rs67517866</t>
        </is>
      </c>
      <c r="F1229" t="n">
        <v>0.003970709596</v>
      </c>
      <c r="G1229" t="n">
        <v>0.7527608925604663</v>
      </c>
      <c r="H1229" t="n">
        <v>0.017876083392586</v>
      </c>
      <c r="I1229" t="n">
        <v>0.0856004226874761</v>
      </c>
      <c r="J1229" t="n">
        <v>0.093242171592687</v>
      </c>
      <c r="K1229" t="n">
        <v>0.581428238971462</v>
      </c>
      <c r="L1229" t="b">
        <v>0</v>
      </c>
      <c r="M1229" t="b">
        <v>0</v>
      </c>
      <c r="N1229" t="inlineStr">
        <is>
          <t>alt</t>
        </is>
      </c>
      <c r="O1229" t="n">
        <v>30</v>
      </c>
      <c r="P1229" t="n">
        <v>0.002472</v>
      </c>
      <c r="Q1229" t="n">
        <v>90</v>
      </c>
      <c r="R1229" t="n">
        <v>0.04178</v>
      </c>
      <c r="S1229">
        <f>IMAGE("https://mitra.stanford.edu/kundaje/oak/projects/neuro-variants/variant_position/credible/roussos_2024/variant_figures/roussos_2024.adolescence.GLU/rs67517866_count_position.png",4,220,900)</f>
        <v/>
      </c>
      <c r="T1229">
        <f>IMAGE("https://mitra.stanford.edu/kundaje/oak/projects/neuro-variants/variant_position/credible/roussos_2024/variant_figures/roussos_2024.adolescence.GLU/rs67517866_profile_position.png",4,220,900)</f>
        <v/>
      </c>
    </row>
    <row r="1230">
      <c r="A1230" t="inlineStr">
        <is>
          <t>chr14</t>
        </is>
      </c>
      <c r="B1230" t="n">
        <v>84209125</v>
      </c>
      <c r="C1230" t="inlineStr">
        <is>
          <t>C</t>
        </is>
      </c>
      <c r="D1230" t="inlineStr">
        <is>
          <t>T</t>
        </is>
      </c>
      <c r="E1230" t="inlineStr">
        <is>
          <t>rs28637508</t>
        </is>
      </c>
      <c r="F1230" t="n">
        <v>-0.0090419625</v>
      </c>
      <c r="G1230" t="n">
        <v>0.5708883159265278</v>
      </c>
      <c r="H1230" t="n">
        <v>0.0181141989776245</v>
      </c>
      <c r="I1230" t="n">
        <v>0.087258983787596</v>
      </c>
      <c r="J1230" t="n">
        <v>0.08427031313629239</v>
      </c>
      <c r="K1230" t="n">
        <v>0.6048539269922797</v>
      </c>
      <c r="L1230" t="b">
        <v>0</v>
      </c>
      <c r="M1230" t="b">
        <v>0</v>
      </c>
      <c r="N1230" t="inlineStr">
        <is>
          <t>ref</t>
        </is>
      </c>
      <c r="O1230" t="n">
        <v>-30</v>
      </c>
      <c r="P1230" t="n">
        <v>0.00415</v>
      </c>
      <c r="Q1230" t="n">
        <v>35</v>
      </c>
      <c r="R1230" t="n">
        <v>0.02634</v>
      </c>
      <c r="S1230">
        <f>IMAGE("https://mitra.stanford.edu/kundaje/oak/projects/neuro-variants/variant_position/credible/roussos_2024/variant_figures/roussos_2024.adolescence.GLU/rs28637508_count_position.png",4,220,900)</f>
        <v/>
      </c>
      <c r="T1230">
        <f>IMAGE("https://mitra.stanford.edu/kundaje/oak/projects/neuro-variants/variant_position/credible/roussos_2024/variant_figures/roussos_2024.adolescence.GLU/rs28637508_profile_position.png",4,220,900)</f>
        <v/>
      </c>
    </row>
    <row r="1231">
      <c r="A1231" t="inlineStr">
        <is>
          <t>chr14</t>
        </is>
      </c>
      <c r="B1231" t="n">
        <v>84211361</v>
      </c>
      <c r="C1231" t="inlineStr">
        <is>
          <t>C</t>
        </is>
      </c>
      <c r="D1231" t="inlineStr">
        <is>
          <t>A</t>
        </is>
      </c>
      <c r="E1231" t="inlineStr">
        <is>
          <t>rs7145105</t>
        </is>
      </c>
      <c r="F1231" t="n">
        <v>0.002917325484</v>
      </c>
      <c r="G1231" t="n">
        <v>0.8221518556685187</v>
      </c>
      <c r="H1231" t="n">
        <v>0.0296603252890404</v>
      </c>
      <c r="I1231" t="n">
        <v>0.009701365523643601</v>
      </c>
      <c r="J1231" t="n">
        <v>0.0054354116209785</v>
      </c>
      <c r="K1231" t="n">
        <v>0.9135542040060026</v>
      </c>
      <c r="L1231" t="b">
        <v>0</v>
      </c>
      <c r="M1231" t="b">
        <v>0</v>
      </c>
      <c r="N1231" t="inlineStr">
        <is>
          <t>alt</t>
        </is>
      </c>
      <c r="O1231" t="n">
        <v>5</v>
      </c>
      <c r="P1231" t="n">
        <v>0.0005493</v>
      </c>
      <c r="Q1231" t="n">
        <v>-90</v>
      </c>
      <c r="R1231" t="n">
        <v>0.05472</v>
      </c>
      <c r="S1231">
        <f>IMAGE("https://mitra.stanford.edu/kundaje/oak/projects/neuro-variants/variant_position/credible/roussos_2024/variant_figures/roussos_2024.adolescence.GLU/rs7145105_count_position.png",4,220,900)</f>
        <v/>
      </c>
      <c r="T1231">
        <f>IMAGE("https://mitra.stanford.edu/kundaje/oak/projects/neuro-variants/variant_position/credible/roussos_2024/variant_figures/roussos_2024.adolescence.GLU/rs7145105_profile_position.png",4,220,900)</f>
        <v/>
      </c>
    </row>
    <row r="1232">
      <c r="A1232" t="inlineStr">
        <is>
          <t>chr14</t>
        </is>
      </c>
      <c r="B1232" t="n">
        <v>84218958</v>
      </c>
      <c r="C1232" t="inlineStr">
        <is>
          <t>A</t>
        </is>
      </c>
      <c r="D1232" t="inlineStr">
        <is>
          <t>C</t>
        </is>
      </c>
      <c r="E1232" t="inlineStr">
        <is>
          <t>rs12717596</t>
        </is>
      </c>
      <c r="F1232" t="n">
        <v>0.0076129461799999</v>
      </c>
      <c r="G1232" t="n">
        <v>0.5874466166710007</v>
      </c>
      <c r="H1232" t="n">
        <v>0.0063059562763079</v>
      </c>
      <c r="I1232" t="n">
        <v>0.9643152975658672</v>
      </c>
      <c r="J1232" t="n">
        <v>0.06832701059505179</v>
      </c>
      <c r="K1232" t="n">
        <v>0.6439963312388347</v>
      </c>
      <c r="L1232" t="b">
        <v>0</v>
      </c>
      <c r="M1232" t="b">
        <v>0</v>
      </c>
      <c r="N1232" t="inlineStr">
        <is>
          <t>alt</t>
        </is>
      </c>
      <c r="O1232" t="n">
        <v>-100</v>
      </c>
      <c r="P1232" t="n">
        <v>0.008803999999999999</v>
      </c>
      <c r="Q1232" t="n">
        <v>65</v>
      </c>
      <c r="R1232" t="n">
        <v>0.02759</v>
      </c>
      <c r="S1232">
        <f>IMAGE("https://mitra.stanford.edu/kundaje/oak/projects/neuro-variants/variant_position/credible/roussos_2024/variant_figures/roussos_2024.adolescence.GLU/rs12717596_count_position.png",4,220,900)</f>
        <v/>
      </c>
      <c r="T1232">
        <f>IMAGE("https://mitra.stanford.edu/kundaje/oak/projects/neuro-variants/variant_position/credible/roussos_2024/variant_figures/roussos_2024.adolescence.GLU/rs12717596_profile_position.png",4,220,900)</f>
        <v/>
      </c>
    </row>
    <row r="1233">
      <c r="A1233" t="inlineStr">
        <is>
          <t>chr14</t>
        </is>
      </c>
      <c r="B1233" t="n">
        <v>84221664</v>
      </c>
      <c r="C1233" t="inlineStr">
        <is>
          <t>C</t>
        </is>
      </c>
      <c r="D1233" t="inlineStr">
        <is>
          <t>T</t>
        </is>
      </c>
      <c r="E1233" t="inlineStr">
        <is>
          <t>rs7148526</t>
        </is>
      </c>
      <c r="F1233" t="n">
        <v>-0.008812010219999999</v>
      </c>
      <c r="G1233" t="n">
        <v>0.5752494145692277</v>
      </c>
      <c r="H1233" t="n">
        <v>0.008599618394593301</v>
      </c>
      <c r="I1233" t="n">
        <v>0.6990028216562524</v>
      </c>
      <c r="J1233" t="n">
        <v>0.0777146694672467</v>
      </c>
      <c r="K1233" t="n">
        <v>0.6258065374056172</v>
      </c>
      <c r="L1233" t="b">
        <v>0</v>
      </c>
      <c r="M1233" t="b">
        <v>0</v>
      </c>
      <c r="N1233" t="inlineStr">
        <is>
          <t>ref</t>
        </is>
      </c>
      <c r="O1233" t="n">
        <v>100</v>
      </c>
      <c r="P1233" t="n">
        <v>0.00267</v>
      </c>
      <c r="Q1233" t="n">
        <v>65</v>
      </c>
      <c r="R1233" t="n">
        <v>0.07104000000000001</v>
      </c>
      <c r="S1233">
        <f>IMAGE("https://mitra.stanford.edu/kundaje/oak/projects/neuro-variants/variant_position/credible/roussos_2024/variant_figures/roussos_2024.adolescence.GLU/rs7148526_count_position.png",4,220,900)</f>
        <v/>
      </c>
      <c r="T1233">
        <f>IMAGE("https://mitra.stanford.edu/kundaje/oak/projects/neuro-variants/variant_position/credible/roussos_2024/variant_figures/roussos_2024.adolescence.GLU/rs7148526_profile_position.png",4,220,900)</f>
        <v/>
      </c>
    </row>
    <row r="1234">
      <c r="A1234" t="inlineStr">
        <is>
          <t>chr14</t>
        </is>
      </c>
      <c r="B1234" t="n">
        <v>84225088</v>
      </c>
      <c r="C1234" t="inlineStr">
        <is>
          <t>T</t>
        </is>
      </c>
      <c r="D1234" t="inlineStr">
        <is>
          <t>C</t>
        </is>
      </c>
      <c r="E1234" t="inlineStr">
        <is>
          <t>rs3001377</t>
        </is>
      </c>
      <c r="F1234" t="n">
        <v>-0.0009873153</v>
      </c>
      <c r="G1234" t="n">
        <v>0.8484359334479727</v>
      </c>
      <c r="H1234" t="n">
        <v>0.0214234675282303</v>
      </c>
      <c r="I1234" t="n">
        <v>0.0442994133295575</v>
      </c>
      <c r="J1234" t="n">
        <v>0.071417650799094</v>
      </c>
      <c r="K1234" t="n">
        <v>0.6349029709987158</v>
      </c>
      <c r="L1234" t="b">
        <v>0</v>
      </c>
      <c r="M1234" t="b">
        <v>0</v>
      </c>
      <c r="N1234" t="inlineStr">
        <is>
          <t>ref</t>
        </is>
      </c>
      <c r="O1234" t="n">
        <v>-35</v>
      </c>
      <c r="P1234" t="n">
        <v>0.0444</v>
      </c>
      <c r="Q1234" t="n">
        <v>100</v>
      </c>
      <c r="R1234" t="n">
        <v>0.1026</v>
      </c>
      <c r="S1234">
        <f>IMAGE("https://mitra.stanford.edu/kundaje/oak/projects/neuro-variants/variant_position/credible/roussos_2024/variant_figures/roussos_2024.adolescence.GLU/rs3001377_count_position.png",4,220,900)</f>
        <v/>
      </c>
      <c r="T1234">
        <f>IMAGE("https://mitra.stanford.edu/kundaje/oak/projects/neuro-variants/variant_position/credible/roussos_2024/variant_figures/roussos_2024.adolescence.GLU/rs3001377_profile_position.png",4,220,900)</f>
        <v/>
      </c>
    </row>
    <row r="1235">
      <c r="A1235" t="inlineStr">
        <is>
          <t>chr14</t>
        </is>
      </c>
      <c r="B1235" t="n">
        <v>84225401</v>
      </c>
      <c r="C1235" t="inlineStr">
        <is>
          <t>G</t>
        </is>
      </c>
      <c r="D1235" t="inlineStr">
        <is>
          <t>A</t>
        </is>
      </c>
      <c r="E1235" t="inlineStr">
        <is>
          <t>rs77782646</t>
        </is>
      </c>
      <c r="F1235" t="n">
        <v>-0.224485742</v>
      </c>
      <c r="G1235" t="n">
        <v>0.0006796612565293</v>
      </c>
      <c r="H1235" t="n">
        <v>0.0507131972677216</v>
      </c>
      <c r="I1235" t="n">
        <v>0.0015024810394368</v>
      </c>
      <c r="J1235" t="n">
        <v>0.09589986497202981</v>
      </c>
      <c r="K1235" t="n">
        <v>0.5764377919529224</v>
      </c>
      <c r="L1235" t="b">
        <v>1</v>
      </c>
      <c r="M1235" t="b">
        <v>1</v>
      </c>
      <c r="N1235" t="inlineStr">
        <is>
          <t>ref</t>
        </is>
      </c>
      <c r="O1235" t="n">
        <v>-30</v>
      </c>
      <c r="P1235" t="n">
        <v>0.004513</v>
      </c>
      <c r="Q1235" t="n">
        <v>25</v>
      </c>
      <c r="R1235" t="n">
        <v>0.0227</v>
      </c>
      <c r="S1235">
        <f>IMAGE("https://mitra.stanford.edu/kundaje/oak/projects/neuro-variants/variant_position/credible/roussos_2024/variant_figures/roussos_2024.adolescence.GLU/rs77782646_count_position.png",4,220,900)</f>
        <v/>
      </c>
      <c r="T1235">
        <f>IMAGE("https://mitra.stanford.edu/kundaje/oak/projects/neuro-variants/variant_position/credible/roussos_2024/variant_figures/roussos_2024.adolescence.GLU/rs77782646_profile_position.png",4,220,900)</f>
        <v/>
      </c>
    </row>
    <row r="1236">
      <c r="A1236" t="inlineStr">
        <is>
          <t>chr14</t>
        </is>
      </c>
      <c r="B1236" t="n">
        <v>84225694</v>
      </c>
      <c r="C1236" t="inlineStr">
        <is>
          <t>T</t>
        </is>
      </c>
      <c r="D1236" t="inlineStr">
        <is>
          <t>G</t>
        </is>
      </c>
      <c r="E1236" t="inlineStr">
        <is>
          <t>rs8004742</t>
        </is>
      </c>
      <c r="F1236" t="n">
        <v>-0.0112387816</v>
      </c>
      <c r="G1236" t="n">
        <v>0.502480762549424</v>
      </c>
      <c r="H1236" t="n">
        <v>0.0213135146143545</v>
      </c>
      <c r="I1236" t="n">
        <v>0.0435969078643249</v>
      </c>
      <c r="J1236" t="n">
        <v>0.0949368083388701</v>
      </c>
      <c r="K1236" t="n">
        <v>0.577863360435015</v>
      </c>
      <c r="L1236" t="b">
        <v>0</v>
      </c>
      <c r="M1236" t="b">
        <v>0</v>
      </c>
      <c r="N1236" t="inlineStr">
        <is>
          <t>ref</t>
        </is>
      </c>
      <c r="O1236" t="n">
        <v>80</v>
      </c>
      <c r="P1236" t="n">
        <v>0.0125</v>
      </c>
      <c r="Q1236" t="n">
        <v>-90</v>
      </c>
      <c r="R1236" t="n">
        <v>0.0708</v>
      </c>
      <c r="S1236">
        <f>IMAGE("https://mitra.stanford.edu/kundaje/oak/projects/neuro-variants/variant_position/credible/roussos_2024/variant_figures/roussos_2024.adolescence.GLU/rs8004742_count_position.png",4,220,900)</f>
        <v/>
      </c>
      <c r="T1236">
        <f>IMAGE("https://mitra.stanford.edu/kundaje/oak/projects/neuro-variants/variant_position/credible/roussos_2024/variant_figures/roussos_2024.adolescence.GLU/rs8004742_profile_position.png",4,220,900)</f>
        <v/>
      </c>
    </row>
    <row r="1237">
      <c r="A1237" t="inlineStr">
        <is>
          <t>chr14</t>
        </is>
      </c>
      <c r="B1237" t="n">
        <v>84225890</v>
      </c>
      <c r="C1237" t="inlineStr">
        <is>
          <t>A</t>
        </is>
      </c>
      <c r="D1237" t="inlineStr">
        <is>
          <t>G</t>
        </is>
      </c>
      <c r="E1237" t="inlineStr">
        <is>
          <t>rs146120508</t>
        </is>
      </c>
      <c r="F1237" t="n">
        <v>0.0007922519532000001</v>
      </c>
      <c r="G1237" t="n">
        <v>0.8500382770439447</v>
      </c>
      <c r="H1237" t="n">
        <v>0.0213547102722673</v>
      </c>
      <c r="I1237" t="n">
        <v>0.0432935423789334</v>
      </c>
      <c r="J1237" t="n">
        <v>0.1044344900015002</v>
      </c>
      <c r="K1237" t="n">
        <v>0.5577028248778062</v>
      </c>
      <c r="L1237" t="b">
        <v>0</v>
      </c>
      <c r="M1237" t="b">
        <v>0</v>
      </c>
      <c r="N1237" t="inlineStr">
        <is>
          <t>alt</t>
        </is>
      </c>
      <c r="O1237" t="n">
        <v>-45</v>
      </c>
      <c r="P1237" t="n">
        <v>0.00617</v>
      </c>
      <c r="Q1237" t="n">
        <v>-85</v>
      </c>
      <c r="R1237" t="n">
        <v>0.0206</v>
      </c>
      <c r="S1237">
        <f>IMAGE("https://mitra.stanford.edu/kundaje/oak/projects/neuro-variants/variant_position/credible/roussos_2024/variant_figures/roussos_2024.adolescence.GLU/rs146120508_count_position.png",4,220,900)</f>
        <v/>
      </c>
      <c r="T1237">
        <f>IMAGE("https://mitra.stanford.edu/kundaje/oak/projects/neuro-variants/variant_position/credible/roussos_2024/variant_figures/roussos_2024.adolescence.GLU/rs146120508_profile_position.png",4,220,900)</f>
        <v/>
      </c>
    </row>
    <row r="1238">
      <c r="A1238" t="inlineStr">
        <is>
          <t>chr14</t>
        </is>
      </c>
      <c r="B1238" t="n">
        <v>84226209</v>
      </c>
      <c r="C1238" t="inlineStr">
        <is>
          <t>G</t>
        </is>
      </c>
      <c r="D1238" t="inlineStr">
        <is>
          <t>T</t>
        </is>
      </c>
      <c r="E1238" t="inlineStr">
        <is>
          <t>rs8004689</t>
        </is>
      </c>
      <c r="F1238" t="n">
        <v>-0.00447723576</v>
      </c>
      <c r="G1238" t="n">
        <v>0.7705509308247026</v>
      </c>
      <c r="H1238" t="n">
        <v>0.0149188368161156</v>
      </c>
      <c r="I1238" t="n">
        <v>0.165564977812097</v>
      </c>
      <c r="J1238" t="n">
        <v>0.137317015667531</v>
      </c>
      <c r="K1238" t="n">
        <v>0.4943805927836291</v>
      </c>
      <c r="L1238" t="b">
        <v>0</v>
      </c>
      <c r="M1238" t="b">
        <v>0</v>
      </c>
      <c r="N1238" t="inlineStr">
        <is>
          <t>ref</t>
        </is>
      </c>
      <c r="O1238" t="n">
        <v>100</v>
      </c>
      <c r="P1238" t="n">
        <v>0.181</v>
      </c>
      <c r="Q1238" t="n">
        <v>100</v>
      </c>
      <c r="R1238" t="n">
        <v>0.4062</v>
      </c>
      <c r="S1238">
        <f>IMAGE("https://mitra.stanford.edu/kundaje/oak/projects/neuro-variants/variant_position/credible/roussos_2024/variant_figures/roussos_2024.adolescence.GLU/rs8004689_count_position.png",4,220,900)</f>
        <v/>
      </c>
      <c r="T1238">
        <f>IMAGE("https://mitra.stanford.edu/kundaje/oak/projects/neuro-variants/variant_position/credible/roussos_2024/variant_figures/roussos_2024.adolescence.GLU/rs8004689_profile_position.png",4,220,900)</f>
        <v/>
      </c>
    </row>
    <row r="1239">
      <c r="A1239" t="inlineStr">
        <is>
          <t>chr14</t>
        </is>
      </c>
      <c r="B1239" t="n">
        <v>84226409</v>
      </c>
      <c r="C1239" t="inlineStr">
        <is>
          <t>A</t>
        </is>
      </c>
      <c r="D1239" t="inlineStr">
        <is>
          <t>G</t>
        </is>
      </c>
      <c r="E1239" t="inlineStr">
        <is>
          <t>rs184858889</t>
        </is>
      </c>
      <c r="F1239" t="n">
        <v>0.006092598432</v>
      </c>
      <c r="G1239" t="n">
        <v>0.6397976152218914</v>
      </c>
      <c r="H1239" t="n">
        <v>0.0239762707893606</v>
      </c>
      <c r="I1239" t="n">
        <v>0.0253098153054589</v>
      </c>
      <c r="J1239" t="n">
        <v>0.1662072857949146</v>
      </c>
      <c r="K1239" t="n">
        <v>0.4463272054709061</v>
      </c>
      <c r="L1239" t="b">
        <v>0</v>
      </c>
      <c r="M1239" t="b">
        <v>0</v>
      </c>
      <c r="N1239" t="inlineStr">
        <is>
          <t>alt</t>
        </is>
      </c>
      <c r="O1239" t="n">
        <v>55</v>
      </c>
      <c r="P1239" t="n">
        <v>0.00757</v>
      </c>
      <c r="Q1239" t="n">
        <v>25</v>
      </c>
      <c r="R1239" t="n">
        <v>0.02588</v>
      </c>
      <c r="S1239">
        <f>IMAGE("https://mitra.stanford.edu/kundaje/oak/projects/neuro-variants/variant_position/credible/roussos_2024/variant_figures/roussos_2024.adolescence.GLU/rs184858889_count_position.png",4,220,900)</f>
        <v/>
      </c>
      <c r="T1239">
        <f>IMAGE("https://mitra.stanford.edu/kundaje/oak/projects/neuro-variants/variant_position/credible/roussos_2024/variant_figures/roussos_2024.adolescence.GLU/rs184858889_profile_position.png",4,220,900)</f>
        <v/>
      </c>
    </row>
    <row r="1240">
      <c r="A1240" t="inlineStr">
        <is>
          <t>chr14</t>
        </is>
      </c>
      <c r="B1240" t="n">
        <v>84227306</v>
      </c>
      <c r="C1240" t="inlineStr">
        <is>
          <t>T</t>
        </is>
      </c>
      <c r="D1240" t="inlineStr">
        <is>
          <t>G</t>
        </is>
      </c>
      <c r="E1240" t="inlineStr">
        <is>
          <t>rs4144366</t>
        </is>
      </c>
      <c r="F1240" t="n">
        <v>0.0236357976</v>
      </c>
      <c r="G1240" t="n">
        <v>0.2386016091169742</v>
      </c>
      <c r="H1240" t="n">
        <v>0.0114397734089385</v>
      </c>
      <c r="I1240" t="n">
        <v>0.374582404210033</v>
      </c>
      <c r="J1240" t="n">
        <v>0.0328468039808245</v>
      </c>
      <c r="K1240" t="n">
        <v>0.7604924901971852</v>
      </c>
      <c r="L1240" t="b">
        <v>0</v>
      </c>
      <c r="M1240" t="b">
        <v>0</v>
      </c>
      <c r="N1240" t="inlineStr">
        <is>
          <t>alt</t>
        </is>
      </c>
      <c r="O1240" t="n">
        <v>-60</v>
      </c>
      <c r="P1240" t="n">
        <v>0.010025</v>
      </c>
      <c r="Q1240" t="n">
        <v>-90</v>
      </c>
      <c r="R1240" t="n">
        <v>0.01134</v>
      </c>
      <c r="S1240">
        <f>IMAGE("https://mitra.stanford.edu/kundaje/oak/projects/neuro-variants/variant_position/credible/roussos_2024/variant_figures/roussos_2024.adolescence.GLU/rs4144366_count_position.png",4,220,900)</f>
        <v/>
      </c>
      <c r="T1240">
        <f>IMAGE("https://mitra.stanford.edu/kundaje/oak/projects/neuro-variants/variant_position/credible/roussos_2024/variant_figures/roussos_2024.adolescence.GLU/rs4144366_profile_position.png",4,220,900)</f>
        <v/>
      </c>
    </row>
    <row r="1241">
      <c r="A1241" t="inlineStr">
        <is>
          <t>chr14</t>
        </is>
      </c>
      <c r="B1241" t="n">
        <v>84228495</v>
      </c>
      <c r="C1241" t="inlineStr">
        <is>
          <t>A</t>
        </is>
      </c>
      <c r="D1241" t="inlineStr">
        <is>
          <t>G</t>
        </is>
      </c>
      <c r="E1241" t="inlineStr">
        <is>
          <t>rs186989036</t>
        </is>
      </c>
      <c r="F1241" t="n">
        <v>0.0040868716999999</v>
      </c>
      <c r="G1241" t="n">
        <v>0.7022345899940836</v>
      </c>
      <c r="H1241" t="n">
        <v>0.0145030029558644</v>
      </c>
      <c r="I1241" t="n">
        <v>0.1909238881681657</v>
      </c>
      <c r="J1241" t="n">
        <v>0.0654992819941273</v>
      </c>
      <c r="K1241" t="n">
        <v>0.6503763434884275</v>
      </c>
      <c r="L1241" t="b">
        <v>0</v>
      </c>
      <c r="M1241" t="b">
        <v>0</v>
      </c>
      <c r="N1241" t="inlineStr">
        <is>
          <t>alt</t>
        </is>
      </c>
      <c r="O1241" t="n">
        <v>-100</v>
      </c>
      <c r="P1241" t="n">
        <v>0.007736</v>
      </c>
      <c r="Q1241" t="n">
        <v>-50</v>
      </c>
      <c r="R1241" t="n">
        <v>0.0231</v>
      </c>
      <c r="S1241">
        <f>IMAGE("https://mitra.stanford.edu/kundaje/oak/projects/neuro-variants/variant_position/credible/roussos_2024/variant_figures/roussos_2024.adolescence.GLU/rs186989036_count_position.png",4,220,900)</f>
        <v/>
      </c>
      <c r="T1241">
        <f>IMAGE("https://mitra.stanford.edu/kundaje/oak/projects/neuro-variants/variant_position/credible/roussos_2024/variant_figures/roussos_2024.adolescence.GLU/rs186989036_profile_position.png",4,220,900)</f>
        <v/>
      </c>
    </row>
    <row r="1242">
      <c r="A1242" t="inlineStr">
        <is>
          <t>chr14</t>
        </is>
      </c>
      <c r="B1242" t="n">
        <v>84453509</v>
      </c>
      <c r="C1242" t="inlineStr">
        <is>
          <t>A</t>
        </is>
      </c>
      <c r="D1242" t="inlineStr">
        <is>
          <t>G</t>
        </is>
      </c>
      <c r="E1242" t="inlineStr">
        <is>
          <t>rs67378160</t>
        </is>
      </c>
      <c r="F1242" t="n">
        <v>-0.0440476192</v>
      </c>
      <c r="G1242" t="n">
        <v>0.0929841092254238</v>
      </c>
      <c r="H1242" t="n">
        <v>0.0253858493859835</v>
      </c>
      <c r="I1242" t="n">
        <v>0.0197644477439911</v>
      </c>
      <c r="J1242" t="n">
        <v>0.2348886555072122</v>
      </c>
      <c r="K1242" t="n">
        <v>0.3505888582702282</v>
      </c>
      <c r="L1242" t="b">
        <v>1</v>
      </c>
      <c r="M1242" t="b">
        <v>0</v>
      </c>
      <c r="N1242" t="inlineStr">
        <is>
          <t>ref</t>
        </is>
      </c>
      <c r="O1242" t="n">
        <v>100</v>
      </c>
      <c r="P1242" t="n">
        <v>0.04437</v>
      </c>
      <c r="Q1242" t="n">
        <v>60</v>
      </c>
      <c r="R1242" t="n">
        <v>0.10754</v>
      </c>
      <c r="S1242">
        <f>IMAGE("https://mitra.stanford.edu/kundaje/oak/projects/neuro-variants/variant_position/credible/roussos_2024/variant_figures/roussos_2024.adolescence.GLU/rs67378160_count_position.png",4,220,900)</f>
        <v/>
      </c>
      <c r="T1242">
        <f>IMAGE("https://mitra.stanford.edu/kundaje/oak/projects/neuro-variants/variant_position/credible/roussos_2024/variant_figures/roussos_2024.adolescence.GLU/rs67378160_profile_position.png",4,220,900)</f>
        <v/>
      </c>
    </row>
    <row r="1243">
      <c r="A1243" t="inlineStr">
        <is>
          <t>chr14</t>
        </is>
      </c>
      <c r="B1243" t="n">
        <v>93274787</v>
      </c>
      <c r="C1243" t="inlineStr">
        <is>
          <t>A</t>
        </is>
      </c>
      <c r="D1243" t="inlineStr">
        <is>
          <t>C</t>
        </is>
      </c>
      <c r="E1243" t="inlineStr">
        <is>
          <t>rs7146851</t>
        </is>
      </c>
      <c r="F1243" t="n">
        <v>0.00301707706</v>
      </c>
      <c r="G1243" t="n">
        <v>0.7797008995900006</v>
      </c>
      <c r="H1243" t="n">
        <v>0.0149573097426057</v>
      </c>
      <c r="I1243" t="n">
        <v>0.1585756129642835</v>
      </c>
      <c r="J1243" t="n">
        <v>0.0618671010423587</v>
      </c>
      <c r="K1243" t="n">
        <v>0.675927939863197</v>
      </c>
      <c r="L1243" t="b">
        <v>0</v>
      </c>
      <c r="M1243" t="b">
        <v>0</v>
      </c>
      <c r="N1243" t="inlineStr">
        <is>
          <t>alt</t>
        </is>
      </c>
      <c r="O1243" t="n">
        <v>-5</v>
      </c>
      <c r="P1243" t="n">
        <v>0.0006256</v>
      </c>
      <c r="Q1243" t="n">
        <v>-95</v>
      </c>
      <c r="R1243" t="n">
        <v>0.04788</v>
      </c>
      <c r="S1243">
        <f>IMAGE("https://mitra.stanford.edu/kundaje/oak/projects/neuro-variants/variant_position/credible/roussos_2024/variant_figures/roussos_2024.adolescence.GLU/rs7146851_count_position.png",4,220,900)</f>
        <v/>
      </c>
      <c r="T1243">
        <f>IMAGE("https://mitra.stanford.edu/kundaje/oak/projects/neuro-variants/variant_position/credible/roussos_2024/variant_figures/roussos_2024.adolescence.GLU/rs7146851_profile_position.png",4,220,900)</f>
        <v/>
      </c>
    </row>
    <row r="1244">
      <c r="A1244" t="inlineStr">
        <is>
          <t>chr14</t>
        </is>
      </c>
      <c r="B1244" t="n">
        <v>93353198</v>
      </c>
      <c r="C1244" t="inlineStr">
        <is>
          <t>C</t>
        </is>
      </c>
      <c r="D1244" t="inlineStr">
        <is>
          <t>T</t>
        </is>
      </c>
      <c r="E1244" t="inlineStr">
        <is>
          <t>rs17129021</t>
        </is>
      </c>
      <c r="F1244" t="n">
        <v>-0.00338021072</v>
      </c>
      <c r="G1244" t="n">
        <v>0.7869561217728968</v>
      </c>
      <c r="H1244" t="n">
        <v>0.0222642207579694</v>
      </c>
      <c r="I1244" t="n">
        <v>0.036667242278815</v>
      </c>
      <c r="J1244" t="n">
        <v>0.0163805359681647</v>
      </c>
      <c r="K1244" t="n">
        <v>0.8373560704527225</v>
      </c>
      <c r="L1244" t="b">
        <v>0</v>
      </c>
      <c r="M1244" t="b">
        <v>0</v>
      </c>
      <c r="N1244" t="inlineStr">
        <is>
          <t>ref</t>
        </is>
      </c>
      <c r="O1244" t="n">
        <v>100</v>
      </c>
      <c r="P1244" t="n">
        <v>0.00512</v>
      </c>
      <c r="Q1244" t="n">
        <v>100</v>
      </c>
      <c r="R1244" t="n">
        <v>0.02902</v>
      </c>
      <c r="S1244">
        <f>IMAGE("https://mitra.stanford.edu/kundaje/oak/projects/neuro-variants/variant_position/credible/roussos_2024/variant_figures/roussos_2024.adolescence.GLU/rs17129021_count_position.png",4,220,900)</f>
        <v/>
      </c>
      <c r="T1244">
        <f>IMAGE("https://mitra.stanford.edu/kundaje/oak/projects/neuro-variants/variant_position/credible/roussos_2024/variant_figures/roussos_2024.adolescence.GLU/rs17129021_profile_position.png",4,220,900)</f>
        <v/>
      </c>
    </row>
    <row r="1245">
      <c r="A1245" t="inlineStr">
        <is>
          <t>chr14</t>
        </is>
      </c>
      <c r="B1245" t="n">
        <v>93557014</v>
      </c>
      <c r="C1245" t="inlineStr">
        <is>
          <t>G</t>
        </is>
      </c>
      <c r="D1245" t="inlineStr">
        <is>
          <t>T</t>
        </is>
      </c>
      <c r="E1245" t="inlineStr">
        <is>
          <t>rs12591010</t>
        </is>
      </c>
      <c r="F1245" t="n">
        <v>0.00347978848</v>
      </c>
      <c r="G1245" t="n">
        <v>0.7298291705893083</v>
      </c>
      <c r="H1245" t="n">
        <v>0.0066552527330193</v>
      </c>
      <c r="I1245" t="n">
        <v>0.939607580063013</v>
      </c>
      <c r="J1245" t="n">
        <v>0.1794786062827299</v>
      </c>
      <c r="K1245" t="n">
        <v>0.4303240664600681</v>
      </c>
      <c r="L1245" t="b">
        <v>0</v>
      </c>
      <c r="M1245" t="b">
        <v>0</v>
      </c>
      <c r="N1245" t="inlineStr">
        <is>
          <t>alt</t>
        </is>
      </c>
      <c r="O1245" t="n">
        <v>60</v>
      </c>
      <c r="P1245" t="n">
        <v>0.01074</v>
      </c>
      <c r="Q1245" t="n">
        <v>20</v>
      </c>
      <c r="R1245" t="n">
        <v>0.01654</v>
      </c>
      <c r="S1245">
        <f>IMAGE("https://mitra.stanford.edu/kundaje/oak/projects/neuro-variants/variant_position/credible/roussos_2024/variant_figures/roussos_2024.adolescence.GLU/rs12591010_count_position.png",4,220,900)</f>
        <v/>
      </c>
      <c r="T1245">
        <f>IMAGE("https://mitra.stanford.edu/kundaje/oak/projects/neuro-variants/variant_position/credible/roussos_2024/variant_figures/roussos_2024.adolescence.GLU/rs12591010_profile_position.png",4,220,900)</f>
        <v/>
      </c>
    </row>
    <row r="1246">
      <c r="A1246" t="inlineStr">
        <is>
          <t>chr14</t>
        </is>
      </c>
      <c r="B1246" t="n">
        <v>93565719</v>
      </c>
      <c r="C1246" t="inlineStr">
        <is>
          <t>G</t>
        </is>
      </c>
      <c r="D1246" t="inlineStr">
        <is>
          <t>A</t>
        </is>
      </c>
      <c r="E1246" t="inlineStr">
        <is>
          <t>rs942065</t>
        </is>
      </c>
      <c r="F1246" t="n">
        <v>0.000525681376</v>
      </c>
      <c r="G1246" t="n">
        <v>0.8690558805417539</v>
      </c>
      <c r="H1246" t="n">
        <v>0.008050214057681001</v>
      </c>
      <c r="I1246" t="n">
        <v>0.7923492821542301</v>
      </c>
      <c r="J1246" t="n">
        <v>0.3375027684306034</v>
      </c>
      <c r="K1246" t="n">
        <v>0.2300313983337319</v>
      </c>
      <c r="L1246" t="b">
        <v>0</v>
      </c>
      <c r="M1246" t="b">
        <v>0</v>
      </c>
      <c r="N1246" t="inlineStr">
        <is>
          <t>alt</t>
        </is>
      </c>
      <c r="O1246" t="n">
        <v>-95</v>
      </c>
      <c r="P1246" t="n">
        <v>0.01576</v>
      </c>
      <c r="Q1246" t="n">
        <v>35</v>
      </c>
      <c r="R1246" t="n">
        <v>0.01918</v>
      </c>
      <c r="S1246">
        <f>IMAGE("https://mitra.stanford.edu/kundaje/oak/projects/neuro-variants/variant_position/credible/roussos_2024/variant_figures/roussos_2024.adolescence.GLU/rs942065_count_position.png",4,220,900)</f>
        <v/>
      </c>
      <c r="T1246">
        <f>IMAGE("https://mitra.stanford.edu/kundaje/oak/projects/neuro-variants/variant_position/credible/roussos_2024/variant_figures/roussos_2024.adolescence.GLU/rs942065_profile_position.png",4,220,900)</f>
        <v/>
      </c>
    </row>
    <row r="1247">
      <c r="A1247" t="inlineStr">
        <is>
          <t>chr14</t>
        </is>
      </c>
      <c r="B1247" t="n">
        <v>99157759</v>
      </c>
      <c r="C1247" t="inlineStr">
        <is>
          <t>T</t>
        </is>
      </c>
      <c r="D1247" t="inlineStr">
        <is>
          <t>C</t>
        </is>
      </c>
      <c r="E1247" t="inlineStr">
        <is>
          <t>rs947191</t>
        </is>
      </c>
      <c r="F1247" t="n">
        <v>0.098557721</v>
      </c>
      <c r="G1247" t="n">
        <v>0.0088249666534991</v>
      </c>
      <c r="H1247" t="n">
        <v>0.0155935548735517</v>
      </c>
      <c r="I1247" t="n">
        <v>0.1482567266877535</v>
      </c>
      <c r="J1247" t="n">
        <v>0.4357974151788585</v>
      </c>
      <c r="K1247" t="n">
        <v>0.1359323341497642</v>
      </c>
      <c r="L1247" t="b">
        <v>1</v>
      </c>
      <c r="M1247" t="b">
        <v>1</v>
      </c>
      <c r="N1247" t="inlineStr">
        <is>
          <t>alt</t>
        </is>
      </c>
      <c r="O1247" t="n">
        <v>85</v>
      </c>
      <c r="P1247" t="n">
        <v>0.001915</v>
      </c>
      <c r="Q1247" t="n">
        <v>-80</v>
      </c>
      <c r="R1247" t="n">
        <v>0.0498</v>
      </c>
      <c r="S1247">
        <f>IMAGE("https://mitra.stanford.edu/kundaje/oak/projects/neuro-variants/variant_position/credible/roussos_2024/variant_figures/roussos_2024.adolescence.GLU/rs947191_count_position.png",4,220,900)</f>
        <v/>
      </c>
      <c r="T1247">
        <f>IMAGE("https://mitra.stanford.edu/kundaje/oak/projects/neuro-variants/variant_position/credible/roussos_2024/variant_figures/roussos_2024.adolescence.GLU/rs947191_profile_position.png",4,220,900)</f>
        <v/>
      </c>
    </row>
    <row r="1248">
      <c r="A1248" t="inlineStr">
        <is>
          <t>chr14</t>
        </is>
      </c>
      <c r="B1248" t="n">
        <v>99220196</v>
      </c>
      <c r="C1248" t="inlineStr">
        <is>
          <t>A</t>
        </is>
      </c>
      <c r="D1248" t="inlineStr">
        <is>
          <t>G</t>
        </is>
      </c>
      <c r="E1248" t="inlineStr">
        <is>
          <t>rs2614457</t>
        </is>
      </c>
      <c r="F1248" t="n">
        <v>0.00699852074</v>
      </c>
      <c r="G1248" t="n">
        <v>0.6035220415533493</v>
      </c>
      <c r="H1248" t="n">
        <v>0.0276926064826782</v>
      </c>
      <c r="I1248" t="n">
        <v>0.0129877721571331</v>
      </c>
      <c r="J1248" t="n">
        <v>0.3149209479106386</v>
      </c>
      <c r="K1248" t="n">
        <v>0.2538945138520951</v>
      </c>
      <c r="L1248" t="b">
        <v>1</v>
      </c>
      <c r="M1248" t="b">
        <v>0</v>
      </c>
      <c r="N1248" t="inlineStr">
        <is>
          <t>alt</t>
        </is>
      </c>
      <c r="O1248" t="n">
        <v>-35</v>
      </c>
      <c r="P1248" t="n">
        <v>0.001583</v>
      </c>
      <c r="Q1248" t="n">
        <v>35</v>
      </c>
      <c r="R1248" t="n">
        <v>0.02893</v>
      </c>
      <c r="S1248">
        <f>IMAGE("https://mitra.stanford.edu/kundaje/oak/projects/neuro-variants/variant_position/credible/roussos_2024/variant_figures/roussos_2024.adolescence.GLU/rs2614457_count_position.png",4,220,900)</f>
        <v/>
      </c>
      <c r="T1248">
        <f>IMAGE("https://mitra.stanford.edu/kundaje/oak/projects/neuro-variants/variant_position/credible/roussos_2024/variant_figures/roussos_2024.adolescence.GLU/rs2614457_profile_position.png",4,220,900)</f>
        <v/>
      </c>
    </row>
    <row r="1249">
      <c r="A1249" t="inlineStr">
        <is>
          <t>chr14</t>
        </is>
      </c>
      <c r="B1249" t="n">
        <v>99220277</v>
      </c>
      <c r="C1249" t="inlineStr">
        <is>
          <t>A</t>
        </is>
      </c>
      <c r="D1249" t="inlineStr">
        <is>
          <t>G</t>
        </is>
      </c>
      <c r="E1249" t="inlineStr">
        <is>
          <t>rs2693695</t>
        </is>
      </c>
      <c r="F1249" t="n">
        <v>0.01218884642</v>
      </c>
      <c r="G1249" t="n">
        <v>0.4405765400268556</v>
      </c>
      <c r="H1249" t="n">
        <v>0.0087066618697547</v>
      </c>
      <c r="I1249" t="n">
        <v>0.7030935968772409</v>
      </c>
      <c r="J1249" t="n">
        <v>0.3066863850369005</v>
      </c>
      <c r="K1249" t="n">
        <v>0.2631086099521916</v>
      </c>
      <c r="L1249" t="b">
        <v>0</v>
      </c>
      <c r="M1249" t="b">
        <v>0</v>
      </c>
      <c r="N1249" t="inlineStr">
        <is>
          <t>alt</t>
        </is>
      </c>
      <c r="O1249" t="n">
        <v>-95</v>
      </c>
      <c r="P1249" t="n">
        <v>0.005737</v>
      </c>
      <c r="Q1249" t="n">
        <v>-40</v>
      </c>
      <c r="R1249" t="n">
        <v>0.0481</v>
      </c>
      <c r="S1249">
        <f>IMAGE("https://mitra.stanford.edu/kundaje/oak/projects/neuro-variants/variant_position/credible/roussos_2024/variant_figures/roussos_2024.adolescence.GLU/rs2693695_count_position.png",4,220,900)</f>
        <v/>
      </c>
      <c r="T1249">
        <f>IMAGE("https://mitra.stanford.edu/kundaje/oak/projects/neuro-variants/variant_position/credible/roussos_2024/variant_figures/roussos_2024.adolescence.GLU/rs2693695_profile_position.png",4,220,900)</f>
        <v/>
      </c>
    </row>
    <row r="1250">
      <c r="A1250" t="inlineStr">
        <is>
          <t>chr14</t>
        </is>
      </c>
      <c r="B1250" t="n">
        <v>99246457</v>
      </c>
      <c r="C1250" t="inlineStr">
        <is>
          <t>C</t>
        </is>
      </c>
      <c r="D1250" t="inlineStr">
        <is>
          <t>T</t>
        </is>
      </c>
      <c r="E1250" t="inlineStr">
        <is>
          <t>rs12895055</t>
        </is>
      </c>
      <c r="F1250" t="n">
        <v>-0.0287953678</v>
      </c>
      <c r="G1250" t="n">
        <v>0.1962483055884586</v>
      </c>
      <c r="H1250" t="n">
        <v>0.0173594949572779</v>
      </c>
      <c r="I1250" t="n">
        <v>0.0956724951172816</v>
      </c>
      <c r="J1250" t="n">
        <v>0.8407641582899315</v>
      </c>
      <c r="K1250" t="n">
        <v>0.0059947681273865</v>
      </c>
      <c r="L1250" t="b">
        <v>0</v>
      </c>
      <c r="M1250" t="b">
        <v>0</v>
      </c>
      <c r="N1250" t="inlineStr">
        <is>
          <t>ref</t>
        </is>
      </c>
      <c r="O1250" t="n">
        <v>5</v>
      </c>
      <c r="P1250" t="n">
        <v>0.0006104</v>
      </c>
      <c r="Q1250" t="n">
        <v>30</v>
      </c>
      <c r="R1250" t="n">
        <v>0.02576</v>
      </c>
      <c r="S1250">
        <f>IMAGE("https://mitra.stanford.edu/kundaje/oak/projects/neuro-variants/variant_position/credible/roussos_2024/variant_figures/roussos_2024.adolescence.GLU/rs12895055_count_position.png",4,220,900)</f>
        <v/>
      </c>
      <c r="T1250">
        <f>IMAGE("https://mitra.stanford.edu/kundaje/oak/projects/neuro-variants/variant_position/credible/roussos_2024/variant_figures/roussos_2024.adolescence.GLU/rs12895055_profile_position.png",4,220,900)</f>
        <v/>
      </c>
    </row>
    <row r="1251">
      <c r="A1251" t="inlineStr">
        <is>
          <t>chr14</t>
        </is>
      </c>
      <c r="B1251" t="n">
        <v>102833379</v>
      </c>
      <c r="C1251" t="inlineStr">
        <is>
          <t>T</t>
        </is>
      </c>
      <c r="D1251" t="inlineStr">
        <is>
          <t>C</t>
        </is>
      </c>
      <c r="E1251" t="inlineStr">
        <is>
          <t>rs7147531</t>
        </is>
      </c>
      <c r="F1251" t="n">
        <v>0.005143584</v>
      </c>
      <c r="G1251" t="n">
        <v>0.6846965447278555</v>
      </c>
      <c r="H1251" t="n">
        <v>0.0180512273778434</v>
      </c>
      <c r="I1251" t="n">
        <v>0.084770466028516</v>
      </c>
      <c r="J1251" t="n">
        <v>0.2261411292339127</v>
      </c>
      <c r="K1251" t="n">
        <v>0.3633809351375193</v>
      </c>
      <c r="L1251" t="b">
        <v>0</v>
      </c>
      <c r="M1251" t="b">
        <v>0</v>
      </c>
      <c r="N1251" t="inlineStr">
        <is>
          <t>alt</t>
        </is>
      </c>
      <c r="O1251" t="n">
        <v>-60</v>
      </c>
      <c r="P1251" t="n">
        <v>0.003334</v>
      </c>
      <c r="Q1251" t="n">
        <v>95</v>
      </c>
      <c r="R1251" t="n">
        <v>0.05463</v>
      </c>
      <c r="S1251">
        <f>IMAGE("https://mitra.stanford.edu/kundaje/oak/projects/neuro-variants/variant_position/credible/roussos_2024/variant_figures/roussos_2024.adolescence.GLU/rs7147531_count_position.png",4,220,900)</f>
        <v/>
      </c>
      <c r="T1251">
        <f>IMAGE("https://mitra.stanford.edu/kundaje/oak/projects/neuro-variants/variant_position/credible/roussos_2024/variant_figures/roussos_2024.adolescence.GLU/rs7147531_profile_position.png",4,220,900)</f>
        <v/>
      </c>
    </row>
    <row r="1252">
      <c r="A1252" t="inlineStr">
        <is>
          <t>chr14</t>
        </is>
      </c>
      <c r="B1252" t="n">
        <v>102839878</v>
      </c>
      <c r="C1252" t="inlineStr">
        <is>
          <t>G</t>
        </is>
      </c>
      <c r="D1252" t="inlineStr">
        <is>
          <t>A</t>
        </is>
      </c>
      <c r="E1252" t="inlineStr">
        <is>
          <t>rs2403102</t>
        </is>
      </c>
      <c r="F1252" t="n">
        <v>-0.0151513188</v>
      </c>
      <c r="G1252" t="n">
        <v>0.3890168195289688</v>
      </c>
      <c r="H1252" t="n">
        <v>0.0091272234107601</v>
      </c>
      <c r="I1252" t="n">
        <v>0.6324455893892011</v>
      </c>
      <c r="J1252" t="n">
        <v>0.118351658557844</v>
      </c>
      <c r="K1252" t="n">
        <v>0.5380643904815362</v>
      </c>
      <c r="L1252" t="b">
        <v>0</v>
      </c>
      <c r="M1252" t="b">
        <v>0</v>
      </c>
      <c r="N1252" t="inlineStr">
        <is>
          <t>ref</t>
        </is>
      </c>
      <c r="O1252" t="n">
        <v>-90</v>
      </c>
      <c r="P1252" t="n">
        <v>0.003447</v>
      </c>
      <c r="Q1252" t="n">
        <v>100</v>
      </c>
      <c r="R1252" t="n">
        <v>0.1052</v>
      </c>
      <c r="S1252">
        <f>IMAGE("https://mitra.stanford.edu/kundaje/oak/projects/neuro-variants/variant_position/credible/roussos_2024/variant_figures/roussos_2024.adolescence.GLU/rs2403102_count_position.png",4,220,900)</f>
        <v/>
      </c>
      <c r="T1252">
        <f>IMAGE("https://mitra.stanford.edu/kundaje/oak/projects/neuro-variants/variant_position/credible/roussos_2024/variant_figures/roussos_2024.adolescence.GLU/rs2403102_profile_position.png",4,220,900)</f>
        <v/>
      </c>
    </row>
    <row r="1253">
      <c r="A1253" t="inlineStr">
        <is>
          <t>chr14</t>
        </is>
      </c>
      <c r="B1253" t="n">
        <v>102875712</v>
      </c>
      <c r="C1253" t="inlineStr">
        <is>
          <t>T</t>
        </is>
      </c>
      <c r="D1253" t="inlineStr">
        <is>
          <t>C</t>
        </is>
      </c>
      <c r="E1253" t="inlineStr">
        <is>
          <t>rs1131877</t>
        </is>
      </c>
      <c r="F1253" t="n">
        <v>-0.00103779608</v>
      </c>
      <c r="G1253" t="n">
        <v>0.1881020245339185</v>
      </c>
      <c r="H1253" t="n">
        <v>0.0170417442389123</v>
      </c>
      <c r="I1253" t="n">
        <v>0.1362327940149468</v>
      </c>
      <c r="J1253" t="n">
        <v>0.1206006958584278</v>
      </c>
      <c r="K1253" t="n">
        <v>0.5274916726526083</v>
      </c>
      <c r="L1253" t="b">
        <v>0</v>
      </c>
      <c r="M1253" t="b">
        <v>0</v>
      </c>
      <c r="N1253" t="inlineStr">
        <is>
          <t>ref</t>
        </is>
      </c>
      <c r="O1253" t="n">
        <v>-100</v>
      </c>
      <c r="P1253" t="n">
        <v>0.003557</v>
      </c>
      <c r="Q1253" t="n">
        <v>100</v>
      </c>
      <c r="R1253" t="n">
        <v>0.09014999999999999</v>
      </c>
      <c r="S1253">
        <f>IMAGE("https://mitra.stanford.edu/kundaje/oak/projects/neuro-variants/variant_position/credible/roussos_2024/variant_figures/roussos_2024.adolescence.GLU/rs1131877_count_position.png",4,220,900)</f>
        <v/>
      </c>
      <c r="T1253">
        <f>IMAGE("https://mitra.stanford.edu/kundaje/oak/projects/neuro-variants/variant_position/credible/roussos_2024/variant_figures/roussos_2024.adolescence.GLU/rs1131877_profile_position.png",4,220,900)</f>
        <v/>
      </c>
    </row>
    <row r="1254">
      <c r="A1254" t="inlineStr">
        <is>
          <t>chr14</t>
        </is>
      </c>
      <c r="B1254" t="n">
        <v>103303151</v>
      </c>
      <c r="C1254" t="inlineStr">
        <is>
          <t>C</t>
        </is>
      </c>
      <c r="D1254" t="inlineStr">
        <is>
          <t>G</t>
        </is>
      </c>
      <c r="E1254" t="inlineStr">
        <is>
          <t>rs8007609</t>
        </is>
      </c>
      <c r="F1254" t="n">
        <v>-0.0338735233999999</v>
      </c>
      <c r="G1254" t="n">
        <v>0.151946798685749</v>
      </c>
      <c r="H1254" t="n">
        <v>0.017376696763319</v>
      </c>
      <c r="I1254" t="n">
        <v>0.100028951458767</v>
      </c>
      <c r="J1254" t="n">
        <v>0.0798251066292303</v>
      </c>
      <c r="K1254" t="n">
        <v>0.617181299798783</v>
      </c>
      <c r="L1254" t="b">
        <v>0</v>
      </c>
      <c r="M1254" t="b">
        <v>0</v>
      </c>
      <c r="N1254" t="inlineStr">
        <is>
          <t>ref</t>
        </is>
      </c>
      <c r="O1254" t="n">
        <v>-65</v>
      </c>
      <c r="P1254" t="n">
        <v>0.010376</v>
      </c>
      <c r="Q1254" t="n">
        <v>-80</v>
      </c>
      <c r="R1254" t="n">
        <v>0.09064</v>
      </c>
      <c r="S1254">
        <f>IMAGE("https://mitra.stanford.edu/kundaje/oak/projects/neuro-variants/variant_position/credible/roussos_2024/variant_figures/roussos_2024.adolescence.GLU/rs8007609_count_position.png",4,220,900)</f>
        <v/>
      </c>
      <c r="T1254">
        <f>IMAGE("https://mitra.stanford.edu/kundaje/oak/projects/neuro-variants/variant_position/credible/roussos_2024/variant_figures/roussos_2024.adolescence.GLU/rs8007609_profile_position.png",4,220,900)</f>
        <v/>
      </c>
    </row>
    <row r="1255">
      <c r="A1255" t="inlineStr">
        <is>
          <t>chr14</t>
        </is>
      </c>
      <c r="B1255" t="n">
        <v>103303723</v>
      </c>
      <c r="C1255" t="inlineStr">
        <is>
          <t>A</t>
        </is>
      </c>
      <c r="D1255" t="inlineStr">
        <is>
          <t>C</t>
        </is>
      </c>
      <c r="E1255" t="inlineStr">
        <is>
          <t>rs58026845</t>
        </is>
      </c>
      <c r="F1255" t="n">
        <v>0.0151779748999999</v>
      </c>
      <c r="G1255" t="n">
        <v>0.3644906914824494</v>
      </c>
      <c r="H1255" t="n">
        <v>0.0072360436930965</v>
      </c>
      <c r="I1255" t="n">
        <v>0.8882121213401281</v>
      </c>
      <c r="J1255" t="n">
        <v>0.0430003357838408</v>
      </c>
      <c r="K1255" t="n">
        <v>0.7263354981514049</v>
      </c>
      <c r="L1255" t="b">
        <v>0</v>
      </c>
      <c r="M1255" t="b">
        <v>0</v>
      </c>
      <c r="N1255" t="inlineStr">
        <is>
          <t>alt</t>
        </is>
      </c>
      <c r="O1255" t="n">
        <v>55</v>
      </c>
      <c r="P1255" t="n">
        <v>0.06619999999999999</v>
      </c>
      <c r="Q1255" t="n">
        <v>-45</v>
      </c>
      <c r="R1255" t="n">
        <v>0.004364</v>
      </c>
      <c r="S1255">
        <f>IMAGE("https://mitra.stanford.edu/kundaje/oak/projects/neuro-variants/variant_position/credible/roussos_2024/variant_figures/roussos_2024.adolescence.GLU/rs58026845_count_position.png",4,220,900)</f>
        <v/>
      </c>
      <c r="T1255">
        <f>IMAGE("https://mitra.stanford.edu/kundaje/oak/projects/neuro-variants/variant_position/credible/roussos_2024/variant_figures/roussos_2024.adolescence.GLU/rs58026845_profile_position.png",4,220,900)</f>
        <v/>
      </c>
    </row>
    <row r="1256">
      <c r="A1256" t="inlineStr">
        <is>
          <t>chr14</t>
        </is>
      </c>
      <c r="B1256" t="n">
        <v>103304973</v>
      </c>
      <c r="C1256" t="inlineStr">
        <is>
          <t>C</t>
        </is>
      </c>
      <c r="D1256" t="inlineStr">
        <is>
          <t>T</t>
        </is>
      </c>
      <c r="E1256" t="inlineStr">
        <is>
          <t>rs8008665</t>
        </is>
      </c>
      <c r="F1256" t="n">
        <v>-0.093058749</v>
      </c>
      <c r="G1256" t="n">
        <v>0.0098070647347907</v>
      </c>
      <c r="H1256" t="n">
        <v>0.0142780342763831</v>
      </c>
      <c r="I1256" t="n">
        <v>0.1964819104315545</v>
      </c>
      <c r="J1256" t="n">
        <v>0.1190603767923355</v>
      </c>
      <c r="K1256" t="n">
        <v>0.5248339277400865</v>
      </c>
      <c r="L1256" t="b">
        <v>1</v>
      </c>
      <c r="M1256" t="b">
        <v>1</v>
      </c>
      <c r="N1256" t="inlineStr">
        <is>
          <t>ref</t>
        </is>
      </c>
      <c r="O1256" t="n">
        <v>-40</v>
      </c>
      <c r="P1256" t="n">
        <v>0.003601</v>
      </c>
      <c r="Q1256" t="n">
        <v>15</v>
      </c>
      <c r="R1256" t="n">
        <v>0.009094</v>
      </c>
      <c r="S1256">
        <f>IMAGE("https://mitra.stanford.edu/kundaje/oak/projects/neuro-variants/variant_position/credible/roussos_2024/variant_figures/roussos_2024.adolescence.GLU/rs8008665_count_position.png",4,220,900)</f>
        <v/>
      </c>
      <c r="T1256">
        <f>IMAGE("https://mitra.stanford.edu/kundaje/oak/projects/neuro-variants/variant_position/credible/roussos_2024/variant_figures/roussos_2024.adolescence.GLU/rs8008665_profile_position.png",4,220,900)</f>
        <v/>
      </c>
    </row>
    <row r="1257">
      <c r="A1257" t="inlineStr">
        <is>
          <t>chr14</t>
        </is>
      </c>
      <c r="B1257" t="n">
        <v>103309178</v>
      </c>
      <c r="C1257" t="inlineStr">
        <is>
          <t>C</t>
        </is>
      </c>
      <c r="D1257" t="inlineStr">
        <is>
          <t>G</t>
        </is>
      </c>
      <c r="E1257" t="inlineStr">
        <is>
          <t>rs17101455</t>
        </is>
      </c>
      <c r="F1257" t="n">
        <v>0.0285924512</v>
      </c>
      <c r="G1257" t="n">
        <v>0.1875974373526698</v>
      </c>
      <c r="H1257" t="n">
        <v>0.0102068265540344</v>
      </c>
      <c r="I1257" t="n">
        <v>0.5054646160587332</v>
      </c>
      <c r="J1257" t="n">
        <v>0.3433139721799515</v>
      </c>
      <c r="K1257" t="n">
        <v>0.2230813214968842</v>
      </c>
      <c r="L1257" t="b">
        <v>0</v>
      </c>
      <c r="M1257" t="b">
        <v>0</v>
      </c>
      <c r="N1257" t="inlineStr">
        <is>
          <t>alt</t>
        </is>
      </c>
      <c r="O1257" t="n">
        <v>100</v>
      </c>
      <c r="P1257" t="n">
        <v>0.006153</v>
      </c>
      <c r="Q1257" t="n">
        <v>45</v>
      </c>
      <c r="R1257" t="n">
        <v>0.0603</v>
      </c>
      <c r="S1257">
        <f>IMAGE("https://mitra.stanford.edu/kundaje/oak/projects/neuro-variants/variant_position/credible/roussos_2024/variant_figures/roussos_2024.adolescence.GLU/rs17101455_count_position.png",4,220,900)</f>
        <v/>
      </c>
      <c r="T1257">
        <f>IMAGE("https://mitra.stanford.edu/kundaje/oak/projects/neuro-variants/variant_position/credible/roussos_2024/variant_figures/roussos_2024.adolescence.GLU/rs17101455_profile_position.png",4,220,900)</f>
        <v/>
      </c>
    </row>
    <row r="1258">
      <c r="A1258" t="inlineStr">
        <is>
          <t>chr14</t>
        </is>
      </c>
      <c r="B1258" t="n">
        <v>103312029</v>
      </c>
      <c r="C1258" t="inlineStr">
        <is>
          <t>C</t>
        </is>
      </c>
      <c r="D1258" t="inlineStr">
        <is>
          <t>T</t>
        </is>
      </c>
      <c r="E1258" t="inlineStr">
        <is>
          <t>rs7145682</t>
        </is>
      </c>
      <c r="F1258" t="n">
        <v>-0.0330081262</v>
      </c>
      <c r="G1258" t="n">
        <v>0.1602555366373669</v>
      </c>
      <c r="H1258" t="n">
        <v>0.0071083825214815</v>
      </c>
      <c r="I1258" t="n">
        <v>0.8967164815794202</v>
      </c>
      <c r="J1258" t="n">
        <v>0.5180530252695201</v>
      </c>
      <c r="K1258" t="n">
        <v>0.075682260622057</v>
      </c>
      <c r="L1258" t="b">
        <v>0</v>
      </c>
      <c r="M1258" t="b">
        <v>0</v>
      </c>
      <c r="N1258" t="inlineStr">
        <is>
          <t>ref</t>
        </is>
      </c>
      <c r="O1258" t="n">
        <v>-95</v>
      </c>
      <c r="P1258" t="n">
        <v>0.002636</v>
      </c>
      <c r="Q1258" t="n">
        <v>-100</v>
      </c>
      <c r="R1258" t="n">
        <v>0.1353</v>
      </c>
      <c r="S1258">
        <f>IMAGE("https://mitra.stanford.edu/kundaje/oak/projects/neuro-variants/variant_position/credible/roussos_2024/variant_figures/roussos_2024.adolescence.GLU/rs7145682_count_position.png",4,220,900)</f>
        <v/>
      </c>
      <c r="T1258">
        <f>IMAGE("https://mitra.stanford.edu/kundaje/oak/projects/neuro-variants/variant_position/credible/roussos_2024/variant_figures/roussos_2024.adolescence.GLU/rs7145682_profile_position.png",4,220,900)</f>
        <v/>
      </c>
    </row>
    <row r="1259">
      <c r="A1259" t="inlineStr">
        <is>
          <t>chr14</t>
        </is>
      </c>
      <c r="B1259" t="n">
        <v>103315762</v>
      </c>
      <c r="C1259" t="inlineStr">
        <is>
          <t>C</t>
        </is>
      </c>
      <c r="D1259" t="inlineStr">
        <is>
          <t>G</t>
        </is>
      </c>
      <c r="E1259" t="inlineStr">
        <is>
          <t>rs7150297</t>
        </is>
      </c>
      <c r="F1259" t="n">
        <v>-0.00754810974</v>
      </c>
      <c r="G1259" t="n">
        <v>0.6220822555418781</v>
      </c>
      <c r="H1259" t="n">
        <v>0.0069660705574057</v>
      </c>
      <c r="I1259" t="n">
        <v>0.9164347321656706</v>
      </c>
      <c r="J1259" t="n">
        <v>0.5028055811560966</v>
      </c>
      <c r="K1259" t="n">
        <v>0.0875383295028837</v>
      </c>
      <c r="L1259" t="b">
        <v>0</v>
      </c>
      <c r="M1259" t="b">
        <v>0</v>
      </c>
      <c r="N1259" t="inlineStr">
        <is>
          <t>ref</t>
        </is>
      </c>
      <c r="O1259" t="n">
        <v>100</v>
      </c>
      <c r="P1259" t="n">
        <v>0.005257</v>
      </c>
      <c r="Q1259" t="n">
        <v>40</v>
      </c>
      <c r="R1259" t="n">
        <v>0.03973</v>
      </c>
      <c r="S1259">
        <f>IMAGE("https://mitra.stanford.edu/kundaje/oak/projects/neuro-variants/variant_position/credible/roussos_2024/variant_figures/roussos_2024.adolescence.GLU/rs7150297_count_position.png",4,220,900)</f>
        <v/>
      </c>
      <c r="T1259">
        <f>IMAGE("https://mitra.stanford.edu/kundaje/oak/projects/neuro-variants/variant_position/credible/roussos_2024/variant_figures/roussos_2024.adolescence.GLU/rs7150297_profile_position.png",4,220,900)</f>
        <v/>
      </c>
    </row>
    <row r="1260">
      <c r="A1260" t="inlineStr">
        <is>
          <t>chr14</t>
        </is>
      </c>
      <c r="B1260" t="n">
        <v>103315839</v>
      </c>
      <c r="C1260" t="inlineStr">
        <is>
          <t>C</t>
        </is>
      </c>
      <c r="D1260" t="inlineStr">
        <is>
          <t>A</t>
        </is>
      </c>
      <c r="E1260" t="inlineStr">
        <is>
          <t>rs72708820</t>
        </is>
      </c>
      <c r="F1260" t="n">
        <v>-0.00863874666</v>
      </c>
      <c r="G1260" t="n">
        <v>0.5913869431879955</v>
      </c>
      <c r="H1260" t="n">
        <v>0.0081420030512518</v>
      </c>
      <c r="I1260" t="n">
        <v>0.785575939108053</v>
      </c>
      <c r="J1260" t="n">
        <v>0.5021140093305041</v>
      </c>
      <c r="K1260" t="n">
        <v>0.08788015761940809</v>
      </c>
      <c r="L1260" t="b">
        <v>0</v>
      </c>
      <c r="M1260" t="b">
        <v>0</v>
      </c>
      <c r="N1260" t="inlineStr">
        <is>
          <t>ref</t>
        </is>
      </c>
      <c r="O1260" t="n">
        <v>55</v>
      </c>
      <c r="P1260" t="n">
        <v>0.005783</v>
      </c>
      <c r="Q1260" t="n">
        <v>-40</v>
      </c>
      <c r="R1260" t="n">
        <v>0.06097</v>
      </c>
      <c r="S1260">
        <f>IMAGE("https://mitra.stanford.edu/kundaje/oak/projects/neuro-variants/variant_position/credible/roussos_2024/variant_figures/roussos_2024.adolescence.GLU/rs72708820_count_position.png",4,220,900)</f>
        <v/>
      </c>
      <c r="T1260">
        <f>IMAGE("https://mitra.stanford.edu/kundaje/oak/projects/neuro-variants/variant_position/credible/roussos_2024/variant_figures/roussos_2024.adolescence.GLU/rs72708820_profile_position.png",4,220,900)</f>
        <v/>
      </c>
    </row>
    <row r="1261">
      <c r="A1261" t="inlineStr">
        <is>
          <t>chr14</t>
        </is>
      </c>
      <c r="B1261" t="n">
        <v>103320219</v>
      </c>
      <c r="C1261" t="inlineStr">
        <is>
          <t>G</t>
        </is>
      </c>
      <c r="D1261" t="inlineStr">
        <is>
          <t>A</t>
        </is>
      </c>
      <c r="E1261" t="inlineStr">
        <is>
          <t>rs11850831</t>
        </is>
      </c>
      <c r="F1261" t="n">
        <v>-0.0372312054</v>
      </c>
      <c r="G1261" t="n">
        <v>0.132247702719863</v>
      </c>
      <c r="H1261" t="n">
        <v>0.0064988561383851</v>
      </c>
      <c r="I1261" t="n">
        <v>0.9523422100804122</v>
      </c>
      <c r="J1261" t="n">
        <v>0.1118788891984767</v>
      </c>
      <c r="K1261" t="n">
        <v>0.5587728395390237</v>
      </c>
      <c r="L1261" t="b">
        <v>0</v>
      </c>
      <c r="M1261" t="b">
        <v>0</v>
      </c>
      <c r="N1261" t="inlineStr">
        <is>
          <t>ref</t>
        </is>
      </c>
      <c r="O1261" t="n">
        <v>-95</v>
      </c>
      <c r="P1261" t="n">
        <v>0.00434</v>
      </c>
      <c r="Q1261" t="n">
        <v>-80</v>
      </c>
      <c r="R1261" t="n">
        <v>0.02917</v>
      </c>
      <c r="S1261">
        <f>IMAGE("https://mitra.stanford.edu/kundaje/oak/projects/neuro-variants/variant_position/credible/roussos_2024/variant_figures/roussos_2024.adolescence.GLU/rs11850831_count_position.png",4,220,900)</f>
        <v/>
      </c>
      <c r="T1261">
        <f>IMAGE("https://mitra.stanford.edu/kundaje/oak/projects/neuro-variants/variant_position/credible/roussos_2024/variant_figures/roussos_2024.adolescence.GLU/rs11850831_profile_position.png",4,220,900)</f>
        <v/>
      </c>
    </row>
    <row r="1262">
      <c r="A1262" t="inlineStr">
        <is>
          <t>chr14</t>
        </is>
      </c>
      <c r="B1262" t="n">
        <v>103330758</v>
      </c>
      <c r="C1262" t="inlineStr">
        <is>
          <t>A</t>
        </is>
      </c>
      <c r="D1262" t="inlineStr">
        <is>
          <t>G</t>
        </is>
      </c>
      <c r="E1262" t="inlineStr">
        <is>
          <t>rs8007383</t>
        </is>
      </c>
      <c r="F1262" t="n">
        <v>-0.009222219473999999</v>
      </c>
      <c r="G1262" t="n">
        <v>0.5874918489063283</v>
      </c>
      <c r="H1262" t="n">
        <v>0.0111144468472494</v>
      </c>
      <c r="I1262" t="n">
        <v>0.4175147459918711</v>
      </c>
      <c r="J1262" t="n">
        <v>0.1294496717177129</v>
      </c>
      <c r="K1262" t="n">
        <v>0.5162099180713229</v>
      </c>
      <c r="L1262" t="b">
        <v>0</v>
      </c>
      <c r="M1262" t="b">
        <v>0</v>
      </c>
      <c r="N1262" t="inlineStr">
        <is>
          <t>ref</t>
        </is>
      </c>
      <c r="O1262" t="n">
        <v>-100</v>
      </c>
      <c r="P1262" t="n">
        <v>0.01059</v>
      </c>
      <c r="Q1262" t="n">
        <v>75</v>
      </c>
      <c r="R1262" t="n">
        <v>0.0439</v>
      </c>
      <c r="S1262">
        <f>IMAGE("https://mitra.stanford.edu/kundaje/oak/projects/neuro-variants/variant_position/credible/roussos_2024/variant_figures/roussos_2024.adolescence.GLU/rs8007383_count_position.png",4,220,900)</f>
        <v/>
      </c>
      <c r="T1262">
        <f>IMAGE("https://mitra.stanford.edu/kundaje/oak/projects/neuro-variants/variant_position/credible/roussos_2024/variant_figures/roussos_2024.adolescence.GLU/rs8007383_profile_position.png",4,220,900)</f>
        <v/>
      </c>
    </row>
    <row r="1263">
      <c r="A1263" t="inlineStr">
        <is>
          <t>chr14</t>
        </is>
      </c>
      <c r="B1263" t="n">
        <v>103345983</v>
      </c>
      <c r="C1263" t="inlineStr">
        <is>
          <t>G</t>
        </is>
      </c>
      <c r="D1263" t="inlineStr">
        <is>
          <t>T</t>
        </is>
      </c>
      <c r="E1263" t="inlineStr">
        <is>
          <t>rs12432904</t>
        </is>
      </c>
      <c r="F1263" t="n">
        <v>0.01186375304</v>
      </c>
      <c r="G1263" t="n">
        <v>0.4692161375148053</v>
      </c>
      <c r="H1263" t="n">
        <v>0.0110867558543413</v>
      </c>
      <c r="I1263" t="n">
        <v>0.427126345191551</v>
      </c>
      <c r="J1263" t="n">
        <v>0.2057240428374448</v>
      </c>
      <c r="K1263" t="n">
        <v>0.3934460976457297</v>
      </c>
      <c r="L1263" t="b">
        <v>0</v>
      </c>
      <c r="M1263" t="b">
        <v>0</v>
      </c>
      <c r="N1263" t="inlineStr">
        <is>
          <t>alt</t>
        </is>
      </c>
      <c r="O1263" t="n">
        <v>-30</v>
      </c>
      <c r="P1263" t="n">
        <v>0.003906</v>
      </c>
      <c r="Q1263" t="n">
        <v>-10</v>
      </c>
      <c r="R1263" t="n">
        <v>0.02849</v>
      </c>
      <c r="S1263">
        <f>IMAGE("https://mitra.stanford.edu/kundaje/oak/projects/neuro-variants/variant_position/credible/roussos_2024/variant_figures/roussos_2024.adolescence.GLU/rs12432904_count_position.png",4,220,900)</f>
        <v/>
      </c>
      <c r="T1263">
        <f>IMAGE("https://mitra.stanford.edu/kundaje/oak/projects/neuro-variants/variant_position/credible/roussos_2024/variant_figures/roussos_2024.adolescence.GLU/rs12432904_profile_position.png",4,220,900)</f>
        <v/>
      </c>
    </row>
    <row r="1264">
      <c r="A1264" t="inlineStr">
        <is>
          <t>chr14</t>
        </is>
      </c>
      <c r="B1264" t="n">
        <v>103568955</v>
      </c>
      <c r="C1264" t="inlineStr">
        <is>
          <t>G</t>
        </is>
      </c>
      <c r="D1264" t="inlineStr">
        <is>
          <t>A</t>
        </is>
      </c>
      <c r="E1264" t="inlineStr">
        <is>
          <t>rs12894729</t>
        </is>
      </c>
      <c r="F1264" t="n">
        <v>-0.075646192</v>
      </c>
      <c r="G1264" t="n">
        <v>0.0185477147961096</v>
      </c>
      <c r="H1264" t="n">
        <v>0.015333038454226</v>
      </c>
      <c r="I1264" t="n">
        <v>0.1535146724918724</v>
      </c>
      <c r="J1264" t="n">
        <v>0.3683505869072879</v>
      </c>
      <c r="K1264" t="n">
        <v>0.1973247911873933</v>
      </c>
      <c r="L1264" t="b">
        <v>1</v>
      </c>
      <c r="M1264" t="b">
        <v>0</v>
      </c>
      <c r="N1264" t="inlineStr">
        <is>
          <t>ref</t>
        </is>
      </c>
      <c r="O1264" t="n">
        <v>-95</v>
      </c>
      <c r="P1264" t="n">
        <v>0.0056</v>
      </c>
      <c r="Q1264" t="n">
        <v>90</v>
      </c>
      <c r="R1264" t="n">
        <v>0.1351</v>
      </c>
      <c r="S1264">
        <f>IMAGE("https://mitra.stanford.edu/kundaje/oak/projects/neuro-variants/variant_position/credible/roussos_2024/variant_figures/roussos_2024.adolescence.GLU/rs12894729_count_position.png",4,220,900)</f>
        <v/>
      </c>
      <c r="T1264">
        <f>IMAGE("https://mitra.stanford.edu/kundaje/oak/projects/neuro-variants/variant_position/credible/roussos_2024/variant_figures/roussos_2024.adolescence.GLU/rs12894729_profile_position.png",4,220,900)</f>
        <v/>
      </c>
    </row>
    <row r="1265">
      <c r="A1265" t="inlineStr">
        <is>
          <t>chr14</t>
        </is>
      </c>
      <c r="B1265" t="n">
        <v>103573728</v>
      </c>
      <c r="C1265" t="inlineStr">
        <is>
          <t>T</t>
        </is>
      </c>
      <c r="D1265" t="inlineStr">
        <is>
          <t>C</t>
        </is>
      </c>
      <c r="E1265" t="inlineStr">
        <is>
          <t>rs10431750</t>
        </is>
      </c>
      <c r="F1265" t="n">
        <v>-0.00146786804</v>
      </c>
      <c r="G1265" t="n">
        <v>0.8467794957952175</v>
      </c>
      <c r="H1265" t="n">
        <v>0.0239325588188886</v>
      </c>
      <c r="I1265" t="n">
        <v>0.0253747734409488</v>
      </c>
      <c r="J1265" t="n">
        <v>0.1230040508391023</v>
      </c>
      <c r="K1265" t="n">
        <v>0.5333525261169957</v>
      </c>
      <c r="L1265" t="b">
        <v>0</v>
      </c>
      <c r="M1265" t="b">
        <v>0</v>
      </c>
      <c r="N1265" t="inlineStr">
        <is>
          <t>ref</t>
        </is>
      </c>
      <c r="O1265" t="n">
        <v>-70</v>
      </c>
      <c r="P1265" t="n">
        <v>0.003586</v>
      </c>
      <c r="Q1265" t="n">
        <v>20</v>
      </c>
      <c r="R1265" t="n">
        <v>0.02734</v>
      </c>
      <c r="S1265">
        <f>IMAGE("https://mitra.stanford.edu/kundaje/oak/projects/neuro-variants/variant_position/credible/roussos_2024/variant_figures/roussos_2024.adolescence.GLU/rs10431750_count_position.png",4,220,900)</f>
        <v/>
      </c>
      <c r="T1265">
        <f>IMAGE("https://mitra.stanford.edu/kundaje/oak/projects/neuro-variants/variant_position/credible/roussos_2024/variant_figures/roussos_2024.adolescence.GLU/rs10431750_profile_position.png",4,220,900)</f>
        <v/>
      </c>
    </row>
    <row r="1266">
      <c r="A1266" t="inlineStr">
        <is>
          <t>chr14</t>
        </is>
      </c>
      <c r="B1266" t="n">
        <v>103580255</v>
      </c>
      <c r="C1266" t="inlineStr">
        <is>
          <t>A</t>
        </is>
      </c>
      <c r="D1266" t="inlineStr">
        <is>
          <t>T</t>
        </is>
      </c>
      <c r="E1266" t="inlineStr">
        <is>
          <t>rs71417868</t>
        </is>
      </c>
      <c r="F1266" t="n">
        <v>-0.0011703647692</v>
      </c>
      <c r="G1266" t="n">
        <v>0.9193355615903562</v>
      </c>
      <c r="H1266" t="n">
        <v>0.020120196584264</v>
      </c>
      <c r="I1266" t="n">
        <v>0.0571044250702365</v>
      </c>
      <c r="J1266" t="n">
        <v>0.1121418008015946</v>
      </c>
      <c r="K1266" t="n">
        <v>0.5547118498380139</v>
      </c>
      <c r="L1266" t="b">
        <v>0</v>
      </c>
      <c r="M1266" t="b">
        <v>0</v>
      </c>
      <c r="N1266" t="inlineStr">
        <is>
          <t>ref</t>
        </is>
      </c>
      <c r="O1266" t="n">
        <v>100</v>
      </c>
      <c r="P1266" t="n">
        <v>0.003723</v>
      </c>
      <c r="Q1266" t="n">
        <v>-80</v>
      </c>
      <c r="R1266" t="n">
        <v>0.05682</v>
      </c>
      <c r="S1266">
        <f>IMAGE("https://mitra.stanford.edu/kundaje/oak/projects/neuro-variants/variant_position/credible/roussos_2024/variant_figures/roussos_2024.adolescence.GLU/rs71417868_count_position.png",4,220,900)</f>
        <v/>
      </c>
      <c r="T1266">
        <f>IMAGE("https://mitra.stanford.edu/kundaje/oak/projects/neuro-variants/variant_position/credible/roussos_2024/variant_figures/roussos_2024.adolescence.GLU/rs71417868_profile_position.png",4,220,900)</f>
        <v/>
      </c>
    </row>
    <row r="1267">
      <c r="A1267" t="inlineStr">
        <is>
          <t>chr14</t>
        </is>
      </c>
      <c r="B1267" t="n">
        <v>103593729</v>
      </c>
      <c r="C1267" t="inlineStr">
        <is>
          <t>A</t>
        </is>
      </c>
      <c r="D1267" t="inlineStr">
        <is>
          <t>T</t>
        </is>
      </c>
      <c r="E1267" t="inlineStr">
        <is>
          <t>rs67899457</t>
        </is>
      </c>
      <c r="F1267" t="n">
        <v>-0.0121472705599999</v>
      </c>
      <c r="G1267" t="n">
        <v>0.458997913856081</v>
      </c>
      <c r="H1267" t="n">
        <v>0.0079614397867259</v>
      </c>
      <c r="I1267" t="n">
        <v>0.7897837582554037</v>
      </c>
      <c r="J1267" t="n">
        <v>0.2403583599459887</v>
      </c>
      <c r="K1267" t="n">
        <v>0.3471961465027077</v>
      </c>
      <c r="L1267" t="b">
        <v>0</v>
      </c>
      <c r="M1267" t="b">
        <v>0</v>
      </c>
      <c r="N1267" t="inlineStr">
        <is>
          <t>ref</t>
        </is>
      </c>
      <c r="O1267" t="n">
        <v>-70</v>
      </c>
      <c r="P1267" t="n">
        <v>0.01755</v>
      </c>
      <c r="Q1267" t="n">
        <v>40</v>
      </c>
      <c r="R1267" t="n">
        <v>0.04187</v>
      </c>
      <c r="S1267">
        <f>IMAGE("https://mitra.stanford.edu/kundaje/oak/projects/neuro-variants/variant_position/credible/roussos_2024/variant_figures/roussos_2024.adolescence.GLU/rs67899457_count_position.png",4,220,900)</f>
        <v/>
      </c>
      <c r="T1267">
        <f>IMAGE("https://mitra.stanford.edu/kundaje/oak/projects/neuro-variants/variant_position/credible/roussos_2024/variant_figures/roussos_2024.adolescence.GLU/rs67899457_profile_position.png",4,220,900)</f>
        <v/>
      </c>
    </row>
    <row r="1268">
      <c r="A1268" t="inlineStr">
        <is>
          <t>chr14</t>
        </is>
      </c>
      <c r="B1268" t="n">
        <v>103723520</v>
      </c>
      <c r="C1268" t="inlineStr">
        <is>
          <t>G</t>
        </is>
      </c>
      <c r="D1268" t="inlineStr">
        <is>
          <t>A</t>
        </is>
      </c>
      <c r="E1268" t="inlineStr">
        <is>
          <t>rs56168984</t>
        </is>
      </c>
      <c r="F1268" t="n">
        <v>-0.0365300424</v>
      </c>
      <c r="G1268" t="n">
        <v>0.1311136103862827</v>
      </c>
      <c r="H1268" t="n">
        <v>0.0119460381517431</v>
      </c>
      <c r="I1268" t="n">
        <v>0.3119680118119367</v>
      </c>
      <c r="J1268" t="n">
        <v>0.5711911753148866</v>
      </c>
      <c r="K1268" t="n">
        <v>0.0495544279592653</v>
      </c>
      <c r="L1268" t="b">
        <v>0</v>
      </c>
      <c r="M1268" t="b">
        <v>0</v>
      </c>
      <c r="N1268" t="inlineStr">
        <is>
          <t>ref</t>
        </is>
      </c>
      <c r="O1268" t="n">
        <v>100</v>
      </c>
      <c r="P1268" t="n">
        <v>0.003658</v>
      </c>
      <c r="Q1268" t="n">
        <v>-100</v>
      </c>
      <c r="R1268" t="n">
        <v>0.08276</v>
      </c>
      <c r="S1268">
        <f>IMAGE("https://mitra.stanford.edu/kundaje/oak/projects/neuro-variants/variant_position/credible/roussos_2024/variant_figures/roussos_2024.adolescence.GLU/rs56168984_count_position.png",4,220,900)</f>
        <v/>
      </c>
      <c r="T1268">
        <f>IMAGE("https://mitra.stanford.edu/kundaje/oak/projects/neuro-variants/variant_position/credible/roussos_2024/variant_figures/roussos_2024.adolescence.GLU/rs56168984_profile_position.png",4,220,900)</f>
        <v/>
      </c>
    </row>
    <row r="1269">
      <c r="A1269" t="inlineStr">
        <is>
          <t>chr14</t>
        </is>
      </c>
      <c r="B1269" t="n">
        <v>103767290</v>
      </c>
      <c r="C1269" t="inlineStr">
        <is>
          <t>G</t>
        </is>
      </c>
      <c r="D1269" t="inlineStr">
        <is>
          <t>C</t>
        </is>
      </c>
      <c r="E1269" t="inlineStr">
        <is>
          <t>rs12878682</t>
        </is>
      </c>
      <c r="F1269" t="n">
        <v>0.06527074839999999</v>
      </c>
      <c r="G1269" t="n">
        <v>0.0288350360898627</v>
      </c>
      <c r="H1269" t="n">
        <v>0.0117028130348543</v>
      </c>
      <c r="I1269" t="n">
        <v>0.3525577463484116</v>
      </c>
      <c r="J1269" t="n">
        <v>0.1352480156603867</v>
      </c>
      <c r="K1269" t="n">
        <v>0.5013250206097779</v>
      </c>
      <c r="L1269" t="b">
        <v>0</v>
      </c>
      <c r="M1269" t="b">
        <v>0</v>
      </c>
      <c r="N1269" t="inlineStr">
        <is>
          <t>alt</t>
        </is>
      </c>
      <c r="O1269" t="n">
        <v>-30</v>
      </c>
      <c r="P1269" t="n">
        <v>0.00145</v>
      </c>
      <c r="Q1269" t="n">
        <v>95</v>
      </c>
      <c r="R1269" t="n">
        <v>0.0692</v>
      </c>
      <c r="S1269">
        <f>IMAGE("https://mitra.stanford.edu/kundaje/oak/projects/neuro-variants/variant_position/credible/roussos_2024/variant_figures/roussos_2024.adolescence.GLU/rs12878682_count_position.png",4,220,900)</f>
        <v/>
      </c>
      <c r="T1269">
        <f>IMAGE("https://mitra.stanford.edu/kundaje/oak/projects/neuro-variants/variant_position/credible/roussos_2024/variant_figures/roussos_2024.adolescence.GLU/rs12878682_profile_position.png",4,220,900)</f>
        <v/>
      </c>
    </row>
    <row r="1270">
      <c r="A1270" t="inlineStr">
        <is>
          <t>chr14</t>
        </is>
      </c>
      <c r="B1270" t="n">
        <v>103772310</v>
      </c>
      <c r="C1270" t="inlineStr">
        <is>
          <t>T</t>
        </is>
      </c>
      <c r="D1270" t="inlineStr">
        <is>
          <t>C</t>
        </is>
      </c>
      <c r="E1270" t="inlineStr">
        <is>
          <t>rs12888002</t>
        </is>
      </c>
      <c r="F1270" t="n">
        <v>0.009555162799999999</v>
      </c>
      <c r="G1270" t="n">
        <v>0.5136137557631404</v>
      </c>
      <c r="H1270" t="n">
        <v>0.0117648004192798</v>
      </c>
      <c r="I1270" t="n">
        <v>0.3459915053382377</v>
      </c>
      <c r="J1270" t="n">
        <v>0.0105293239313857</v>
      </c>
      <c r="K1270" t="n">
        <v>0.8752648076155146</v>
      </c>
      <c r="L1270" t="b">
        <v>0</v>
      </c>
      <c r="M1270" t="b">
        <v>0</v>
      </c>
      <c r="N1270" t="inlineStr">
        <is>
          <t>alt</t>
        </is>
      </c>
      <c r="O1270" t="n">
        <v>95</v>
      </c>
      <c r="P1270" t="n">
        <v>0.00185</v>
      </c>
      <c r="Q1270" t="n">
        <v>-100</v>
      </c>
      <c r="R1270" t="n">
        <v>0.04907</v>
      </c>
      <c r="S1270">
        <f>IMAGE("https://mitra.stanford.edu/kundaje/oak/projects/neuro-variants/variant_position/credible/roussos_2024/variant_figures/roussos_2024.adolescence.GLU/rs12888002_count_position.png",4,220,900)</f>
        <v/>
      </c>
      <c r="T1270">
        <f>IMAGE("https://mitra.stanford.edu/kundaje/oak/projects/neuro-variants/variant_position/credible/roussos_2024/variant_figures/roussos_2024.adolescence.GLU/rs12888002_profile_position.png",4,220,900)</f>
        <v/>
      </c>
    </row>
    <row r="1271">
      <c r="A1271" t="inlineStr">
        <is>
          <t>chr14</t>
        </is>
      </c>
      <c r="B1271" t="n">
        <v>103787716</v>
      </c>
      <c r="C1271" t="inlineStr">
        <is>
          <t>A</t>
        </is>
      </c>
      <c r="D1271" t="inlineStr">
        <is>
          <t>G</t>
        </is>
      </c>
      <c r="E1271" t="inlineStr">
        <is>
          <t>rs66509671</t>
        </is>
      </c>
      <c r="F1271" t="n">
        <v>-0.0007017374799999</v>
      </c>
      <c r="G1271" t="n">
        <v>0.6863631817548125</v>
      </c>
      <c r="H1271" t="n">
        <v>0.009578982645925899</v>
      </c>
      <c r="I1271" t="n">
        <v>0.5800783383808404</v>
      </c>
      <c r="J1271" t="n">
        <v>0.2092347700595123</v>
      </c>
      <c r="K1271" t="n">
        <v>0.388440531592568</v>
      </c>
      <c r="L1271" t="b">
        <v>0</v>
      </c>
      <c r="M1271" t="b">
        <v>0</v>
      </c>
      <c r="N1271" t="inlineStr">
        <is>
          <t>ref</t>
        </is>
      </c>
      <c r="O1271" t="n">
        <v>-80</v>
      </c>
      <c r="P1271" t="n">
        <v>0.003525</v>
      </c>
      <c r="Q1271" t="n">
        <v>100</v>
      </c>
      <c r="R1271" t="n">
        <v>0.083</v>
      </c>
      <c r="S1271">
        <f>IMAGE("https://mitra.stanford.edu/kundaje/oak/projects/neuro-variants/variant_position/credible/roussos_2024/variant_figures/roussos_2024.adolescence.GLU/rs66509671_count_position.png",4,220,900)</f>
        <v/>
      </c>
      <c r="T1271">
        <f>IMAGE("https://mitra.stanford.edu/kundaje/oak/projects/neuro-variants/variant_position/credible/roussos_2024/variant_figures/roussos_2024.adolescence.GLU/rs66509671_profile_position.png",4,220,900)</f>
        <v/>
      </c>
    </row>
    <row r="1272">
      <c r="A1272" t="inlineStr">
        <is>
          <t>chr14</t>
        </is>
      </c>
      <c r="B1272" t="n">
        <v>103788746</v>
      </c>
      <c r="C1272" t="inlineStr">
        <is>
          <t>G</t>
        </is>
      </c>
      <c r="D1272" t="inlineStr">
        <is>
          <t>A</t>
        </is>
      </c>
      <c r="E1272" t="inlineStr">
        <is>
          <t>rs11160762</t>
        </is>
      </c>
      <c r="F1272" t="n">
        <v>-0.0835532712</v>
      </c>
      <c r="G1272" t="n">
        <v>0.0215431632945891</v>
      </c>
      <c r="H1272" t="n">
        <v>0.033608482909961</v>
      </c>
      <c r="I1272" t="n">
        <v>0.0075174342154903</v>
      </c>
      <c r="J1272" t="n">
        <v>0.214228661651342</v>
      </c>
      <c r="K1272" t="n">
        <v>0.3795397305533486</v>
      </c>
      <c r="L1272" t="b">
        <v>1</v>
      </c>
      <c r="M1272" t="b">
        <v>1</v>
      </c>
      <c r="N1272" t="inlineStr">
        <is>
          <t>ref</t>
        </is>
      </c>
      <c r="O1272" t="n">
        <v>40</v>
      </c>
      <c r="P1272" t="n">
        <v>0.002167</v>
      </c>
      <c r="Q1272" t="n">
        <v>-85</v>
      </c>
      <c r="R1272" t="n">
        <v>0.03625</v>
      </c>
      <c r="S1272">
        <f>IMAGE("https://mitra.stanford.edu/kundaje/oak/projects/neuro-variants/variant_position/credible/roussos_2024/variant_figures/roussos_2024.adolescence.GLU/rs11160762_count_position.png",4,220,900)</f>
        <v/>
      </c>
      <c r="T1272">
        <f>IMAGE("https://mitra.stanford.edu/kundaje/oak/projects/neuro-variants/variant_position/credible/roussos_2024/variant_figures/roussos_2024.adolescence.GLU/rs11160762_profile_position.png",4,220,900)</f>
        <v/>
      </c>
    </row>
    <row r="1273">
      <c r="A1273" t="inlineStr">
        <is>
          <t>chr14</t>
        </is>
      </c>
      <c r="B1273" t="n">
        <v>103797800</v>
      </c>
      <c r="C1273" t="inlineStr">
        <is>
          <t>G</t>
        </is>
      </c>
      <c r="D1273" t="inlineStr">
        <is>
          <t>C</t>
        </is>
      </c>
      <c r="E1273" t="inlineStr">
        <is>
          <t>rs12883337</t>
        </is>
      </c>
      <c r="F1273" t="n">
        <v>0.055755507</v>
      </c>
      <c r="G1273" t="n">
        <v>0.0488296831677803</v>
      </c>
      <c r="H1273" t="n">
        <v>0.0169206690167061</v>
      </c>
      <c r="I1273" t="n">
        <v>0.11640084843348</v>
      </c>
      <c r="J1273" t="n">
        <v>0.1255488636931935</v>
      </c>
      <c r="K1273" t="n">
        <v>0.5145130218073695</v>
      </c>
      <c r="L1273" t="b">
        <v>0</v>
      </c>
      <c r="M1273" t="b">
        <v>0</v>
      </c>
      <c r="N1273" t="inlineStr">
        <is>
          <t>alt</t>
        </is>
      </c>
      <c r="O1273" t="n">
        <v>-85</v>
      </c>
      <c r="P1273" t="n">
        <v>0.01015</v>
      </c>
      <c r="Q1273" t="n">
        <v>-70</v>
      </c>
      <c r="R1273" t="n">
        <v>0.06270000000000001</v>
      </c>
      <c r="S1273">
        <f>IMAGE("https://mitra.stanford.edu/kundaje/oak/projects/neuro-variants/variant_position/credible/roussos_2024/variant_figures/roussos_2024.adolescence.GLU/rs12883337_count_position.png",4,220,900)</f>
        <v/>
      </c>
      <c r="T1273">
        <f>IMAGE("https://mitra.stanford.edu/kundaje/oak/projects/neuro-variants/variant_position/credible/roussos_2024/variant_figures/roussos_2024.adolescence.GLU/rs12883337_profile_position.png",4,220,900)</f>
        <v/>
      </c>
    </row>
    <row r="1274">
      <c r="A1274" t="inlineStr">
        <is>
          <t>chr14</t>
        </is>
      </c>
      <c r="B1274" t="n">
        <v>103805167</v>
      </c>
      <c r="C1274" t="inlineStr">
        <is>
          <t>G</t>
        </is>
      </c>
      <c r="D1274" t="inlineStr">
        <is>
          <t>A</t>
        </is>
      </c>
      <c r="E1274" t="inlineStr">
        <is>
          <t>rs66676135</t>
        </is>
      </c>
      <c r="F1274" t="n">
        <v>0.019466163</v>
      </c>
      <c r="G1274" t="n">
        <v>0.2853227752264634</v>
      </c>
      <c r="H1274" t="n">
        <v>0.0107398082760317</v>
      </c>
      <c r="I1274" t="n">
        <v>0.4654221299483123</v>
      </c>
      <c r="J1274" t="n">
        <v>0.0972172807224353</v>
      </c>
      <c r="K1274" t="n">
        <v>0.5868973946691632</v>
      </c>
      <c r="L1274" t="b">
        <v>0</v>
      </c>
      <c r="M1274" t="b">
        <v>0</v>
      </c>
      <c r="N1274" t="inlineStr">
        <is>
          <t>alt</t>
        </is>
      </c>
      <c r="O1274" t="n">
        <v>-95</v>
      </c>
      <c r="P1274" t="n">
        <v>0.0165</v>
      </c>
      <c r="Q1274" t="n">
        <v>-55</v>
      </c>
      <c r="R1274" t="n">
        <v>0.03317</v>
      </c>
      <c r="S1274">
        <f>IMAGE("https://mitra.stanford.edu/kundaje/oak/projects/neuro-variants/variant_position/credible/roussos_2024/variant_figures/roussos_2024.adolescence.GLU/rs66676135_count_position.png",4,220,900)</f>
        <v/>
      </c>
      <c r="T1274">
        <f>IMAGE("https://mitra.stanford.edu/kundaje/oak/projects/neuro-variants/variant_position/credible/roussos_2024/variant_figures/roussos_2024.adolescence.GLU/rs66676135_profile_position.png",4,220,900)</f>
        <v/>
      </c>
    </row>
    <row r="1275">
      <c r="A1275" t="inlineStr">
        <is>
          <t>chr14</t>
        </is>
      </c>
      <c r="B1275" t="n">
        <v>103855689</v>
      </c>
      <c r="C1275" t="inlineStr">
        <is>
          <t>A</t>
        </is>
      </c>
      <c r="D1275" t="inlineStr">
        <is>
          <t>G</t>
        </is>
      </c>
      <c r="E1275" t="inlineStr">
        <is>
          <t>rs3861678</t>
        </is>
      </c>
      <c r="F1275" t="n">
        <v>0.087862276</v>
      </c>
      <c r="G1275" t="n">
        <v>0.0125841200682828</v>
      </c>
      <c r="H1275" t="n">
        <v>0.0148139777015033</v>
      </c>
      <c r="I1275" t="n">
        <v>0.182831284599322</v>
      </c>
      <c r="J1275" t="n">
        <v>0.5834251380643133</v>
      </c>
      <c r="K1275" t="n">
        <v>0.0449370354449454</v>
      </c>
      <c r="L1275" t="b">
        <v>1</v>
      </c>
      <c r="M1275" t="b">
        <v>0</v>
      </c>
      <c r="N1275" t="inlineStr">
        <is>
          <t>alt</t>
        </is>
      </c>
      <c r="O1275" t="n">
        <v>65</v>
      </c>
      <c r="P1275" t="n">
        <v>0.0004482</v>
      </c>
      <c r="Q1275" t="n">
        <v>-100</v>
      </c>
      <c r="R1275" t="n">
        <v>0.0925</v>
      </c>
      <c r="S1275">
        <f>IMAGE("https://mitra.stanford.edu/kundaje/oak/projects/neuro-variants/variant_position/credible/roussos_2024/variant_figures/roussos_2024.adolescence.GLU/rs3861678_count_position.png",4,220,900)</f>
        <v/>
      </c>
      <c r="T1275">
        <f>IMAGE("https://mitra.stanford.edu/kundaje/oak/projects/neuro-variants/variant_position/credible/roussos_2024/variant_figures/roussos_2024.adolescence.GLU/rs3861678_profile_position.png",4,220,900)</f>
        <v/>
      </c>
    </row>
    <row r="1276">
      <c r="A1276" t="inlineStr">
        <is>
          <t>chr14</t>
        </is>
      </c>
      <c r="B1276" t="n">
        <v>103857440</v>
      </c>
      <c r="C1276" t="inlineStr">
        <is>
          <t>G</t>
        </is>
      </c>
      <c r="D1276" t="inlineStr">
        <is>
          <t>T</t>
        </is>
      </c>
      <c r="E1276" t="inlineStr">
        <is>
          <t>rs6576007</t>
        </is>
      </c>
      <c r="F1276" t="n">
        <v>-0.0821152116</v>
      </c>
      <c r="G1276" t="n">
        <v>0.0193019893632482</v>
      </c>
      <c r="H1276" t="n">
        <v>0.023994402726449</v>
      </c>
      <c r="I1276" t="n">
        <v>0.0277390998384971</v>
      </c>
      <c r="J1276" t="n">
        <v>0.4944152717348593</v>
      </c>
      <c r="K1276" t="n">
        <v>0.0934102051387149</v>
      </c>
      <c r="L1276" t="b">
        <v>1</v>
      </c>
      <c r="M1276" t="b">
        <v>0</v>
      </c>
      <c r="N1276" t="inlineStr">
        <is>
          <t>ref</t>
        </is>
      </c>
      <c r="O1276" t="n">
        <v>5</v>
      </c>
      <c r="P1276" t="n">
        <v>0.0004425</v>
      </c>
      <c r="Q1276" t="n">
        <v>-15</v>
      </c>
      <c r="R1276" t="n">
        <v>0.01465</v>
      </c>
      <c r="S1276">
        <f>IMAGE("https://mitra.stanford.edu/kundaje/oak/projects/neuro-variants/variant_position/credible/roussos_2024/variant_figures/roussos_2024.adolescence.GLU/rs6576007_count_position.png",4,220,900)</f>
        <v/>
      </c>
      <c r="T1276">
        <f>IMAGE("https://mitra.stanford.edu/kundaje/oak/projects/neuro-variants/variant_position/credible/roussos_2024/variant_figures/roussos_2024.adolescence.GLU/rs6576007_profile_position.png",4,220,900)</f>
        <v/>
      </c>
    </row>
    <row r="1277">
      <c r="A1277" t="inlineStr">
        <is>
          <t>chr15</t>
        </is>
      </c>
      <c r="B1277" t="n">
        <v>34365388</v>
      </c>
      <c r="C1277" t="inlineStr">
        <is>
          <t>A</t>
        </is>
      </c>
      <c r="D1277" t="inlineStr">
        <is>
          <t>G</t>
        </is>
      </c>
      <c r="E1277" t="inlineStr">
        <is>
          <t>rs4984237</t>
        </is>
      </c>
      <c r="F1277" t="n">
        <v>0.0461884541999999</v>
      </c>
      <c r="G1277" t="n">
        <v>0.07701706187633491</v>
      </c>
      <c r="H1277" t="n">
        <v>0.0094827185093527</v>
      </c>
      <c r="I1277" t="n">
        <v>0.6039656249773834</v>
      </c>
      <c r="J1277" t="n">
        <v>0.4927720742153731</v>
      </c>
      <c r="K1277" t="n">
        <v>0.094189691144733</v>
      </c>
      <c r="L1277" t="b">
        <v>0</v>
      </c>
      <c r="M1277" t="b">
        <v>0</v>
      </c>
      <c r="N1277" t="inlineStr">
        <is>
          <t>alt</t>
        </is>
      </c>
      <c r="O1277" t="n">
        <v>100</v>
      </c>
      <c r="P1277" t="n">
        <v>0.001991</v>
      </c>
      <c r="Q1277" t="n">
        <v>-100</v>
      </c>
      <c r="R1277" t="n">
        <v>0.0383</v>
      </c>
      <c r="S1277">
        <f>IMAGE("https://mitra.stanford.edu/kundaje/oak/projects/neuro-variants/variant_position/credible/roussos_2024/variant_figures/roussos_2024.adolescence.GLU/rs4984237_count_position.png",4,220,900)</f>
        <v/>
      </c>
      <c r="T1277">
        <f>IMAGE("https://mitra.stanford.edu/kundaje/oak/projects/neuro-variants/variant_position/credible/roussos_2024/variant_figures/roussos_2024.adolescence.GLU/rs4984237_profile_position.png",4,220,900)</f>
        <v/>
      </c>
    </row>
    <row r="1278">
      <c r="A1278" t="inlineStr">
        <is>
          <t>chr15</t>
        </is>
      </c>
      <c r="B1278" t="n">
        <v>34367316</v>
      </c>
      <c r="C1278" t="inlineStr">
        <is>
          <t>G</t>
        </is>
      </c>
      <c r="D1278" t="inlineStr">
        <is>
          <t>C</t>
        </is>
      </c>
      <c r="E1278" t="inlineStr">
        <is>
          <t>rs117799466</t>
        </is>
      </c>
      <c r="F1278" t="n">
        <v>0.0563859377999999</v>
      </c>
      <c r="G1278" t="n">
        <v>0.0477853305242239</v>
      </c>
      <c r="H1278" t="n">
        <v>0.0279916222330258</v>
      </c>
      <c r="I1278" t="n">
        <v>0.0135554378201238</v>
      </c>
      <c r="J1278" t="n">
        <v>0.901901108086675</v>
      </c>
      <c r="K1278" t="n">
        <v>0.0032398990222918</v>
      </c>
      <c r="L1278" t="b">
        <v>1</v>
      </c>
      <c r="M1278" t="b">
        <v>0</v>
      </c>
      <c r="N1278" t="inlineStr">
        <is>
          <t>alt</t>
        </is>
      </c>
      <c r="O1278" t="n">
        <v>-45</v>
      </c>
      <c r="P1278" t="n">
        <v>0.0001221</v>
      </c>
      <c r="Q1278" t="n">
        <v>-5</v>
      </c>
      <c r="R1278" t="n">
        <v>0.002686</v>
      </c>
      <c r="S1278">
        <f>IMAGE("https://mitra.stanford.edu/kundaje/oak/projects/neuro-variants/variant_position/credible/roussos_2024/variant_figures/roussos_2024.adolescence.GLU/rs117799466_count_position.png",4,220,900)</f>
        <v/>
      </c>
      <c r="T1278">
        <f>IMAGE("https://mitra.stanford.edu/kundaje/oak/projects/neuro-variants/variant_position/credible/roussos_2024/variant_figures/roussos_2024.adolescence.GLU/rs117799466_profile_position.png",4,220,900)</f>
        <v/>
      </c>
    </row>
    <row r="1279">
      <c r="A1279" t="inlineStr">
        <is>
          <t>chr15</t>
        </is>
      </c>
      <c r="B1279" t="n">
        <v>40319660</v>
      </c>
      <c r="C1279" t="inlineStr">
        <is>
          <t>T</t>
        </is>
      </c>
      <c r="D1279" t="inlineStr">
        <is>
          <t>C</t>
        </is>
      </c>
      <c r="E1279" t="inlineStr">
        <is>
          <t>rs11070264</t>
        </is>
      </c>
      <c r="F1279" t="n">
        <v>0.0057331563999999</v>
      </c>
      <c r="G1279" t="n">
        <v>0.4333781500058508</v>
      </c>
      <c r="H1279" t="n">
        <v>0.008489362846257901</v>
      </c>
      <c r="I1279" t="n">
        <v>0.7308733114102693</v>
      </c>
      <c r="J1279" t="n">
        <v>0.1712368990719506</v>
      </c>
      <c r="K1279" t="n">
        <v>0.4427751670801125</v>
      </c>
      <c r="L1279" t="b">
        <v>0</v>
      </c>
      <c r="M1279" t="b">
        <v>0</v>
      </c>
      <c r="N1279" t="inlineStr">
        <is>
          <t>alt</t>
        </is>
      </c>
      <c r="O1279" t="n">
        <v>-75</v>
      </c>
      <c r="P1279" t="n">
        <v>0.01055</v>
      </c>
      <c r="Q1279" t="n">
        <v>95</v>
      </c>
      <c r="R1279" t="n">
        <v>0.05664</v>
      </c>
      <c r="S1279">
        <f>IMAGE("https://mitra.stanford.edu/kundaje/oak/projects/neuro-variants/variant_position/credible/roussos_2024/variant_figures/roussos_2024.adolescence.GLU/rs11070264_count_position.png",4,220,900)</f>
        <v/>
      </c>
      <c r="T1279">
        <f>IMAGE("https://mitra.stanford.edu/kundaje/oak/projects/neuro-variants/variant_position/credible/roussos_2024/variant_figures/roussos_2024.adolescence.GLU/rs11070264_profile_position.png",4,220,900)</f>
        <v/>
      </c>
    </row>
    <row r="1280">
      <c r="A1280" t="inlineStr">
        <is>
          <t>chr15</t>
        </is>
      </c>
      <c r="B1280" t="n">
        <v>40324785</v>
      </c>
      <c r="C1280" t="inlineStr">
        <is>
          <t>T</t>
        </is>
      </c>
      <c r="D1280" t="inlineStr">
        <is>
          <t>C</t>
        </is>
      </c>
      <c r="E1280" t="inlineStr">
        <is>
          <t>rs2289334</t>
        </is>
      </c>
      <c r="F1280" t="n">
        <v>0.0527033554</v>
      </c>
      <c r="G1280" t="n">
        <v>0.054721683477867</v>
      </c>
      <c r="H1280" t="n">
        <v>0.0108329283903377</v>
      </c>
      <c r="I1280" t="n">
        <v>0.4190034446042003</v>
      </c>
      <c r="J1280" t="n">
        <v>0.668155546506062</v>
      </c>
      <c r="K1280" t="n">
        <v>0.0198461411516805</v>
      </c>
      <c r="L1280" t="b">
        <v>0</v>
      </c>
      <c r="M1280" t="b">
        <v>0</v>
      </c>
      <c r="N1280" t="inlineStr">
        <is>
          <t>alt</t>
        </is>
      </c>
      <c r="O1280" t="n">
        <v>100</v>
      </c>
      <c r="P1280" t="n">
        <v>0.01439</v>
      </c>
      <c r="Q1280" t="n">
        <v>-95</v>
      </c>
      <c r="R1280" t="n">
        <v>0.07776</v>
      </c>
      <c r="S1280">
        <f>IMAGE("https://mitra.stanford.edu/kundaje/oak/projects/neuro-variants/variant_position/credible/roussos_2024/variant_figures/roussos_2024.adolescence.GLU/rs2289334_count_position.png",4,220,900)</f>
        <v/>
      </c>
      <c r="T1280">
        <f>IMAGE("https://mitra.stanford.edu/kundaje/oak/projects/neuro-variants/variant_position/credible/roussos_2024/variant_figures/roussos_2024.adolescence.GLU/rs2289334_profile_position.png",4,220,900)</f>
        <v/>
      </c>
    </row>
    <row r="1281">
      <c r="A1281" t="inlineStr">
        <is>
          <t>chr15</t>
        </is>
      </c>
      <c r="B1281" t="n">
        <v>40327542</v>
      </c>
      <c r="C1281" t="inlineStr">
        <is>
          <t>T</t>
        </is>
      </c>
      <c r="D1281" t="inlineStr">
        <is>
          <t>G</t>
        </is>
      </c>
      <c r="E1281" t="inlineStr">
        <is>
          <t>rs1077476</t>
        </is>
      </c>
      <c r="F1281" t="n">
        <v>0.077164381</v>
      </c>
      <c r="G1281" t="n">
        <v>0.0174000380583332</v>
      </c>
      <c r="H1281" t="n">
        <v>0.0140956877852053</v>
      </c>
      <c r="I1281" t="n">
        <v>0.2031741629405808</v>
      </c>
      <c r="J1281" t="n">
        <v>0.4199155539361725</v>
      </c>
      <c r="K1281" t="n">
        <v>0.149414764603014</v>
      </c>
      <c r="L1281" t="b">
        <v>1</v>
      </c>
      <c r="M1281" t="b">
        <v>0</v>
      </c>
      <c r="N1281" t="inlineStr">
        <is>
          <t>alt</t>
        </is>
      </c>
      <c r="O1281" t="n">
        <v>90</v>
      </c>
      <c r="P1281" t="n">
        <v>0.0009211999999999999</v>
      </c>
      <c r="Q1281" t="n">
        <v>90</v>
      </c>
      <c r="R1281" t="n">
        <v>0.08386</v>
      </c>
      <c r="S1281">
        <f>IMAGE("https://mitra.stanford.edu/kundaje/oak/projects/neuro-variants/variant_position/credible/roussos_2024/variant_figures/roussos_2024.adolescence.GLU/rs1077476_count_position.png",4,220,900)</f>
        <v/>
      </c>
      <c r="T1281">
        <f>IMAGE("https://mitra.stanford.edu/kundaje/oak/projects/neuro-variants/variant_position/credible/roussos_2024/variant_figures/roussos_2024.adolescence.GLU/rs1077476_profile_position.png",4,220,900)</f>
        <v/>
      </c>
    </row>
    <row r="1282">
      <c r="A1282" t="inlineStr">
        <is>
          <t>chr15</t>
        </is>
      </c>
      <c r="B1282" t="n">
        <v>43458039</v>
      </c>
      <c r="C1282" t="inlineStr">
        <is>
          <t>C</t>
        </is>
      </c>
      <c r="D1282" t="inlineStr">
        <is>
          <t>A</t>
        </is>
      </c>
      <c r="E1282" t="inlineStr">
        <is>
          <t>rs2467742</t>
        </is>
      </c>
      <c r="F1282" t="n">
        <v>-0.00412071142</v>
      </c>
      <c r="G1282" t="n">
        <v>0.73251549431551</v>
      </c>
      <c r="H1282" t="n">
        <v>0.0174448731762473</v>
      </c>
      <c r="I1282" t="n">
        <v>0.100706519912576</v>
      </c>
      <c r="J1282" t="n">
        <v>0.0267626865565009</v>
      </c>
      <c r="K1282" t="n">
        <v>0.789714970848913</v>
      </c>
      <c r="L1282" t="b">
        <v>0</v>
      </c>
      <c r="M1282" t="b">
        <v>0</v>
      </c>
      <c r="N1282" t="inlineStr">
        <is>
          <t>ref</t>
        </is>
      </c>
      <c r="O1282" t="n">
        <v>100</v>
      </c>
      <c r="P1282" t="n">
        <v>0.00475</v>
      </c>
      <c r="Q1282" t="n">
        <v>-80</v>
      </c>
      <c r="R1282" t="n">
        <v>0.0443</v>
      </c>
      <c r="S1282">
        <f>IMAGE("https://mitra.stanford.edu/kundaje/oak/projects/neuro-variants/variant_position/credible/roussos_2024/variant_figures/roussos_2024.adolescence.GLU/rs2467742_count_position.png",4,220,900)</f>
        <v/>
      </c>
      <c r="T1282">
        <f>IMAGE("https://mitra.stanford.edu/kundaje/oak/projects/neuro-variants/variant_position/credible/roussos_2024/variant_figures/roussos_2024.adolescence.GLU/rs2467742_profile_position.png",4,220,900)</f>
        <v/>
      </c>
    </row>
    <row r="1283">
      <c r="A1283" t="inlineStr">
        <is>
          <t>chr15</t>
        </is>
      </c>
      <c r="B1283" t="n">
        <v>43471801</v>
      </c>
      <c r="C1283" t="inlineStr">
        <is>
          <t>C</t>
        </is>
      </c>
      <c r="D1283" t="inlineStr">
        <is>
          <t>T</t>
        </is>
      </c>
      <c r="E1283" t="inlineStr">
        <is>
          <t>rs518288</t>
        </is>
      </c>
      <c r="F1283" t="n">
        <v>-0.008838909799999999</v>
      </c>
      <c r="G1283" t="n">
        <v>0.5648083863239745</v>
      </c>
      <c r="H1283" t="n">
        <v>0.0198593303889001</v>
      </c>
      <c r="I1283" t="n">
        <v>0.0569107998093168</v>
      </c>
      <c r="J1283" t="n">
        <v>0.0150488315436768</v>
      </c>
      <c r="K1283" t="n">
        <v>0.8435914084726017</v>
      </c>
      <c r="L1283" t="b">
        <v>0</v>
      </c>
      <c r="M1283" t="b">
        <v>0</v>
      </c>
      <c r="N1283" t="inlineStr">
        <is>
          <t>ref</t>
        </is>
      </c>
      <c r="O1283" t="n">
        <v>95</v>
      </c>
      <c r="P1283" t="n">
        <v>0.007979999999999999</v>
      </c>
      <c r="Q1283" t="n">
        <v>100</v>
      </c>
      <c r="R1283" t="n">
        <v>0.0697</v>
      </c>
      <c r="S1283">
        <f>IMAGE("https://mitra.stanford.edu/kundaje/oak/projects/neuro-variants/variant_position/credible/roussos_2024/variant_figures/roussos_2024.adolescence.GLU/rs518288_count_position.png",4,220,900)</f>
        <v/>
      </c>
      <c r="T1283">
        <f>IMAGE("https://mitra.stanford.edu/kundaje/oak/projects/neuro-variants/variant_position/credible/roussos_2024/variant_figures/roussos_2024.adolescence.GLU/rs518288_profile_position.png",4,220,900)</f>
        <v/>
      </c>
    </row>
    <row r="1284">
      <c r="A1284" t="inlineStr">
        <is>
          <t>chr15</t>
        </is>
      </c>
      <c r="B1284" t="n">
        <v>43531615</v>
      </c>
      <c r="C1284" t="inlineStr">
        <is>
          <t>A</t>
        </is>
      </c>
      <c r="D1284" t="inlineStr">
        <is>
          <t>G</t>
        </is>
      </c>
      <c r="E1284" t="inlineStr">
        <is>
          <t>rs572837</t>
        </is>
      </c>
      <c r="F1284" t="n">
        <v>0.0007092942399999</v>
      </c>
      <c r="G1284" t="n">
        <v>0.6884245677250039</v>
      </c>
      <c r="H1284" t="n">
        <v>0.0082237982296702</v>
      </c>
      <c r="I1284" t="n">
        <v>0.734827506583802</v>
      </c>
      <c r="J1284" t="n">
        <v>0.4386994448850118</v>
      </c>
      <c r="K1284" t="n">
        <v>0.1346775184230374</v>
      </c>
      <c r="L1284" t="b">
        <v>0</v>
      </c>
      <c r="M1284" t="b">
        <v>0</v>
      </c>
      <c r="N1284" t="inlineStr">
        <is>
          <t>alt</t>
        </is>
      </c>
      <c r="O1284" t="n">
        <v>-100</v>
      </c>
      <c r="P1284" t="n">
        <v>0.03008</v>
      </c>
      <c r="Q1284" t="n">
        <v>-100</v>
      </c>
      <c r="R1284" t="n">
        <v>0.1493</v>
      </c>
      <c r="S1284">
        <f>IMAGE("https://mitra.stanford.edu/kundaje/oak/projects/neuro-variants/variant_position/credible/roussos_2024/variant_figures/roussos_2024.adolescence.GLU/rs572837_count_position.png",4,220,900)</f>
        <v/>
      </c>
      <c r="T1284">
        <f>IMAGE("https://mitra.stanford.edu/kundaje/oak/projects/neuro-variants/variant_position/credible/roussos_2024/variant_figures/roussos_2024.adolescence.GLU/rs572837_profile_position.png",4,220,900)</f>
        <v/>
      </c>
    </row>
    <row r="1285">
      <c r="A1285" t="inlineStr">
        <is>
          <t>chr15</t>
        </is>
      </c>
      <c r="B1285" t="n">
        <v>43536810</v>
      </c>
      <c r="C1285" t="inlineStr">
        <is>
          <t>C</t>
        </is>
      </c>
      <c r="D1285" t="inlineStr">
        <is>
          <t>T</t>
        </is>
      </c>
      <c r="E1285" t="inlineStr">
        <is>
          <t>rs2255663</t>
        </is>
      </c>
      <c r="F1285" t="n">
        <v>-0.0963843096</v>
      </c>
      <c r="G1285" t="n">
        <v>0.0165084254353963</v>
      </c>
      <c r="H1285" t="n">
        <v>0.0308146951134613</v>
      </c>
      <c r="I1285" t="n">
        <v>0.0236340855835923</v>
      </c>
      <c r="J1285" t="n">
        <v>0.0587021597330875</v>
      </c>
      <c r="K1285" t="n">
        <v>0.671273203057172</v>
      </c>
      <c r="L1285" t="b">
        <v>1</v>
      </c>
      <c r="M1285" t="b">
        <v>0</v>
      </c>
      <c r="N1285" t="inlineStr">
        <is>
          <t>ref</t>
        </is>
      </c>
      <c r="O1285" t="n">
        <v>70</v>
      </c>
      <c r="P1285" t="n">
        <v>0.005215</v>
      </c>
      <c r="Q1285" t="n">
        <v>-85</v>
      </c>
      <c r="R1285" t="n">
        <v>0.05844</v>
      </c>
      <c r="S1285">
        <f>IMAGE("https://mitra.stanford.edu/kundaje/oak/projects/neuro-variants/variant_position/credible/roussos_2024/variant_figures/roussos_2024.adolescence.GLU/rs2255663_count_position.png",4,220,900)</f>
        <v/>
      </c>
      <c r="T1285">
        <f>IMAGE("https://mitra.stanford.edu/kundaje/oak/projects/neuro-variants/variant_position/credible/roussos_2024/variant_figures/roussos_2024.adolescence.GLU/rs2255663_profile_position.png",4,220,900)</f>
        <v/>
      </c>
    </row>
    <row r="1286">
      <c r="A1286" t="inlineStr">
        <is>
          <t>chr15</t>
        </is>
      </c>
      <c r="B1286" t="n">
        <v>43632949</v>
      </c>
      <c r="C1286" t="inlineStr">
        <is>
          <t>T</t>
        </is>
      </c>
      <c r="D1286" t="inlineStr">
        <is>
          <t>G</t>
        </is>
      </c>
      <c r="E1286" t="inlineStr">
        <is>
          <t>rs7169112</t>
        </is>
      </c>
      <c r="F1286" t="n">
        <v>-0.002452442652</v>
      </c>
      <c r="G1286" t="n">
        <v>0.8609338678379072</v>
      </c>
      <c r="H1286" t="n">
        <v>0.0255880752950209</v>
      </c>
      <c r="I1286" t="n">
        <v>0.0186340876906896</v>
      </c>
      <c r="J1286" t="n">
        <v>0.217857984868294</v>
      </c>
      <c r="K1286" t="n">
        <v>0.3768615179464992</v>
      </c>
      <c r="L1286" t="b">
        <v>1</v>
      </c>
      <c r="M1286" t="b">
        <v>0</v>
      </c>
      <c r="N1286" t="inlineStr">
        <is>
          <t>ref</t>
        </is>
      </c>
      <c r="O1286" t="n">
        <v>-90</v>
      </c>
      <c r="P1286" t="n">
        <v>0.00759</v>
      </c>
      <c r="Q1286" t="n">
        <v>100</v>
      </c>
      <c r="R1286" t="n">
        <v>0.03882</v>
      </c>
      <c r="S1286">
        <f>IMAGE("https://mitra.stanford.edu/kundaje/oak/projects/neuro-variants/variant_position/credible/roussos_2024/variant_figures/roussos_2024.adolescence.GLU/rs7169112_count_position.png",4,220,900)</f>
        <v/>
      </c>
      <c r="T1286">
        <f>IMAGE("https://mitra.stanford.edu/kundaje/oak/projects/neuro-variants/variant_position/credible/roussos_2024/variant_figures/roussos_2024.adolescence.GLU/rs7169112_profile_position.png",4,220,900)</f>
        <v/>
      </c>
    </row>
    <row r="1287">
      <c r="A1287" t="inlineStr">
        <is>
          <t>chr15</t>
        </is>
      </c>
      <c r="B1287" t="n">
        <v>43743165</v>
      </c>
      <c r="C1287" t="inlineStr">
        <is>
          <t>A</t>
        </is>
      </c>
      <c r="D1287" t="inlineStr">
        <is>
          <t>C</t>
        </is>
      </c>
      <c r="E1287" t="inlineStr">
        <is>
          <t>rs8033846</t>
        </is>
      </c>
      <c r="F1287" t="n">
        <v>0.0005214974199999999</v>
      </c>
      <c r="G1287" t="n">
        <v>0.8423765757319694</v>
      </c>
      <c r="H1287" t="n">
        <v>0.0394092665014984</v>
      </c>
      <c r="I1287" t="n">
        <v>0.0027998196769686</v>
      </c>
      <c r="J1287" t="n">
        <v>0.0915603946531781</v>
      </c>
      <c r="K1287" t="n">
        <v>0.5980921150739613</v>
      </c>
      <c r="L1287" t="b">
        <v>1</v>
      </c>
      <c r="M1287" t="b">
        <v>1</v>
      </c>
      <c r="N1287" t="inlineStr">
        <is>
          <t>alt</t>
        </is>
      </c>
      <c r="O1287" t="n">
        <v>-75</v>
      </c>
      <c r="P1287" t="n">
        <v>0.01488</v>
      </c>
      <c r="Q1287" t="n">
        <v>-20</v>
      </c>
      <c r="R1287" t="n">
        <v>0.03906</v>
      </c>
      <c r="S1287">
        <f>IMAGE("https://mitra.stanford.edu/kundaje/oak/projects/neuro-variants/variant_position/credible/roussos_2024/variant_figures/roussos_2024.adolescence.GLU/rs8033846_count_position.png",4,220,900)</f>
        <v/>
      </c>
      <c r="T1287">
        <f>IMAGE("https://mitra.stanford.edu/kundaje/oak/projects/neuro-variants/variant_position/credible/roussos_2024/variant_figures/roussos_2024.adolescence.GLU/rs8033846_profile_position.png",4,220,900)</f>
        <v/>
      </c>
    </row>
    <row r="1288">
      <c r="A1288" t="inlineStr">
        <is>
          <t>chr15</t>
        </is>
      </c>
      <c r="B1288" t="n">
        <v>43746265</v>
      </c>
      <c r="C1288" t="inlineStr">
        <is>
          <t>C</t>
        </is>
      </c>
      <c r="D1288" t="inlineStr">
        <is>
          <t>A</t>
        </is>
      </c>
      <c r="E1288" t="inlineStr">
        <is>
          <t>rs7174732</t>
        </is>
      </c>
      <c r="F1288" t="n">
        <v>-0.00873578746</v>
      </c>
      <c r="G1288" t="n">
        <v>0.5098482231609966</v>
      </c>
      <c r="H1288" t="n">
        <v>0.019786805970372</v>
      </c>
      <c r="I1288" t="n">
        <v>0.0574439067399808</v>
      </c>
      <c r="J1288" t="n">
        <v>0.9323502725564582</v>
      </c>
      <c r="K1288" t="n">
        <v>0.0023226085330367</v>
      </c>
      <c r="L1288" t="b">
        <v>0</v>
      </c>
      <c r="M1288" t="b">
        <v>0</v>
      </c>
      <c r="N1288" t="inlineStr">
        <is>
          <t>ref</t>
        </is>
      </c>
      <c r="O1288" t="n">
        <v>80</v>
      </c>
      <c r="P1288" t="n">
        <v>0.00586</v>
      </c>
      <c r="Q1288" t="n">
        <v>0</v>
      </c>
      <c r="R1288" t="n">
        <v>0</v>
      </c>
      <c r="S1288">
        <f>IMAGE("https://mitra.stanford.edu/kundaje/oak/projects/neuro-variants/variant_position/credible/roussos_2024/variant_figures/roussos_2024.adolescence.GLU/rs7174732_count_position.png",4,220,900)</f>
        <v/>
      </c>
      <c r="T1288">
        <f>IMAGE("https://mitra.stanford.edu/kundaje/oak/projects/neuro-variants/variant_position/credible/roussos_2024/variant_figures/roussos_2024.adolescence.GLU/rs7174732_profile_position.png",4,220,900)</f>
        <v/>
      </c>
    </row>
    <row r="1289">
      <c r="A1289" t="inlineStr">
        <is>
          <t>chr15</t>
        </is>
      </c>
      <c r="B1289" t="n">
        <v>43746701</v>
      </c>
      <c r="C1289" t="inlineStr">
        <is>
          <t>C</t>
        </is>
      </c>
      <c r="D1289" t="inlineStr">
        <is>
          <t>T</t>
        </is>
      </c>
      <c r="E1289" t="inlineStr">
        <is>
          <t>rs2411284</t>
        </is>
      </c>
      <c r="F1289" t="n">
        <v>0.0002737479599999</v>
      </c>
      <c r="G1289" t="n">
        <v>0.5448303123531736</v>
      </c>
      <c r="H1289" t="n">
        <v>0.0103035466912033</v>
      </c>
      <c r="I1289" t="n">
        <v>0.5116135385602174</v>
      </c>
      <c r="J1289" t="n">
        <v>0.931935901008066</v>
      </c>
      <c r="K1289" t="n">
        <v>0.0023398695698693</v>
      </c>
      <c r="L1289" t="b">
        <v>0</v>
      </c>
      <c r="M1289" t="b">
        <v>0</v>
      </c>
      <c r="N1289" t="inlineStr">
        <is>
          <t>alt</t>
        </is>
      </c>
      <c r="O1289" t="n">
        <v>-100</v>
      </c>
      <c r="P1289" t="n">
        <v>0.00855</v>
      </c>
      <c r="Q1289" t="n">
        <v>-40</v>
      </c>
      <c r="R1289" t="n">
        <v>0.11255</v>
      </c>
      <c r="S1289">
        <f>IMAGE("https://mitra.stanford.edu/kundaje/oak/projects/neuro-variants/variant_position/credible/roussos_2024/variant_figures/roussos_2024.adolescence.GLU/rs2411284_count_position.png",4,220,900)</f>
        <v/>
      </c>
      <c r="T1289">
        <f>IMAGE("https://mitra.stanford.edu/kundaje/oak/projects/neuro-variants/variant_position/credible/roussos_2024/variant_figures/roussos_2024.adolescence.GLU/rs2411284_profile_position.png",4,220,900)</f>
        <v/>
      </c>
    </row>
    <row r="1290">
      <c r="A1290" t="inlineStr">
        <is>
          <t>chr15</t>
        </is>
      </c>
      <c r="B1290" t="n">
        <v>43768685</v>
      </c>
      <c r="C1290" t="inlineStr">
        <is>
          <t>C</t>
        </is>
      </c>
      <c r="D1290" t="inlineStr">
        <is>
          <t>T</t>
        </is>
      </c>
      <c r="E1290" t="inlineStr">
        <is>
          <t>rs12441861</t>
        </is>
      </c>
      <c r="F1290" t="n">
        <v>-0.0286472398</v>
      </c>
      <c r="G1290" t="n">
        <v>0.196946003482534</v>
      </c>
      <c r="H1290" t="n">
        <v>0.008165667730493801</v>
      </c>
      <c r="I1290" t="n">
        <v>0.771008611543427</v>
      </c>
      <c r="J1290" t="n">
        <v>0.233785569868044</v>
      </c>
      <c r="K1290" t="n">
        <v>0.3563391309329082</v>
      </c>
      <c r="L1290" t="b">
        <v>0</v>
      </c>
      <c r="M1290" t="b">
        <v>0</v>
      </c>
      <c r="N1290" t="inlineStr">
        <is>
          <t>ref</t>
        </is>
      </c>
      <c r="O1290" t="n">
        <v>100</v>
      </c>
      <c r="P1290" t="n">
        <v>0.005684</v>
      </c>
      <c r="Q1290" t="n">
        <v>-65</v>
      </c>
      <c r="R1290" t="n">
        <v>0.1007</v>
      </c>
      <c r="S1290">
        <f>IMAGE("https://mitra.stanford.edu/kundaje/oak/projects/neuro-variants/variant_position/credible/roussos_2024/variant_figures/roussos_2024.adolescence.GLU/rs12441861_count_position.png",4,220,900)</f>
        <v/>
      </c>
      <c r="T1290">
        <f>IMAGE("https://mitra.stanford.edu/kundaje/oak/projects/neuro-variants/variant_position/credible/roussos_2024/variant_figures/roussos_2024.adolescence.GLU/rs12441861_profile_position.png",4,220,900)</f>
        <v/>
      </c>
    </row>
    <row r="1291">
      <c r="A1291" t="inlineStr">
        <is>
          <t>chr15</t>
        </is>
      </c>
      <c r="B1291" t="n">
        <v>43977577</v>
      </c>
      <c r="C1291" t="inlineStr">
        <is>
          <t>A</t>
        </is>
      </c>
      <c r="D1291" t="inlineStr">
        <is>
          <t>C</t>
        </is>
      </c>
      <c r="E1291" t="inlineStr">
        <is>
          <t>rs2957583</t>
        </is>
      </c>
      <c r="F1291" t="n">
        <v>-0.0112934568</v>
      </c>
      <c r="G1291" t="n">
        <v>0.4921747812623833</v>
      </c>
      <c r="H1291" t="n">
        <v>0.0440081527836525</v>
      </c>
      <c r="I1291" t="n">
        <v>0.0021023532423491</v>
      </c>
      <c r="J1291" t="n">
        <v>0.20236620442806</v>
      </c>
      <c r="K1291" t="n">
        <v>0.400034471310074</v>
      </c>
      <c r="L1291" t="b">
        <v>1</v>
      </c>
      <c r="M1291" t="b">
        <v>1</v>
      </c>
      <c r="N1291" t="inlineStr">
        <is>
          <t>ref</t>
        </is>
      </c>
      <c r="O1291" t="n">
        <v>95</v>
      </c>
      <c r="P1291" t="n">
        <v>0.03748</v>
      </c>
      <c r="Q1291" t="n">
        <v>95</v>
      </c>
      <c r="R1291" t="n">
        <v>0.0746</v>
      </c>
      <c r="S1291">
        <f>IMAGE("https://mitra.stanford.edu/kundaje/oak/projects/neuro-variants/variant_position/credible/roussos_2024/variant_figures/roussos_2024.adolescence.GLU/rs2957583_count_position.png",4,220,900)</f>
        <v/>
      </c>
      <c r="T1291">
        <f>IMAGE("https://mitra.stanford.edu/kundaje/oak/projects/neuro-variants/variant_position/credible/roussos_2024/variant_figures/roussos_2024.adolescence.GLU/rs2957583_profile_position.png",4,220,900)</f>
        <v/>
      </c>
    </row>
    <row r="1292">
      <c r="A1292" t="inlineStr">
        <is>
          <t>chr15</t>
        </is>
      </c>
      <c r="B1292" t="n">
        <v>43988411</v>
      </c>
      <c r="C1292" t="inlineStr">
        <is>
          <t>T</t>
        </is>
      </c>
      <c r="D1292" t="inlineStr">
        <is>
          <t>G</t>
        </is>
      </c>
      <c r="E1292" t="inlineStr">
        <is>
          <t>rs4924727</t>
        </is>
      </c>
      <c r="F1292" t="n">
        <v>-0.011033058552</v>
      </c>
      <c r="G1292" t="n">
        <v>0.5263990276880978</v>
      </c>
      <c r="H1292" t="n">
        <v>0.0191731870516356</v>
      </c>
      <c r="I1292" t="n">
        <v>0.06810500801359359</v>
      </c>
      <c r="J1292" t="n">
        <v>0.1289481392574175</v>
      </c>
      <c r="K1292" t="n">
        <v>0.5147890760457337</v>
      </c>
      <c r="L1292" t="b">
        <v>0</v>
      </c>
      <c r="M1292" t="b">
        <v>0</v>
      </c>
      <c r="N1292" t="inlineStr">
        <is>
          <t>ref</t>
        </is>
      </c>
      <c r="O1292" t="n">
        <v>-90</v>
      </c>
      <c r="P1292" t="n">
        <v>0.00763</v>
      </c>
      <c r="Q1292" t="n">
        <v>30</v>
      </c>
      <c r="R1292" t="n">
        <v>0.03394</v>
      </c>
      <c r="S1292">
        <f>IMAGE("https://mitra.stanford.edu/kundaje/oak/projects/neuro-variants/variant_position/credible/roussos_2024/variant_figures/roussos_2024.adolescence.GLU/rs4924727_count_position.png",4,220,900)</f>
        <v/>
      </c>
      <c r="T1292">
        <f>IMAGE("https://mitra.stanford.edu/kundaje/oak/projects/neuro-variants/variant_position/credible/roussos_2024/variant_figures/roussos_2024.adolescence.GLU/rs4924727_profile_position.png",4,220,900)</f>
        <v/>
      </c>
    </row>
    <row r="1293">
      <c r="A1293" t="inlineStr">
        <is>
          <t>chr15</t>
        </is>
      </c>
      <c r="B1293" t="n">
        <v>44054563</v>
      </c>
      <c r="C1293" t="inlineStr">
        <is>
          <t>C</t>
        </is>
      </c>
      <c r="D1293" t="inlineStr">
        <is>
          <t>T</t>
        </is>
      </c>
      <c r="E1293" t="inlineStr">
        <is>
          <t>rs12437804</t>
        </is>
      </c>
      <c r="F1293" t="n">
        <v>-0.0192670812</v>
      </c>
      <c r="G1293" t="n">
        <v>0.3117083518271065</v>
      </c>
      <c r="H1293" t="n">
        <v>0.0125969475613546</v>
      </c>
      <c r="I1293" t="n">
        <v>0.2895165479553979</v>
      </c>
      <c r="J1293" t="n">
        <v>0.0550285416264797</v>
      </c>
      <c r="K1293" t="n">
        <v>0.6844811385813843</v>
      </c>
      <c r="L1293" t="b">
        <v>0</v>
      </c>
      <c r="M1293" t="b">
        <v>0</v>
      </c>
      <c r="N1293" t="inlineStr">
        <is>
          <t>ref</t>
        </is>
      </c>
      <c r="O1293" t="n">
        <v>-55</v>
      </c>
      <c r="P1293" t="n">
        <v>0.002018</v>
      </c>
      <c r="Q1293" t="n">
        <v>-100</v>
      </c>
      <c r="R1293" t="n">
        <v>0.1136</v>
      </c>
      <c r="S1293">
        <f>IMAGE("https://mitra.stanford.edu/kundaje/oak/projects/neuro-variants/variant_position/credible/roussos_2024/variant_figures/roussos_2024.adolescence.GLU/rs12437804_count_position.png",4,220,900)</f>
        <v/>
      </c>
      <c r="T1293">
        <f>IMAGE("https://mitra.stanford.edu/kundaje/oak/projects/neuro-variants/variant_position/credible/roussos_2024/variant_figures/roussos_2024.adolescence.GLU/rs12437804_profile_position.png",4,220,900)</f>
        <v/>
      </c>
    </row>
    <row r="1294">
      <c r="A1294" t="inlineStr">
        <is>
          <t>chr15</t>
        </is>
      </c>
      <c r="B1294" t="n">
        <v>44056202</v>
      </c>
      <c r="C1294" t="inlineStr">
        <is>
          <t>T</t>
        </is>
      </c>
      <c r="D1294" t="inlineStr">
        <is>
          <t>C</t>
        </is>
      </c>
      <c r="E1294" t="inlineStr">
        <is>
          <t>rs4419034</t>
        </is>
      </c>
      <c r="F1294" t="n">
        <v>0.035800693</v>
      </c>
      <c r="G1294" t="n">
        <v>0.1263304852932955</v>
      </c>
      <c r="H1294" t="n">
        <v>0.0153441992054979</v>
      </c>
      <c r="I1294" t="n">
        <v>0.1676132299369388</v>
      </c>
      <c r="J1294" t="n">
        <v>0.0158747169056447</v>
      </c>
      <c r="K1294" t="n">
        <v>0.8403092567133684</v>
      </c>
      <c r="L1294" t="b">
        <v>0</v>
      </c>
      <c r="M1294" t="b">
        <v>0</v>
      </c>
      <c r="N1294" t="inlineStr">
        <is>
          <t>alt</t>
        </is>
      </c>
      <c r="O1294" t="n">
        <v>90</v>
      </c>
      <c r="P1294" t="n">
        <v>0.007187</v>
      </c>
      <c r="Q1294" t="n">
        <v>80</v>
      </c>
      <c r="R1294" t="n">
        <v>0.0462</v>
      </c>
      <c r="S1294">
        <f>IMAGE("https://mitra.stanford.edu/kundaje/oak/projects/neuro-variants/variant_position/credible/roussos_2024/variant_figures/roussos_2024.adolescence.GLU/rs4419034_count_position.png",4,220,900)</f>
        <v/>
      </c>
      <c r="T1294">
        <f>IMAGE("https://mitra.stanford.edu/kundaje/oak/projects/neuro-variants/variant_position/credible/roussos_2024/variant_figures/roussos_2024.adolescence.GLU/rs4419034_profile_position.png",4,220,900)</f>
        <v/>
      </c>
    </row>
    <row r="1295">
      <c r="A1295" t="inlineStr">
        <is>
          <t>chr15</t>
        </is>
      </c>
      <c r="B1295" t="n">
        <v>44097699</v>
      </c>
      <c r="C1295" t="inlineStr">
        <is>
          <t>G</t>
        </is>
      </c>
      <c r="D1295" t="inlineStr">
        <is>
          <t>A</t>
        </is>
      </c>
      <c r="E1295" t="inlineStr">
        <is>
          <t>rs2706488</t>
        </is>
      </c>
      <c r="F1295" t="n">
        <v>-0.0563631864</v>
      </c>
      <c r="G1295" t="n">
        <v>0.052383185991094</v>
      </c>
      <c r="H1295" t="n">
        <v>0.0149212679033989</v>
      </c>
      <c r="I1295" t="n">
        <v>0.1943719822594328</v>
      </c>
      <c r="J1295" t="n">
        <v>0.1298997649513113</v>
      </c>
      <c r="K1295" t="n">
        <v>0.512538548828638</v>
      </c>
      <c r="L1295" t="b">
        <v>0</v>
      </c>
      <c r="M1295" t="b">
        <v>0</v>
      </c>
      <c r="N1295" t="inlineStr">
        <is>
          <t>ref</t>
        </is>
      </c>
      <c r="O1295" t="n">
        <v>80</v>
      </c>
      <c r="P1295" t="n">
        <v>0.015366</v>
      </c>
      <c r="Q1295" t="n">
        <v>-100</v>
      </c>
      <c r="R1295" t="n">
        <v>0.05566</v>
      </c>
      <c r="S1295">
        <f>IMAGE("https://mitra.stanford.edu/kundaje/oak/projects/neuro-variants/variant_position/credible/roussos_2024/variant_figures/roussos_2024.adolescence.GLU/rs2706488_count_position.png",4,220,900)</f>
        <v/>
      </c>
      <c r="T1295">
        <f>IMAGE("https://mitra.stanford.edu/kundaje/oak/projects/neuro-variants/variant_position/credible/roussos_2024/variant_figures/roussos_2024.adolescence.GLU/rs2706488_profile_position.png",4,220,900)</f>
        <v/>
      </c>
    </row>
    <row r="1296">
      <c r="A1296" t="inlineStr">
        <is>
          <t>chr15</t>
        </is>
      </c>
      <c r="B1296" t="n">
        <v>44117884</v>
      </c>
      <c r="C1296" t="inlineStr">
        <is>
          <t>T</t>
        </is>
      </c>
      <c r="D1296" t="inlineStr">
        <is>
          <t>C</t>
        </is>
      </c>
      <c r="E1296" t="inlineStr">
        <is>
          <t>rs2957581</t>
        </is>
      </c>
      <c r="F1296" t="n">
        <v>0.007352143392</v>
      </c>
      <c r="G1296" t="n">
        <v>0.6039476601653719</v>
      </c>
      <c r="H1296" t="n">
        <v>0.0208390389923801</v>
      </c>
      <c r="I1296" t="n">
        <v>0.046356738926103</v>
      </c>
      <c r="J1296" t="n">
        <v>0.06652092219102521</v>
      </c>
      <c r="K1296" t="n">
        <v>0.655522158422585</v>
      </c>
      <c r="L1296" t="b">
        <v>0</v>
      </c>
      <c r="M1296" t="b">
        <v>0</v>
      </c>
      <c r="N1296" t="inlineStr">
        <is>
          <t>alt</t>
        </is>
      </c>
      <c r="O1296" t="n">
        <v>75</v>
      </c>
      <c r="P1296" t="n">
        <v>0.001068</v>
      </c>
      <c r="Q1296" t="n">
        <v>-100</v>
      </c>
      <c r="R1296" t="n">
        <v>0.05536</v>
      </c>
      <c r="S1296">
        <f>IMAGE("https://mitra.stanford.edu/kundaje/oak/projects/neuro-variants/variant_position/credible/roussos_2024/variant_figures/roussos_2024.adolescence.GLU/rs2957581_count_position.png",4,220,900)</f>
        <v/>
      </c>
      <c r="T1296">
        <f>IMAGE("https://mitra.stanford.edu/kundaje/oak/projects/neuro-variants/variant_position/credible/roussos_2024/variant_figures/roussos_2024.adolescence.GLU/rs2957581_profile_position.png",4,220,900)</f>
        <v/>
      </c>
    </row>
    <row r="1297">
      <c r="A1297" t="inlineStr">
        <is>
          <t>chr15</t>
        </is>
      </c>
      <c r="B1297" t="n">
        <v>44125178</v>
      </c>
      <c r="C1297" t="inlineStr">
        <is>
          <t>G</t>
        </is>
      </c>
      <c r="D1297" t="inlineStr">
        <is>
          <t>A</t>
        </is>
      </c>
      <c r="E1297" t="inlineStr">
        <is>
          <t>rs2615285</t>
        </is>
      </c>
      <c r="F1297" t="n">
        <v>-0.025441088</v>
      </c>
      <c r="G1297" t="n">
        <v>0.2286578189655255</v>
      </c>
      <c r="H1297" t="n">
        <v>0.0089735354438853</v>
      </c>
      <c r="I1297" t="n">
        <v>0.6761297097704144</v>
      </c>
      <c r="J1297" t="n">
        <v>0.0191411078009015</v>
      </c>
      <c r="K1297" t="n">
        <v>0.8227123520999213</v>
      </c>
      <c r="L1297" t="b">
        <v>0</v>
      </c>
      <c r="M1297" t="b">
        <v>0</v>
      </c>
      <c r="N1297" t="inlineStr">
        <is>
          <t>ref</t>
        </is>
      </c>
      <c r="O1297" t="n">
        <v>-100</v>
      </c>
      <c r="P1297" t="n">
        <v>0.007860000000000001</v>
      </c>
      <c r="Q1297" t="n">
        <v>100</v>
      </c>
      <c r="R1297" t="n">
        <v>0.00787</v>
      </c>
      <c r="S1297">
        <f>IMAGE("https://mitra.stanford.edu/kundaje/oak/projects/neuro-variants/variant_position/credible/roussos_2024/variant_figures/roussos_2024.adolescence.GLU/rs2615285_count_position.png",4,220,900)</f>
        <v/>
      </c>
      <c r="T1297">
        <f>IMAGE("https://mitra.stanford.edu/kundaje/oak/projects/neuro-variants/variant_position/credible/roussos_2024/variant_figures/roussos_2024.adolescence.GLU/rs2615285_profile_position.png",4,220,900)</f>
        <v/>
      </c>
    </row>
    <row r="1298">
      <c r="A1298" t="inlineStr">
        <is>
          <t>chr15</t>
        </is>
      </c>
      <c r="B1298" t="n">
        <v>44127261</v>
      </c>
      <c r="C1298" t="inlineStr">
        <is>
          <t>C</t>
        </is>
      </c>
      <c r="D1298" t="inlineStr">
        <is>
          <t>T</t>
        </is>
      </c>
      <c r="E1298" t="inlineStr">
        <is>
          <t>rs2555385</t>
        </is>
      </c>
      <c r="F1298" t="n">
        <v>0.0012752439</v>
      </c>
      <c r="G1298" t="n">
        <v>0.790651566832919</v>
      </c>
      <c r="H1298" t="n">
        <v>0.0246274188960179</v>
      </c>
      <c r="I1298" t="n">
        <v>0.0222368755488746</v>
      </c>
      <c r="J1298" t="n">
        <v>0.1508441034214229</v>
      </c>
      <c r="K1298" t="n">
        <v>0.4797161329187254</v>
      </c>
      <c r="L1298" t="b">
        <v>0</v>
      </c>
      <c r="M1298" t="b">
        <v>0</v>
      </c>
      <c r="N1298" t="inlineStr">
        <is>
          <t>alt</t>
        </is>
      </c>
      <c r="O1298" t="n">
        <v>90</v>
      </c>
      <c r="P1298" t="n">
        <v>0.001701</v>
      </c>
      <c r="Q1298" t="n">
        <v>-100</v>
      </c>
      <c r="R1298" t="n">
        <v>0.03284</v>
      </c>
      <c r="S1298">
        <f>IMAGE("https://mitra.stanford.edu/kundaje/oak/projects/neuro-variants/variant_position/credible/roussos_2024/variant_figures/roussos_2024.adolescence.GLU/rs2555385_count_position.png",4,220,900)</f>
        <v/>
      </c>
      <c r="T1298">
        <f>IMAGE("https://mitra.stanford.edu/kundaje/oak/projects/neuro-variants/variant_position/credible/roussos_2024/variant_figures/roussos_2024.adolescence.GLU/rs2555385_profile_position.png",4,220,900)</f>
        <v/>
      </c>
    </row>
    <row r="1299">
      <c r="A1299" t="inlineStr">
        <is>
          <t>chr15</t>
        </is>
      </c>
      <c r="B1299" t="n">
        <v>44128046</v>
      </c>
      <c r="C1299" t="inlineStr">
        <is>
          <t>G</t>
        </is>
      </c>
      <c r="D1299" t="inlineStr">
        <is>
          <t>A</t>
        </is>
      </c>
      <c r="E1299" t="inlineStr">
        <is>
          <t>rs2114422</t>
        </is>
      </c>
      <c r="F1299" t="n">
        <v>0.029368186</v>
      </c>
      <c r="G1299" t="n">
        <v>0.1756873816745459</v>
      </c>
      <c r="H1299" t="n">
        <v>0.0240931933175453</v>
      </c>
      <c r="I1299" t="n">
        <v>0.0256849527746263</v>
      </c>
      <c r="J1299" t="n">
        <v>0.2001171671274763</v>
      </c>
      <c r="K1299" t="n">
        <v>0.3982709966648068</v>
      </c>
      <c r="L1299" t="b">
        <v>0</v>
      </c>
      <c r="M1299" t="b">
        <v>0</v>
      </c>
      <c r="N1299" t="inlineStr">
        <is>
          <t>alt</t>
        </is>
      </c>
      <c r="O1299" t="n">
        <v>-50</v>
      </c>
      <c r="P1299" t="n">
        <v>0.0473</v>
      </c>
      <c r="Q1299" t="n">
        <v>-20</v>
      </c>
      <c r="R1299" t="n">
        <v>0.1621</v>
      </c>
      <c r="S1299">
        <f>IMAGE("https://mitra.stanford.edu/kundaje/oak/projects/neuro-variants/variant_position/credible/roussos_2024/variant_figures/roussos_2024.adolescence.GLU/rs2114422_count_position.png",4,220,900)</f>
        <v/>
      </c>
      <c r="T1299">
        <f>IMAGE("https://mitra.stanford.edu/kundaje/oak/projects/neuro-variants/variant_position/credible/roussos_2024/variant_figures/roussos_2024.adolescence.GLU/rs2114422_profile_position.png",4,220,900)</f>
        <v/>
      </c>
    </row>
    <row r="1300">
      <c r="A1300" t="inlineStr">
        <is>
          <t>chr15</t>
        </is>
      </c>
      <c r="B1300" t="n">
        <v>44133240</v>
      </c>
      <c r="C1300" t="inlineStr">
        <is>
          <t>A</t>
        </is>
      </c>
      <c r="D1300" t="inlineStr">
        <is>
          <t>C</t>
        </is>
      </c>
      <c r="E1300" t="inlineStr">
        <is>
          <t>rs8042697</t>
        </is>
      </c>
      <c r="F1300" t="n">
        <v>0.0016078627</v>
      </c>
      <c r="G1300" t="n">
        <v>0.8552114859091441</v>
      </c>
      <c r="H1300" t="n">
        <v>0.0312731845335155</v>
      </c>
      <c r="I1300" t="n">
        <v>0.0071754383580939</v>
      </c>
      <c r="J1300" t="n">
        <v>0.0369676575862142</v>
      </c>
      <c r="K1300" t="n">
        <v>0.7484441104732832</v>
      </c>
      <c r="L1300" t="b">
        <v>1</v>
      </c>
      <c r="M1300" t="b">
        <v>0</v>
      </c>
      <c r="N1300" t="inlineStr">
        <is>
          <t>alt</t>
        </is>
      </c>
      <c r="O1300" t="n">
        <v>-70</v>
      </c>
      <c r="P1300" t="n">
        <v>0.009339999999999999</v>
      </c>
      <c r="Q1300" t="n">
        <v>35</v>
      </c>
      <c r="R1300" t="n">
        <v>0.009094</v>
      </c>
      <c r="S1300">
        <f>IMAGE("https://mitra.stanford.edu/kundaje/oak/projects/neuro-variants/variant_position/credible/roussos_2024/variant_figures/roussos_2024.adolescence.GLU/rs8042697_count_position.png",4,220,900)</f>
        <v/>
      </c>
      <c r="T1300">
        <f>IMAGE("https://mitra.stanford.edu/kundaje/oak/projects/neuro-variants/variant_position/credible/roussos_2024/variant_figures/roussos_2024.adolescence.GLU/rs8042697_profile_position.png",4,220,900)</f>
        <v/>
      </c>
    </row>
    <row r="1301">
      <c r="A1301" t="inlineStr">
        <is>
          <t>chr15</t>
        </is>
      </c>
      <c r="B1301" t="n">
        <v>44141094</v>
      </c>
      <c r="C1301" t="inlineStr">
        <is>
          <t>T</t>
        </is>
      </c>
      <c r="D1301" t="inlineStr">
        <is>
          <t>G</t>
        </is>
      </c>
      <c r="E1301" t="inlineStr">
        <is>
          <t>rs2706472</t>
        </is>
      </c>
      <c r="F1301" t="n">
        <v>0.00736796106</v>
      </c>
      <c r="G1301" t="n">
        <v>0.6109728087069682</v>
      </c>
      <c r="H1301" t="n">
        <v>0.0178843850374607</v>
      </c>
      <c r="I1301" t="n">
        <v>0.08154187736334011</v>
      </c>
      <c r="J1301" t="n">
        <v>0.0024433632681054</v>
      </c>
      <c r="K1301" t="n">
        <v>0.9467691290427938</v>
      </c>
      <c r="L1301" t="b">
        <v>0</v>
      </c>
      <c r="M1301" t="b">
        <v>0</v>
      </c>
      <c r="N1301" t="inlineStr">
        <is>
          <t>alt</t>
        </is>
      </c>
      <c r="O1301" t="n">
        <v>-90</v>
      </c>
      <c r="P1301" t="n">
        <v>0.1604</v>
      </c>
      <c r="Q1301" t="n">
        <v>-100</v>
      </c>
      <c r="R1301" t="n">
        <v>0.0536</v>
      </c>
      <c r="S1301">
        <f>IMAGE("https://mitra.stanford.edu/kundaje/oak/projects/neuro-variants/variant_position/credible/roussos_2024/variant_figures/roussos_2024.adolescence.GLU/rs2706472_count_position.png",4,220,900)</f>
        <v/>
      </c>
      <c r="T1301">
        <f>IMAGE("https://mitra.stanford.edu/kundaje/oak/projects/neuro-variants/variant_position/credible/roussos_2024/variant_figures/roussos_2024.adolescence.GLU/rs2706472_profile_position.png",4,220,900)</f>
        <v/>
      </c>
    </row>
    <row r="1302">
      <c r="A1302" t="inlineStr">
        <is>
          <t>chr15</t>
        </is>
      </c>
      <c r="B1302" t="n">
        <v>58667074</v>
      </c>
      <c r="C1302" t="inlineStr">
        <is>
          <t>T</t>
        </is>
      </c>
      <c r="D1302" t="inlineStr">
        <is>
          <t>C</t>
        </is>
      </c>
      <c r="E1302" t="inlineStr">
        <is>
          <t>rs1427281</t>
        </is>
      </c>
      <c r="F1302" t="n">
        <v>0.0284749457999999</v>
      </c>
      <c r="G1302" t="n">
        <v>0.1775055518133585</v>
      </c>
      <c r="H1302" t="n">
        <v>0.0115761934867401</v>
      </c>
      <c r="I1302" t="n">
        <v>0.3773585171340906</v>
      </c>
      <c r="J1302" t="n">
        <v>0.1520572118510262</v>
      </c>
      <c r="K1302" t="n">
        <v>0.4646342085062004</v>
      </c>
      <c r="L1302" t="b">
        <v>0</v>
      </c>
      <c r="M1302" t="b">
        <v>0</v>
      </c>
      <c r="N1302" t="inlineStr">
        <is>
          <t>alt</t>
        </is>
      </c>
      <c r="O1302" t="n">
        <v>55</v>
      </c>
      <c r="P1302" t="n">
        <v>0.002401</v>
      </c>
      <c r="Q1302" t="n">
        <v>100</v>
      </c>
      <c r="R1302" t="n">
        <v>0.07886</v>
      </c>
      <c r="S1302">
        <f>IMAGE("https://mitra.stanford.edu/kundaje/oak/projects/neuro-variants/variant_position/credible/roussos_2024/variant_figures/roussos_2024.adolescence.GLU/rs1427281_count_position.png",4,220,900)</f>
        <v/>
      </c>
      <c r="T1302">
        <f>IMAGE("https://mitra.stanford.edu/kundaje/oak/projects/neuro-variants/variant_position/credible/roussos_2024/variant_figures/roussos_2024.adolescence.GLU/rs1427281_profile_position.png",4,220,900)</f>
        <v/>
      </c>
    </row>
    <row r="1303">
      <c r="A1303" t="inlineStr">
        <is>
          <t>chr15</t>
        </is>
      </c>
      <c r="B1303" t="n">
        <v>58685871</v>
      </c>
      <c r="C1303" t="inlineStr">
        <is>
          <t>C</t>
        </is>
      </c>
      <c r="D1303" t="inlineStr">
        <is>
          <t>A</t>
        </is>
      </c>
      <c r="E1303" t="inlineStr">
        <is>
          <t>rs74017282</t>
        </is>
      </c>
      <c r="F1303" t="n">
        <v>0.0261381256</v>
      </c>
      <c r="G1303" t="n">
        <v>0.2176951914860412</v>
      </c>
      <c r="H1303" t="n">
        <v>0.028395622737961</v>
      </c>
      <c r="I1303" t="n">
        <v>0.0136192543862369</v>
      </c>
      <c r="J1303" t="n">
        <v>0.0847304084417486</v>
      </c>
      <c r="K1303" t="n">
        <v>0.605116307792311</v>
      </c>
      <c r="L1303" t="b">
        <v>1</v>
      </c>
      <c r="M1303" t="b">
        <v>0</v>
      </c>
      <c r="N1303" t="inlineStr">
        <is>
          <t>alt</t>
        </is>
      </c>
      <c r="O1303" t="n">
        <v>15</v>
      </c>
      <c r="P1303" t="n">
        <v>0.002045</v>
      </c>
      <c r="Q1303" t="n">
        <v>100</v>
      </c>
      <c r="R1303" t="n">
        <v>0.05396</v>
      </c>
      <c r="S1303">
        <f>IMAGE("https://mitra.stanford.edu/kundaje/oak/projects/neuro-variants/variant_position/credible/roussos_2024/variant_figures/roussos_2024.adolescence.GLU/rs74017282_count_position.png",4,220,900)</f>
        <v/>
      </c>
      <c r="T1303">
        <f>IMAGE("https://mitra.stanford.edu/kundaje/oak/projects/neuro-variants/variant_position/credible/roussos_2024/variant_figures/roussos_2024.adolescence.GLU/rs74017282_profile_position.png",4,220,900)</f>
        <v/>
      </c>
    </row>
    <row r="1304">
      <c r="A1304" t="inlineStr">
        <is>
          <t>chr15</t>
        </is>
      </c>
      <c r="B1304" t="n">
        <v>58693802</v>
      </c>
      <c r="C1304" t="inlineStr">
        <is>
          <t>A</t>
        </is>
      </c>
      <c r="D1304" t="inlineStr">
        <is>
          <t>T</t>
        </is>
      </c>
      <c r="E1304" t="inlineStr">
        <is>
          <t>rs12912003</t>
        </is>
      </c>
      <c r="F1304" t="n">
        <v>0.0040761596799999</v>
      </c>
      <c r="G1304" t="n">
        <v>0.6925959359817789</v>
      </c>
      <c r="H1304" t="n">
        <v>0.0096438401370745</v>
      </c>
      <c r="I1304" t="n">
        <v>0.5569054507310731</v>
      </c>
      <c r="J1304" t="n">
        <v>0.0135756692457722</v>
      </c>
      <c r="K1304" t="n">
        <v>0.8544259045587668</v>
      </c>
      <c r="L1304" t="b">
        <v>0</v>
      </c>
      <c r="M1304" t="b">
        <v>0</v>
      </c>
      <c r="N1304" t="inlineStr">
        <is>
          <t>alt</t>
        </is>
      </c>
      <c r="O1304" t="n">
        <v>-80</v>
      </c>
      <c r="P1304" t="n">
        <v>0.002808</v>
      </c>
      <c r="Q1304" t="n">
        <v>-70</v>
      </c>
      <c r="R1304" t="n">
        <v>0.04065</v>
      </c>
      <c r="S1304">
        <f>IMAGE("https://mitra.stanford.edu/kundaje/oak/projects/neuro-variants/variant_position/credible/roussos_2024/variant_figures/roussos_2024.adolescence.GLU/rs12912003_count_position.png",4,220,900)</f>
        <v/>
      </c>
      <c r="T1304">
        <f>IMAGE("https://mitra.stanford.edu/kundaje/oak/projects/neuro-variants/variant_position/credible/roussos_2024/variant_figures/roussos_2024.adolescence.GLU/rs12912003_profile_position.png",4,220,900)</f>
        <v/>
      </c>
    </row>
    <row r="1305">
      <c r="A1305" t="inlineStr">
        <is>
          <t>chr15</t>
        </is>
      </c>
      <c r="B1305" t="n">
        <v>58756822</v>
      </c>
      <c r="C1305" t="inlineStr">
        <is>
          <t>A</t>
        </is>
      </c>
      <c r="D1305" t="inlineStr">
        <is>
          <t>G</t>
        </is>
      </c>
      <c r="E1305" t="inlineStr">
        <is>
          <t>rs640704</t>
        </is>
      </c>
      <c r="F1305" t="n">
        <v>0.07046111720000001</v>
      </c>
      <c r="G1305" t="n">
        <v>0.0208663914936949</v>
      </c>
      <c r="H1305" t="n">
        <v>0.0110557592062387</v>
      </c>
      <c r="I1305" t="n">
        <v>0.4113552514064244</v>
      </c>
      <c r="J1305" t="n">
        <v>0.1855898721878103</v>
      </c>
      <c r="K1305" t="n">
        <v>0.4274430226375927</v>
      </c>
      <c r="L1305" t="b">
        <v>0</v>
      </c>
      <c r="M1305" t="b">
        <v>0</v>
      </c>
      <c r="N1305" t="inlineStr">
        <is>
          <t>alt</t>
        </is>
      </c>
      <c r="O1305" t="n">
        <v>-90</v>
      </c>
      <c r="P1305" t="n">
        <v>0.01924</v>
      </c>
      <c r="Q1305" t="n">
        <v>65</v>
      </c>
      <c r="R1305" t="n">
        <v>0.07214</v>
      </c>
      <c r="S1305">
        <f>IMAGE("https://mitra.stanford.edu/kundaje/oak/projects/neuro-variants/variant_position/credible/roussos_2024/variant_figures/roussos_2024.adolescence.GLU/rs640704_count_position.png",4,220,900)</f>
        <v/>
      </c>
      <c r="T1305">
        <f>IMAGE("https://mitra.stanford.edu/kundaje/oak/projects/neuro-variants/variant_position/credible/roussos_2024/variant_figures/roussos_2024.adolescence.GLU/rs640704_profile_position.png",4,220,900)</f>
        <v/>
      </c>
    </row>
    <row r="1306">
      <c r="A1306" t="inlineStr">
        <is>
          <t>chr15</t>
        </is>
      </c>
      <c r="B1306" t="n">
        <v>58757147</v>
      </c>
      <c r="C1306" t="inlineStr">
        <is>
          <t>C</t>
        </is>
      </c>
      <c r="D1306" t="inlineStr">
        <is>
          <t>A</t>
        </is>
      </c>
      <c r="E1306" t="inlineStr">
        <is>
          <t>rs12437952</t>
        </is>
      </c>
      <c r="F1306" t="n">
        <v>0.01301555806</v>
      </c>
      <c r="G1306" t="n">
        <v>0.4122652252915336</v>
      </c>
      <c r="H1306" t="n">
        <v>0.0257853271311526</v>
      </c>
      <c r="I1306" t="n">
        <v>0.0166313644594731</v>
      </c>
      <c r="J1306" t="n">
        <v>0.1064034692900672</v>
      </c>
      <c r="K1306" t="n">
        <v>0.5662420306902978</v>
      </c>
      <c r="L1306" t="b">
        <v>1</v>
      </c>
      <c r="M1306" t="b">
        <v>0</v>
      </c>
      <c r="N1306" t="inlineStr">
        <is>
          <t>alt</t>
        </is>
      </c>
      <c r="O1306" t="n">
        <v>-65</v>
      </c>
      <c r="P1306" t="n">
        <v>0.003382</v>
      </c>
      <c r="Q1306" t="n">
        <v>-55</v>
      </c>
      <c r="R1306" t="n">
        <v>0.1046</v>
      </c>
      <c r="S1306">
        <f>IMAGE("https://mitra.stanford.edu/kundaje/oak/projects/neuro-variants/variant_position/credible/roussos_2024/variant_figures/roussos_2024.adolescence.GLU/rs12437952_count_position.png",4,220,900)</f>
        <v/>
      </c>
      <c r="T1306">
        <f>IMAGE("https://mitra.stanford.edu/kundaje/oak/projects/neuro-variants/variant_position/credible/roussos_2024/variant_figures/roussos_2024.adolescence.GLU/rs12437952_profile_position.png",4,220,900)</f>
        <v/>
      </c>
    </row>
    <row r="1307">
      <c r="A1307" t="inlineStr">
        <is>
          <t>chr15</t>
        </is>
      </c>
      <c r="B1307" t="n">
        <v>58774477</v>
      </c>
      <c r="C1307" t="inlineStr">
        <is>
          <t>C</t>
        </is>
      </c>
      <c r="D1307" t="inlineStr">
        <is>
          <t>T</t>
        </is>
      </c>
      <c r="E1307" t="inlineStr">
        <is>
          <t>rs8025383</t>
        </is>
      </c>
      <c r="F1307" t="n">
        <v>0.01426828254</v>
      </c>
      <c r="G1307" t="n">
        <v>0.3898121514844334</v>
      </c>
      <c r="H1307" t="n">
        <v>0.0125723240160372</v>
      </c>
      <c r="I1307" t="n">
        <v>0.2808906862723044</v>
      </c>
      <c r="J1307" t="n">
        <v>0.09863043058919339</v>
      </c>
      <c r="K1307" t="n">
        <v>0.5769404395667914</v>
      </c>
      <c r="L1307" t="b">
        <v>0</v>
      </c>
      <c r="M1307" t="b">
        <v>0</v>
      </c>
      <c r="N1307" t="inlineStr">
        <is>
          <t>alt</t>
        </is>
      </c>
      <c r="O1307" t="n">
        <v>-30</v>
      </c>
      <c r="P1307" t="n">
        <v>0.005432</v>
      </c>
      <c r="Q1307" t="n">
        <v>65</v>
      </c>
      <c r="R1307" t="n">
        <v>0.09470000000000001</v>
      </c>
      <c r="S1307">
        <f>IMAGE("https://mitra.stanford.edu/kundaje/oak/projects/neuro-variants/variant_position/credible/roussos_2024/variant_figures/roussos_2024.adolescence.GLU/rs8025383_count_position.png",4,220,900)</f>
        <v/>
      </c>
      <c r="T1307">
        <f>IMAGE("https://mitra.stanford.edu/kundaje/oak/projects/neuro-variants/variant_position/credible/roussos_2024/variant_figures/roussos_2024.adolescence.GLU/rs8025383_profile_position.png",4,220,900)</f>
        <v/>
      </c>
    </row>
    <row r="1308">
      <c r="A1308" t="inlineStr">
        <is>
          <t>chr15</t>
        </is>
      </c>
      <c r="B1308" t="n">
        <v>58794504</v>
      </c>
      <c r="C1308" t="inlineStr">
        <is>
          <t>T</t>
        </is>
      </c>
      <c r="D1308" t="inlineStr">
        <is>
          <t>G</t>
        </is>
      </c>
      <c r="E1308" t="inlineStr">
        <is>
          <t>rs474875</t>
        </is>
      </c>
      <c r="F1308" t="n">
        <v>0.0072395985499999</v>
      </c>
      <c r="G1308" t="n">
        <v>0.601956744582207</v>
      </c>
      <c r="H1308" t="n">
        <v>0.0198637400406381</v>
      </c>
      <c r="I1308" t="n">
        <v>0.0574065494820277</v>
      </c>
      <c r="J1308" t="n">
        <v>0.1876174350401154</v>
      </c>
      <c r="K1308" t="n">
        <v>0.4215089191961532</v>
      </c>
      <c r="L1308" t="b">
        <v>0</v>
      </c>
      <c r="M1308" t="b">
        <v>0</v>
      </c>
      <c r="N1308" t="inlineStr">
        <is>
          <t>alt</t>
        </is>
      </c>
      <c r="O1308" t="n">
        <v>-90</v>
      </c>
      <c r="P1308" t="n">
        <v>0.02017</v>
      </c>
      <c r="Q1308" t="n">
        <v>-95</v>
      </c>
      <c r="R1308" t="n">
        <v>0.03564</v>
      </c>
      <c r="S1308">
        <f>IMAGE("https://mitra.stanford.edu/kundaje/oak/projects/neuro-variants/variant_position/credible/roussos_2024/variant_figures/roussos_2024.adolescence.GLU/rs474875_count_position.png",4,220,900)</f>
        <v/>
      </c>
      <c r="T1308">
        <f>IMAGE("https://mitra.stanford.edu/kundaje/oak/projects/neuro-variants/variant_position/credible/roussos_2024/variant_figures/roussos_2024.adolescence.GLU/rs474875_profile_position.png",4,220,900)</f>
        <v/>
      </c>
    </row>
    <row r="1309">
      <c r="A1309" t="inlineStr">
        <is>
          <t>chr15</t>
        </is>
      </c>
      <c r="B1309" t="n">
        <v>58849507</v>
      </c>
      <c r="C1309" t="inlineStr">
        <is>
          <t>A</t>
        </is>
      </c>
      <c r="D1309" t="inlineStr">
        <is>
          <t>G</t>
        </is>
      </c>
      <c r="E1309" t="inlineStr">
        <is>
          <t>rs793571</t>
        </is>
      </c>
      <c r="F1309" t="n">
        <v>0.0074159077999999</v>
      </c>
      <c r="G1309" t="n">
        <v>0.6009066511127532</v>
      </c>
      <c r="H1309" t="n">
        <v>0.0220718146977613</v>
      </c>
      <c r="I1309" t="n">
        <v>0.0364230535005046</v>
      </c>
      <c r="J1309" t="n">
        <v>0.1038586564359759</v>
      </c>
      <c r="K1309" t="n">
        <v>0.5740595319179768</v>
      </c>
      <c r="L1309" t="b">
        <v>0</v>
      </c>
      <c r="M1309" t="b">
        <v>0</v>
      </c>
      <c r="N1309" t="inlineStr">
        <is>
          <t>alt</t>
        </is>
      </c>
      <c r="O1309" t="n">
        <v>-100</v>
      </c>
      <c r="P1309" t="n">
        <v>0.01535</v>
      </c>
      <c r="Q1309" t="n">
        <v>-100</v>
      </c>
      <c r="R1309" t="n">
        <v>0.0326</v>
      </c>
      <c r="S1309">
        <f>IMAGE("https://mitra.stanford.edu/kundaje/oak/projects/neuro-variants/variant_position/credible/roussos_2024/variant_figures/roussos_2024.adolescence.GLU/rs793571_count_position.png",4,220,900)</f>
        <v/>
      </c>
      <c r="T1309">
        <f>IMAGE("https://mitra.stanford.edu/kundaje/oak/projects/neuro-variants/variant_position/credible/roussos_2024/variant_figures/roussos_2024.adolescence.GLU/rs793571_profile_position.png",4,220,900)</f>
        <v/>
      </c>
    </row>
    <row r="1310">
      <c r="A1310" t="inlineStr">
        <is>
          <t>chr15</t>
        </is>
      </c>
      <c r="B1310" t="n">
        <v>58882340</v>
      </c>
      <c r="C1310" t="inlineStr">
        <is>
          <t>G</t>
        </is>
      </c>
      <c r="D1310" t="inlineStr">
        <is>
          <t>T</t>
        </is>
      </c>
      <c r="E1310" t="inlineStr">
        <is>
          <t>rs7179456</t>
        </is>
      </c>
      <c r="F1310" t="n">
        <v>-0.0132334192</v>
      </c>
      <c r="G1310" t="n">
        <v>0.4294221542722884</v>
      </c>
      <c r="H1310" t="n">
        <v>0.0074547300679832</v>
      </c>
      <c r="I1310" t="n">
        <v>0.8492184832543103</v>
      </c>
      <c r="J1310" t="n">
        <v>0.07944217016381951</v>
      </c>
      <c r="K1310" t="n">
        <v>0.6272296604366052</v>
      </c>
      <c r="L1310" t="b">
        <v>0</v>
      </c>
      <c r="M1310" t="b">
        <v>0</v>
      </c>
      <c r="N1310" t="inlineStr">
        <is>
          <t>ref</t>
        </is>
      </c>
      <c r="O1310" t="n">
        <v>-40</v>
      </c>
      <c r="P1310" t="n">
        <v>0.02295</v>
      </c>
      <c r="Q1310" t="n">
        <v>35</v>
      </c>
      <c r="R1310" t="n">
        <v>0.04962</v>
      </c>
      <c r="S1310">
        <f>IMAGE("https://mitra.stanford.edu/kundaje/oak/projects/neuro-variants/variant_position/credible/roussos_2024/variant_figures/roussos_2024.adolescence.GLU/rs7179456_count_position.png",4,220,900)</f>
        <v/>
      </c>
      <c r="T1310">
        <f>IMAGE("https://mitra.stanford.edu/kundaje/oak/projects/neuro-variants/variant_position/credible/roussos_2024/variant_figures/roussos_2024.adolescence.GLU/rs7179456_profile_position.png",4,220,900)</f>
        <v/>
      </c>
    </row>
    <row r="1311">
      <c r="A1311" t="inlineStr">
        <is>
          <t>chr15</t>
        </is>
      </c>
      <c r="B1311" t="n">
        <v>58889786</v>
      </c>
      <c r="C1311" t="inlineStr">
        <is>
          <t>G</t>
        </is>
      </c>
      <c r="D1311" t="inlineStr">
        <is>
          <t>A</t>
        </is>
      </c>
      <c r="E1311" t="inlineStr">
        <is>
          <t>rs2270664</t>
        </is>
      </c>
      <c r="F1311" t="n">
        <v>0.009966517980000001</v>
      </c>
      <c r="G1311" t="n">
        <v>0.5120841254269934</v>
      </c>
      <c r="H1311" t="n">
        <v>0.022463505662493</v>
      </c>
      <c r="I1311" t="n">
        <v>0.035212431662734</v>
      </c>
      <c r="J1311" t="n">
        <v>0.3032471011852455</v>
      </c>
      <c r="K1311" t="n">
        <v>0.2648300918591338</v>
      </c>
      <c r="L1311" t="b">
        <v>0</v>
      </c>
      <c r="M1311" t="b">
        <v>0</v>
      </c>
      <c r="N1311" t="inlineStr">
        <is>
          <t>alt</t>
        </is>
      </c>
      <c r="O1311" t="n">
        <v>-20</v>
      </c>
      <c r="P1311" t="n">
        <v>0.003426</v>
      </c>
      <c r="Q1311" t="n">
        <v>-20</v>
      </c>
      <c r="R1311" t="n">
        <v>0.0824</v>
      </c>
      <c r="S1311">
        <f>IMAGE("https://mitra.stanford.edu/kundaje/oak/projects/neuro-variants/variant_position/credible/roussos_2024/variant_figures/roussos_2024.adolescence.GLU/rs2270664_count_position.png",4,220,900)</f>
        <v/>
      </c>
      <c r="T1311">
        <f>IMAGE("https://mitra.stanford.edu/kundaje/oak/projects/neuro-variants/variant_position/credible/roussos_2024/variant_figures/roussos_2024.adolescence.GLU/rs2270664_profile_position.png",4,220,900)</f>
        <v/>
      </c>
    </row>
    <row r="1312">
      <c r="A1312" t="inlineStr">
        <is>
          <t>chr15</t>
        </is>
      </c>
      <c r="B1312" t="n">
        <v>58891447</v>
      </c>
      <c r="C1312" t="inlineStr">
        <is>
          <t>T</t>
        </is>
      </c>
      <c r="D1312" t="inlineStr">
        <is>
          <t>C</t>
        </is>
      </c>
      <c r="E1312" t="inlineStr">
        <is>
          <t>rs11071400</t>
        </is>
      </c>
      <c r="F1312" t="n">
        <v>0.00519550242</v>
      </c>
      <c r="G1312" t="n">
        <v>0.6814903095776637</v>
      </c>
      <c r="H1312" t="n">
        <v>0.0201004557885591</v>
      </c>
      <c r="I1312" t="n">
        <v>0.0526401353534578</v>
      </c>
      <c r="J1312" t="n">
        <v>0.0031363639611061</v>
      </c>
      <c r="K1312" t="n">
        <v>0.9444890532737074</v>
      </c>
      <c r="L1312" t="b">
        <v>0</v>
      </c>
      <c r="M1312" t="b">
        <v>0</v>
      </c>
      <c r="N1312" t="inlineStr">
        <is>
          <t>alt</t>
        </is>
      </c>
      <c r="O1312" t="n">
        <v>-80</v>
      </c>
      <c r="P1312" t="n">
        <v>0.003815</v>
      </c>
      <c r="Q1312" t="n">
        <v>100</v>
      </c>
      <c r="R1312" t="n">
        <v>0.03522</v>
      </c>
      <c r="S1312">
        <f>IMAGE("https://mitra.stanford.edu/kundaje/oak/projects/neuro-variants/variant_position/credible/roussos_2024/variant_figures/roussos_2024.adolescence.GLU/rs11071400_count_position.png",4,220,900)</f>
        <v/>
      </c>
      <c r="T1312">
        <f>IMAGE("https://mitra.stanford.edu/kundaje/oak/projects/neuro-variants/variant_position/credible/roussos_2024/variant_figures/roussos_2024.adolescence.GLU/rs11071400_profile_position.png",4,220,900)</f>
        <v/>
      </c>
    </row>
    <row r="1313">
      <c r="A1313" t="inlineStr">
        <is>
          <t>chr15</t>
        </is>
      </c>
      <c r="B1313" t="n">
        <v>58905741</v>
      </c>
      <c r="C1313" t="inlineStr">
        <is>
          <t>T</t>
        </is>
      </c>
      <c r="D1313" t="inlineStr">
        <is>
          <t>C</t>
        </is>
      </c>
      <c r="E1313" t="inlineStr">
        <is>
          <t>rs11857223</t>
        </is>
      </c>
      <c r="F1313" t="n">
        <v>0.0525451984</v>
      </c>
      <c r="G1313" t="n">
        <v>0.0556081490138168</v>
      </c>
      <c r="H1313" t="n">
        <v>0.0131788863790979</v>
      </c>
      <c r="I1313" t="n">
        <v>0.2403837521122974</v>
      </c>
      <c r="J1313" t="n">
        <v>0.0356602439076665</v>
      </c>
      <c r="K1313" t="n">
        <v>0.7476755209280583</v>
      </c>
      <c r="L1313" t="b">
        <v>0</v>
      </c>
      <c r="M1313" t="b">
        <v>0</v>
      </c>
      <c r="N1313" t="inlineStr">
        <is>
          <t>alt</t>
        </is>
      </c>
      <c r="O1313" t="n">
        <v>-100</v>
      </c>
      <c r="P1313" t="n">
        <v>0.0757</v>
      </c>
      <c r="Q1313" t="n">
        <v>-35</v>
      </c>
      <c r="R1313" t="n">
        <v>0.03085</v>
      </c>
      <c r="S1313">
        <f>IMAGE("https://mitra.stanford.edu/kundaje/oak/projects/neuro-variants/variant_position/credible/roussos_2024/variant_figures/roussos_2024.adolescence.GLU/rs11857223_count_position.png",4,220,900)</f>
        <v/>
      </c>
      <c r="T1313">
        <f>IMAGE("https://mitra.stanford.edu/kundaje/oak/projects/neuro-variants/variant_position/credible/roussos_2024/variant_figures/roussos_2024.adolescence.GLU/rs11857223_profile_position.png",4,220,900)</f>
        <v/>
      </c>
    </row>
    <row r="1314">
      <c r="A1314" t="inlineStr">
        <is>
          <t>chr15</t>
        </is>
      </c>
      <c r="B1314" t="n">
        <v>58910399</v>
      </c>
      <c r="C1314" t="inlineStr">
        <is>
          <t>G</t>
        </is>
      </c>
      <c r="D1314" t="inlineStr">
        <is>
          <t>T</t>
        </is>
      </c>
      <c r="E1314" t="inlineStr">
        <is>
          <t>rs4774315</t>
        </is>
      </c>
      <c r="F1314" t="n">
        <v>-0.0142645599999999</v>
      </c>
      <c r="G1314" t="n">
        <v>0.4058631685285673</v>
      </c>
      <c r="H1314" t="n">
        <v>0.0072375265988678</v>
      </c>
      <c r="I1314" t="n">
        <v>0.8885567566827495</v>
      </c>
      <c r="J1314" t="n">
        <v>0.0371891320344928</v>
      </c>
      <c r="K1314" t="n">
        <v>0.7426838500209111</v>
      </c>
      <c r="L1314" t="b">
        <v>0</v>
      </c>
      <c r="M1314" t="b">
        <v>0</v>
      </c>
      <c r="N1314" t="inlineStr">
        <is>
          <t>ref</t>
        </is>
      </c>
      <c r="O1314" t="n">
        <v>-90</v>
      </c>
      <c r="P1314" t="n">
        <v>0.00612</v>
      </c>
      <c r="Q1314" t="n">
        <v>-100</v>
      </c>
      <c r="R1314" t="n">
        <v>0.03717</v>
      </c>
      <c r="S1314">
        <f>IMAGE("https://mitra.stanford.edu/kundaje/oak/projects/neuro-variants/variant_position/credible/roussos_2024/variant_figures/roussos_2024.adolescence.GLU/rs4774315_count_position.png",4,220,900)</f>
        <v/>
      </c>
      <c r="T1314">
        <f>IMAGE("https://mitra.stanford.edu/kundaje/oak/projects/neuro-variants/variant_position/credible/roussos_2024/variant_figures/roussos_2024.adolescence.GLU/rs4774315_profile_position.png",4,220,900)</f>
        <v/>
      </c>
    </row>
    <row r="1315">
      <c r="A1315" t="inlineStr">
        <is>
          <t>chr15</t>
        </is>
      </c>
      <c r="B1315" t="n">
        <v>58946062</v>
      </c>
      <c r="C1315" t="inlineStr">
        <is>
          <t>A</t>
        </is>
      </c>
      <c r="D1315" t="inlineStr">
        <is>
          <t>G</t>
        </is>
      </c>
      <c r="E1315" t="inlineStr">
        <is>
          <t>rs4775106</t>
        </is>
      </c>
      <c r="F1315" t="n">
        <v>0.0186270836</v>
      </c>
      <c r="G1315" t="n">
        <v>0.2981512203066789</v>
      </c>
      <c r="H1315" t="n">
        <v>0.0115585671725657</v>
      </c>
      <c r="I1315" t="n">
        <v>0.3769489827377142</v>
      </c>
      <c r="J1315" t="n">
        <v>0.0529623993541518</v>
      </c>
      <c r="K1315" t="n">
        <v>0.6913235840731422</v>
      </c>
      <c r="L1315" t="b">
        <v>0</v>
      </c>
      <c r="M1315" t="b">
        <v>0</v>
      </c>
      <c r="N1315" t="inlineStr">
        <is>
          <t>alt</t>
        </is>
      </c>
      <c r="O1315" t="n">
        <v>100</v>
      </c>
      <c r="P1315" t="n">
        <v>0.006634</v>
      </c>
      <c r="Q1315" t="n">
        <v>65</v>
      </c>
      <c r="R1315" t="n">
        <v>0.1216</v>
      </c>
      <c r="S1315">
        <f>IMAGE("https://mitra.stanford.edu/kundaje/oak/projects/neuro-variants/variant_position/credible/roussos_2024/variant_figures/roussos_2024.adolescence.GLU/rs4775106_count_position.png",4,220,900)</f>
        <v/>
      </c>
      <c r="T1315">
        <f>IMAGE("https://mitra.stanford.edu/kundaje/oak/projects/neuro-variants/variant_position/credible/roussos_2024/variant_figures/roussos_2024.adolescence.GLU/rs4775106_profile_position.png",4,220,900)</f>
        <v/>
      </c>
    </row>
    <row r="1316">
      <c r="A1316" t="inlineStr">
        <is>
          <t>chr15</t>
        </is>
      </c>
      <c r="B1316" t="n">
        <v>59067727</v>
      </c>
      <c r="C1316" t="inlineStr">
        <is>
          <t>C</t>
        </is>
      </c>
      <c r="D1316" t="inlineStr">
        <is>
          <t>T</t>
        </is>
      </c>
      <c r="E1316" t="inlineStr">
        <is>
          <t>rs8042896</t>
        </is>
      </c>
      <c r="F1316" t="n">
        <v>0.0007249589</v>
      </c>
      <c r="G1316" t="n">
        <v>0.8186911219229027</v>
      </c>
      <c r="H1316" t="n">
        <v>0.0159187692043852</v>
      </c>
      <c r="I1316" t="n">
        <v>0.1353147369292732</v>
      </c>
      <c r="J1316" t="n">
        <v>0.123094069485822</v>
      </c>
      <c r="K1316" t="n">
        <v>0.5287559876497074</v>
      </c>
      <c r="L1316" t="b">
        <v>0</v>
      </c>
      <c r="M1316" t="b">
        <v>0</v>
      </c>
      <c r="N1316" t="inlineStr">
        <is>
          <t>alt</t>
        </is>
      </c>
      <c r="O1316" t="n">
        <v>95</v>
      </c>
      <c r="P1316" t="n">
        <v>0.00797</v>
      </c>
      <c r="Q1316" t="n">
        <v>75</v>
      </c>
      <c r="R1316" t="n">
        <v>0.05957</v>
      </c>
      <c r="S1316">
        <f>IMAGE("https://mitra.stanford.edu/kundaje/oak/projects/neuro-variants/variant_position/credible/roussos_2024/variant_figures/roussos_2024.adolescence.GLU/rs8042896_count_position.png",4,220,900)</f>
        <v/>
      </c>
      <c r="T1316">
        <f>IMAGE("https://mitra.stanford.edu/kundaje/oak/projects/neuro-variants/variant_position/credible/roussos_2024/variant_figures/roussos_2024.adolescence.GLU/rs8042896_profile_position.png",4,220,900)</f>
        <v/>
      </c>
    </row>
    <row r="1317">
      <c r="A1317" t="inlineStr">
        <is>
          <t>chr15</t>
        </is>
      </c>
      <c r="B1317" t="n">
        <v>59072894</v>
      </c>
      <c r="C1317" t="inlineStr">
        <is>
          <t>C</t>
        </is>
      </c>
      <c r="D1317" t="inlineStr">
        <is>
          <t>A</t>
        </is>
      </c>
      <c r="E1317" t="inlineStr">
        <is>
          <t>rs78352043</t>
        </is>
      </c>
      <c r="F1317" t="n">
        <v>0.00958747138</v>
      </c>
      <c r="G1317" t="n">
        <v>0.5205387101713097</v>
      </c>
      <c r="H1317" t="n">
        <v>0.0447859894887356</v>
      </c>
      <c r="I1317" t="n">
        <v>0.0021557965625782</v>
      </c>
      <c r="J1317" t="n">
        <v>0.1557565495709825</v>
      </c>
      <c r="K1317" t="n">
        <v>0.4721412654823209</v>
      </c>
      <c r="L1317" t="b">
        <v>1</v>
      </c>
      <c r="M1317" t="b">
        <v>1</v>
      </c>
      <c r="N1317" t="inlineStr">
        <is>
          <t>alt</t>
        </is>
      </c>
      <c r="O1317" t="n">
        <v>30</v>
      </c>
      <c r="P1317" t="n">
        <v>0.00598</v>
      </c>
      <c r="Q1317" t="n">
        <v>100</v>
      </c>
      <c r="R1317" t="n">
        <v>0.0958</v>
      </c>
      <c r="S1317">
        <f>IMAGE("https://mitra.stanford.edu/kundaje/oak/projects/neuro-variants/variant_position/credible/roussos_2024/variant_figures/roussos_2024.adolescence.GLU/rs78352043_count_position.png",4,220,900)</f>
        <v/>
      </c>
      <c r="T1317">
        <f>IMAGE("https://mitra.stanford.edu/kundaje/oak/projects/neuro-variants/variant_position/credible/roussos_2024/variant_figures/roussos_2024.adolescence.GLU/rs78352043_profile_position.png",4,220,900)</f>
        <v/>
      </c>
    </row>
    <row r="1318">
      <c r="A1318" t="inlineStr">
        <is>
          <t>chr15</t>
        </is>
      </c>
      <c r="B1318" t="n">
        <v>61539481</v>
      </c>
      <c r="C1318" t="inlineStr">
        <is>
          <t>T</t>
        </is>
      </c>
      <c r="D1318" t="inlineStr">
        <is>
          <t>C</t>
        </is>
      </c>
      <c r="E1318" t="inlineStr">
        <is>
          <t>rs11633501</t>
        </is>
      </c>
      <c r="F1318" t="n">
        <v>0.06253830834</v>
      </c>
      <c r="G1318" t="n">
        <v>0.055925978876262</v>
      </c>
      <c r="H1318" t="n">
        <v>0.0201997070585464</v>
      </c>
      <c r="I1318" t="n">
        <v>0.07948207083553351</v>
      </c>
      <c r="J1318" t="n">
        <v>0.2164505504711689</v>
      </c>
      <c r="K1318" t="n">
        <v>0.374801362534681</v>
      </c>
      <c r="L1318" t="b">
        <v>0</v>
      </c>
      <c r="M1318" t="b">
        <v>0</v>
      </c>
      <c r="N1318" t="inlineStr">
        <is>
          <t>alt</t>
        </is>
      </c>
      <c r="O1318" t="n">
        <v>80</v>
      </c>
      <c r="P1318" t="n">
        <v>0.00721</v>
      </c>
      <c r="Q1318" t="n">
        <v>65</v>
      </c>
      <c r="R1318" t="n">
        <v>0.1069</v>
      </c>
      <c r="S1318">
        <f>IMAGE("https://mitra.stanford.edu/kundaje/oak/projects/neuro-variants/variant_position/credible/roussos_2024/variant_figures/roussos_2024.adolescence.GLU/rs11633501_count_position.png",4,220,900)</f>
        <v/>
      </c>
      <c r="T1318">
        <f>IMAGE("https://mitra.stanford.edu/kundaje/oak/projects/neuro-variants/variant_position/credible/roussos_2024/variant_figures/roussos_2024.adolescence.GLU/rs11633501_profile_position.png",4,220,900)</f>
        <v/>
      </c>
    </row>
    <row r="1319">
      <c r="A1319" t="inlineStr">
        <is>
          <t>chr15</t>
        </is>
      </c>
      <c r="B1319" t="n">
        <v>61546114</v>
      </c>
      <c r="C1319" t="inlineStr">
        <is>
          <t>C</t>
        </is>
      </c>
      <c r="D1319" t="inlineStr">
        <is>
          <t>T</t>
        </is>
      </c>
      <c r="E1319" t="inlineStr">
        <is>
          <t>rs4635285</t>
        </is>
      </c>
      <c r="F1319" t="n">
        <v>-0.0532508474</v>
      </c>
      <c r="G1319" t="n">
        <v>0.0578378034601857</v>
      </c>
      <c r="H1319" t="n">
        <v>0.0105322638381441</v>
      </c>
      <c r="I1319" t="n">
        <v>0.4550627535598228</v>
      </c>
      <c r="J1319" t="n">
        <v>0.2882554243378985</v>
      </c>
      <c r="K1319" t="n">
        <v>0.2856314924903388</v>
      </c>
      <c r="L1319" t="b">
        <v>0</v>
      </c>
      <c r="M1319" t="b">
        <v>0</v>
      </c>
      <c r="N1319" t="inlineStr">
        <is>
          <t>ref</t>
        </is>
      </c>
      <c r="O1319" t="n">
        <v>55</v>
      </c>
      <c r="P1319" t="n">
        <v>0.00334</v>
      </c>
      <c r="Q1319" t="n">
        <v>-55</v>
      </c>
      <c r="R1319" t="n">
        <v>0.005554</v>
      </c>
      <c r="S1319">
        <f>IMAGE("https://mitra.stanford.edu/kundaje/oak/projects/neuro-variants/variant_position/credible/roussos_2024/variant_figures/roussos_2024.adolescence.GLU/rs4635285_count_position.png",4,220,900)</f>
        <v/>
      </c>
      <c r="T1319">
        <f>IMAGE("https://mitra.stanford.edu/kundaje/oak/projects/neuro-variants/variant_position/credible/roussos_2024/variant_figures/roussos_2024.adolescence.GLU/rs4635285_profile_position.png",4,220,900)</f>
        <v/>
      </c>
    </row>
    <row r="1320">
      <c r="A1320" t="inlineStr">
        <is>
          <t>chr15</t>
        </is>
      </c>
      <c r="B1320" t="n">
        <v>61559059</v>
      </c>
      <c r="C1320" t="inlineStr">
        <is>
          <t>G</t>
        </is>
      </c>
      <c r="D1320" t="inlineStr">
        <is>
          <t>T</t>
        </is>
      </c>
      <c r="E1320" t="inlineStr">
        <is>
          <t>rs55835773</t>
        </is>
      </c>
      <c r="F1320" t="n">
        <v>0.091445108</v>
      </c>
      <c r="G1320" t="n">
        <v>0.0184373507249876</v>
      </c>
      <c r="H1320" t="n">
        <v>0.0368692268651011</v>
      </c>
      <c r="I1320" t="n">
        <v>0.0067913275051133</v>
      </c>
      <c r="J1320" t="n">
        <v>0.2765630023361981</v>
      </c>
      <c r="K1320" t="n">
        <v>0.2944971843153248</v>
      </c>
      <c r="L1320" t="b">
        <v>1</v>
      </c>
      <c r="M1320" t="b">
        <v>1</v>
      </c>
      <c r="N1320" t="inlineStr">
        <is>
          <t>alt</t>
        </is>
      </c>
      <c r="O1320" t="n">
        <v>65</v>
      </c>
      <c r="P1320" t="n">
        <v>0.002502</v>
      </c>
      <c r="Q1320" t="n">
        <v>-40</v>
      </c>
      <c r="R1320" t="n">
        <v>0.02856</v>
      </c>
      <c r="S1320">
        <f>IMAGE("https://mitra.stanford.edu/kundaje/oak/projects/neuro-variants/variant_position/credible/roussos_2024/variant_figures/roussos_2024.adolescence.GLU/rs55835773_count_position.png",4,220,900)</f>
        <v/>
      </c>
      <c r="T1320">
        <f>IMAGE("https://mitra.stanford.edu/kundaje/oak/projects/neuro-variants/variant_position/credible/roussos_2024/variant_figures/roussos_2024.adolescence.GLU/rs55835773_profile_position.png",4,220,900)</f>
        <v/>
      </c>
    </row>
    <row r="1321">
      <c r="A1321" t="inlineStr">
        <is>
          <t>chr15</t>
        </is>
      </c>
      <c r="B1321" t="n">
        <v>61559075</v>
      </c>
      <c r="C1321" t="inlineStr">
        <is>
          <t>C</t>
        </is>
      </c>
      <c r="D1321" t="inlineStr">
        <is>
          <t>T</t>
        </is>
      </c>
      <c r="E1321" t="inlineStr">
        <is>
          <t>rs55835940</t>
        </is>
      </c>
      <c r="F1321" t="n">
        <v>-0.0503716817399999</v>
      </c>
      <c r="G1321" t="n">
        <v>0.0822628209017647</v>
      </c>
      <c r="H1321" t="n">
        <v>0.0192066085099134</v>
      </c>
      <c r="I1321" t="n">
        <v>0.07815716219720741</v>
      </c>
      <c r="J1321" t="n">
        <v>0.2352601610333569</v>
      </c>
      <c r="K1321" t="n">
        <v>0.3496539125496595</v>
      </c>
      <c r="L1321" t="b">
        <v>0</v>
      </c>
      <c r="M1321" t="b">
        <v>0</v>
      </c>
      <c r="N1321" t="inlineStr">
        <is>
          <t>ref</t>
        </is>
      </c>
      <c r="O1321" t="n">
        <v>-70</v>
      </c>
      <c r="P1321" t="n">
        <v>0.00373</v>
      </c>
      <c r="Q1321" t="n">
        <v>-60</v>
      </c>
      <c r="R1321" t="n">
        <v>0.0384</v>
      </c>
      <c r="S1321">
        <f>IMAGE("https://mitra.stanford.edu/kundaje/oak/projects/neuro-variants/variant_position/credible/roussos_2024/variant_figures/roussos_2024.adolescence.GLU/rs55835940_count_position.png",4,220,900)</f>
        <v/>
      </c>
      <c r="T1321">
        <f>IMAGE("https://mitra.stanford.edu/kundaje/oak/projects/neuro-variants/variant_position/credible/roussos_2024/variant_figures/roussos_2024.adolescence.GLU/rs55835940_profile_position.png",4,220,900)</f>
        <v/>
      </c>
    </row>
    <row r="1322">
      <c r="A1322" t="inlineStr">
        <is>
          <t>chr15</t>
        </is>
      </c>
      <c r="B1322" t="n">
        <v>61598711</v>
      </c>
      <c r="C1322" t="inlineStr">
        <is>
          <t>C</t>
        </is>
      </c>
      <c r="D1322" t="inlineStr">
        <is>
          <t>T</t>
        </is>
      </c>
      <c r="E1322" t="inlineStr">
        <is>
          <t>rs7169676</t>
        </is>
      </c>
      <c r="F1322" t="n">
        <v>-0.00631076286</v>
      </c>
      <c r="G1322" t="n">
        <v>0.6023016652656437</v>
      </c>
      <c r="H1322" t="n">
        <v>0.0109563146285732</v>
      </c>
      <c r="I1322" t="n">
        <v>0.4253835280015132</v>
      </c>
      <c r="J1322" t="n">
        <v>0.3473748133541948</v>
      </c>
      <c r="K1322" t="n">
        <v>0.2190192790901686</v>
      </c>
      <c r="L1322" t="b">
        <v>0</v>
      </c>
      <c r="M1322" t="b">
        <v>0</v>
      </c>
      <c r="N1322" t="inlineStr">
        <is>
          <t>ref</t>
        </is>
      </c>
      <c r="O1322" t="n">
        <v>100</v>
      </c>
      <c r="P1322" t="n">
        <v>0.011444</v>
      </c>
      <c r="Q1322" t="n">
        <v>95</v>
      </c>
      <c r="R1322" t="n">
        <v>0.1536</v>
      </c>
      <c r="S1322">
        <f>IMAGE("https://mitra.stanford.edu/kundaje/oak/projects/neuro-variants/variant_position/credible/roussos_2024/variant_figures/roussos_2024.adolescence.GLU/rs7169676_count_position.png",4,220,900)</f>
        <v/>
      </c>
      <c r="T1322">
        <f>IMAGE("https://mitra.stanford.edu/kundaje/oak/projects/neuro-variants/variant_position/credible/roussos_2024/variant_figures/roussos_2024.adolescence.GLU/rs7169676_profile_position.png",4,220,900)</f>
        <v/>
      </c>
    </row>
    <row r="1323">
      <c r="A1323" t="inlineStr">
        <is>
          <t>chr15</t>
        </is>
      </c>
      <c r="B1323" t="n">
        <v>70282669</v>
      </c>
      <c r="C1323" t="inlineStr">
        <is>
          <t>G</t>
        </is>
      </c>
      <c r="D1323" t="inlineStr">
        <is>
          <t>T</t>
        </is>
      </c>
      <c r="E1323" t="inlineStr">
        <is>
          <t>rs28620094</t>
        </is>
      </c>
      <c r="F1323" t="n">
        <v>0.1187699798</v>
      </c>
      <c r="G1323" t="n">
        <v>0.008874064361215499</v>
      </c>
      <c r="H1323" t="n">
        <v>0.036043856859413</v>
      </c>
      <c r="I1323" t="n">
        <v>0.0072955881580357</v>
      </c>
      <c r="J1323" t="n">
        <v>0.1306627801473162</v>
      </c>
      <c r="K1323" t="n">
        <v>0.5121076512314822</v>
      </c>
      <c r="L1323" t="b">
        <v>1</v>
      </c>
      <c r="M1323" t="b">
        <v>1</v>
      </c>
      <c r="N1323" t="inlineStr">
        <is>
          <t>alt</t>
        </is>
      </c>
      <c r="O1323" t="n">
        <v>-95</v>
      </c>
      <c r="P1323" t="n">
        <v>0.00596</v>
      </c>
      <c r="Q1323" t="n">
        <v>-80</v>
      </c>
      <c r="R1323" t="n">
        <v>0.02734</v>
      </c>
      <c r="S1323">
        <f>IMAGE("https://mitra.stanford.edu/kundaje/oak/projects/neuro-variants/variant_position/credible/roussos_2024/variant_figures/roussos_2024.adolescence.GLU/rs28620094_count_position.png",4,220,900)</f>
        <v/>
      </c>
      <c r="T1323">
        <f>IMAGE("https://mitra.stanford.edu/kundaje/oak/projects/neuro-variants/variant_position/credible/roussos_2024/variant_figures/roussos_2024.adolescence.GLU/rs28620094_profile_position.png",4,220,900)</f>
        <v/>
      </c>
    </row>
    <row r="1324">
      <c r="A1324" t="inlineStr">
        <is>
          <t>chr15</t>
        </is>
      </c>
      <c r="B1324" t="n">
        <v>70283799</v>
      </c>
      <c r="C1324" t="inlineStr">
        <is>
          <t>G</t>
        </is>
      </c>
      <c r="D1324" t="inlineStr">
        <is>
          <t>A</t>
        </is>
      </c>
      <c r="E1324" t="inlineStr">
        <is>
          <t>rs1971791</t>
        </is>
      </c>
      <c r="F1324" t="n">
        <v>-0.034399448</v>
      </c>
      <c r="G1324" t="n">
        <v>0.1463478015768524</v>
      </c>
      <c r="H1324" t="n">
        <v>0.0092720509747712</v>
      </c>
      <c r="I1324" t="n">
        <v>0.6219778518907553</v>
      </c>
      <c r="J1324" t="n">
        <v>0.074581163240957</v>
      </c>
      <c r="K1324" t="n">
        <v>0.6385403974800471</v>
      </c>
      <c r="L1324" t="b">
        <v>0</v>
      </c>
      <c r="M1324" t="b">
        <v>0</v>
      </c>
      <c r="N1324" t="inlineStr">
        <is>
          <t>ref</t>
        </is>
      </c>
      <c r="O1324" t="n">
        <v>35</v>
      </c>
      <c r="P1324" t="n">
        <v>0.001604</v>
      </c>
      <c r="Q1324" t="n">
        <v>-85</v>
      </c>
      <c r="R1324" t="n">
        <v>0.04938</v>
      </c>
      <c r="S1324">
        <f>IMAGE("https://mitra.stanford.edu/kundaje/oak/projects/neuro-variants/variant_position/credible/roussos_2024/variant_figures/roussos_2024.adolescence.GLU/rs1971791_count_position.png",4,220,900)</f>
        <v/>
      </c>
      <c r="T1324">
        <f>IMAGE("https://mitra.stanford.edu/kundaje/oak/projects/neuro-variants/variant_position/credible/roussos_2024/variant_figures/roussos_2024.adolescence.GLU/rs1971791_profile_position.png",4,220,900)</f>
        <v/>
      </c>
    </row>
    <row r="1325">
      <c r="A1325" t="inlineStr">
        <is>
          <t>chr15</t>
        </is>
      </c>
      <c r="B1325" t="n">
        <v>70301656</v>
      </c>
      <c r="C1325" t="inlineStr">
        <is>
          <t>T</t>
        </is>
      </c>
      <c r="D1325" t="inlineStr">
        <is>
          <t>C</t>
        </is>
      </c>
      <c r="E1325" t="inlineStr">
        <is>
          <t>rs2415092</t>
        </is>
      </c>
      <c r="F1325" t="n">
        <v>0.0449542502</v>
      </c>
      <c r="G1325" t="n">
        <v>0.0804647373568614</v>
      </c>
      <c r="H1325" t="n">
        <v>0.0159296820672328</v>
      </c>
      <c r="I1325" t="n">
        <v>0.1308124324484435</v>
      </c>
      <c r="J1325" t="n">
        <v>0.3342520950768373</v>
      </c>
      <c r="K1325" t="n">
        <v>0.2325610945841859</v>
      </c>
      <c r="L1325" t="b">
        <v>0</v>
      </c>
      <c r="M1325" t="b">
        <v>0</v>
      </c>
      <c r="N1325" t="inlineStr">
        <is>
          <t>alt</t>
        </is>
      </c>
      <c r="O1325" t="n">
        <v>-75</v>
      </c>
      <c r="P1325" t="n">
        <v>0.003561</v>
      </c>
      <c r="Q1325" t="n">
        <v>-45</v>
      </c>
      <c r="R1325" t="n">
        <v>0.03217</v>
      </c>
      <c r="S1325">
        <f>IMAGE("https://mitra.stanford.edu/kundaje/oak/projects/neuro-variants/variant_position/credible/roussos_2024/variant_figures/roussos_2024.adolescence.GLU/rs2415092_count_position.png",4,220,900)</f>
        <v/>
      </c>
      <c r="T1325">
        <f>IMAGE("https://mitra.stanford.edu/kundaje/oak/projects/neuro-variants/variant_position/credible/roussos_2024/variant_figures/roussos_2024.adolescence.GLU/rs2415092_profile_position.png",4,220,900)</f>
        <v/>
      </c>
    </row>
    <row r="1326">
      <c r="A1326" t="inlineStr">
        <is>
          <t>chr15</t>
        </is>
      </c>
      <c r="B1326" t="n">
        <v>78447129</v>
      </c>
      <c r="C1326" t="inlineStr">
        <is>
          <t>T</t>
        </is>
      </c>
      <c r="D1326" t="inlineStr">
        <is>
          <t>C</t>
        </is>
      </c>
      <c r="E1326" t="inlineStr">
        <is>
          <t>rs2915695</t>
        </is>
      </c>
      <c r="F1326" t="n">
        <v>0.00976258424</v>
      </c>
      <c r="G1326" t="n">
        <v>0.524849354453726</v>
      </c>
      <c r="H1326" t="n">
        <v>0.0073970785627656</v>
      </c>
      <c r="I1326" t="n">
        <v>0.8649905143551109</v>
      </c>
      <c r="J1326" t="n">
        <v>0.1606932864664823</v>
      </c>
      <c r="K1326" t="n">
        <v>0.4692280163916203</v>
      </c>
      <c r="L1326" t="b">
        <v>0</v>
      </c>
      <c r="M1326" t="b">
        <v>0</v>
      </c>
      <c r="N1326" t="inlineStr">
        <is>
          <t>alt</t>
        </is>
      </c>
      <c r="O1326" t="n">
        <v>-55</v>
      </c>
      <c r="P1326" t="n">
        <v>0.01944</v>
      </c>
      <c r="Q1326" t="n">
        <v>-40</v>
      </c>
      <c r="R1326" t="n">
        <v>0.04587</v>
      </c>
      <c r="S1326">
        <f>IMAGE("https://mitra.stanford.edu/kundaje/oak/projects/neuro-variants/variant_position/credible/roussos_2024/variant_figures/roussos_2024.adolescence.GLU/rs2915695_count_position.png",4,220,900)</f>
        <v/>
      </c>
      <c r="T1326">
        <f>IMAGE("https://mitra.stanford.edu/kundaje/oak/projects/neuro-variants/variant_position/credible/roussos_2024/variant_figures/roussos_2024.adolescence.GLU/rs2915695_profile_position.png",4,220,900)</f>
        <v/>
      </c>
    </row>
    <row r="1327">
      <c r="A1327" t="inlineStr">
        <is>
          <t>chr15</t>
        </is>
      </c>
      <c r="B1327" t="n">
        <v>78571130</v>
      </c>
      <c r="C1327" t="inlineStr">
        <is>
          <t>T</t>
        </is>
      </c>
      <c r="D1327" t="inlineStr">
        <is>
          <t>C</t>
        </is>
      </c>
      <c r="E1327" t="inlineStr">
        <is>
          <t>rs667282</t>
        </is>
      </c>
      <c r="F1327" t="n">
        <v>0.1071407279999999</v>
      </c>
      <c r="G1327" t="n">
        <v>0.0063534254170142</v>
      </c>
      <c r="H1327" t="n">
        <v>0.0203384711321202</v>
      </c>
      <c r="I1327" t="n">
        <v>0.0535047970149162</v>
      </c>
      <c r="J1327" t="n">
        <v>0.0907873773853155</v>
      </c>
      <c r="K1327" t="n">
        <v>0.5924880412907914</v>
      </c>
      <c r="L1327" t="b">
        <v>1</v>
      </c>
      <c r="M1327" t="b">
        <v>1</v>
      </c>
      <c r="N1327" t="inlineStr">
        <is>
          <t>alt</t>
        </is>
      </c>
      <c r="O1327" t="n">
        <v>-100</v>
      </c>
      <c r="P1327" t="n">
        <v>0.0009556</v>
      </c>
      <c r="Q1327" t="n">
        <v>-100</v>
      </c>
      <c r="R1327" t="n">
        <v>0.04175</v>
      </c>
      <c r="S1327">
        <f>IMAGE("https://mitra.stanford.edu/kundaje/oak/projects/neuro-variants/variant_position/credible/roussos_2024/variant_figures/roussos_2024.adolescence.GLU/rs667282_count_position.png",4,220,900)</f>
        <v/>
      </c>
      <c r="T1327">
        <f>IMAGE("https://mitra.stanford.edu/kundaje/oak/projects/neuro-variants/variant_position/credible/roussos_2024/variant_figures/roussos_2024.adolescence.GLU/rs667282_profile_position.png",4,220,900)</f>
        <v/>
      </c>
    </row>
    <row r="1328">
      <c r="A1328" t="inlineStr">
        <is>
          <t>chr15</t>
        </is>
      </c>
      <c r="B1328" t="n">
        <v>78602417</v>
      </c>
      <c r="C1328" t="inlineStr">
        <is>
          <t>C</t>
        </is>
      </c>
      <c r="D1328" t="inlineStr">
        <is>
          <t>G</t>
        </is>
      </c>
      <c r="E1328" t="inlineStr">
        <is>
          <t>rs3743078</t>
        </is>
      </c>
      <c r="F1328" t="n">
        <v>0.0602710726</v>
      </c>
      <c r="G1328" t="n">
        <v>0.0361028471669401</v>
      </c>
      <c r="H1328" t="n">
        <v>0.0195453430549522</v>
      </c>
      <c r="I1328" t="n">
        <v>0.0603067011949716</v>
      </c>
      <c r="J1328" t="n">
        <v>0.3362496517135692</v>
      </c>
      <c r="K1328" t="n">
        <v>0.2299876520247351</v>
      </c>
      <c r="L1328" t="b">
        <v>0</v>
      </c>
      <c r="M1328" t="b">
        <v>0</v>
      </c>
      <c r="N1328" t="inlineStr">
        <is>
          <t>alt</t>
        </is>
      </c>
      <c r="O1328" t="n">
        <v>60</v>
      </c>
      <c r="P1328" t="n">
        <v>0.001427</v>
      </c>
      <c r="Q1328" t="n">
        <v>45</v>
      </c>
      <c r="R1328" t="n">
        <v>0.07324</v>
      </c>
      <c r="S1328">
        <f>IMAGE("https://mitra.stanford.edu/kundaje/oak/projects/neuro-variants/variant_position/credible/roussos_2024/variant_figures/roussos_2024.adolescence.GLU/rs3743078_count_position.png",4,220,900)</f>
        <v/>
      </c>
      <c r="T1328">
        <f>IMAGE("https://mitra.stanford.edu/kundaje/oak/projects/neuro-variants/variant_position/credible/roussos_2024/variant_figures/roussos_2024.adolescence.GLU/rs3743078_profile_position.png",4,220,900)</f>
        <v/>
      </c>
    </row>
    <row r="1329">
      <c r="A1329" t="inlineStr">
        <is>
          <t>chr15</t>
        </is>
      </c>
      <c r="B1329" t="n">
        <v>78617916</v>
      </c>
      <c r="C1329" t="inlineStr">
        <is>
          <t>C</t>
        </is>
      </c>
      <c r="D1329" t="inlineStr">
        <is>
          <t>T</t>
        </is>
      </c>
      <c r="E1329" t="inlineStr">
        <is>
          <t>rs3825845</t>
        </is>
      </c>
      <c r="F1329" t="n">
        <v>-0.0618713913999999</v>
      </c>
      <c r="G1329" t="n">
        <v>0.0416944396556287</v>
      </c>
      <c r="H1329" t="n">
        <v>0.0120798893349762</v>
      </c>
      <c r="I1329" t="n">
        <v>0.3454549013179593</v>
      </c>
      <c r="J1329" t="n">
        <v>0.4501632481013924</v>
      </c>
      <c r="K1329" t="n">
        <v>0.1253921672166829</v>
      </c>
      <c r="L1329" t="b">
        <v>0</v>
      </c>
      <c r="M1329" t="b">
        <v>0</v>
      </c>
      <c r="N1329" t="inlineStr">
        <is>
          <t>ref</t>
        </is>
      </c>
      <c r="O1329" t="n">
        <v>100</v>
      </c>
      <c r="P1329" t="n">
        <v>0.01544</v>
      </c>
      <c r="Q1329" t="n">
        <v>20</v>
      </c>
      <c r="R1329" t="n">
        <v>0.0219</v>
      </c>
      <c r="S1329">
        <f>IMAGE("https://mitra.stanford.edu/kundaje/oak/projects/neuro-variants/variant_position/credible/roussos_2024/variant_figures/roussos_2024.adolescence.GLU/rs3825845_count_position.png",4,220,900)</f>
        <v/>
      </c>
      <c r="T1329">
        <f>IMAGE("https://mitra.stanford.edu/kundaje/oak/projects/neuro-variants/variant_position/credible/roussos_2024/variant_figures/roussos_2024.adolescence.GLU/rs3825845_profile_position.png",4,220,900)</f>
        <v/>
      </c>
    </row>
    <row r="1330">
      <c r="A1330" t="inlineStr">
        <is>
          <t>chr15</t>
        </is>
      </c>
      <c r="B1330" t="n">
        <v>82569019</v>
      </c>
      <c r="C1330" t="inlineStr">
        <is>
          <t>T</t>
        </is>
      </c>
      <c r="D1330" t="inlineStr">
        <is>
          <t>C</t>
        </is>
      </c>
      <c r="E1330" t="inlineStr">
        <is>
          <t>rs698500</t>
        </is>
      </c>
      <c r="F1330" t="n">
        <v>0.064728259</v>
      </c>
      <c r="G1330" t="n">
        <v>0.027190966936267</v>
      </c>
      <c r="H1330" t="n">
        <v>0.0106327669696553</v>
      </c>
      <c r="I1330" t="n">
        <v>0.437624380035108</v>
      </c>
      <c r="J1330" t="n">
        <v>0.3413692836373249</v>
      </c>
      <c r="K1330" t="n">
        <v>0.2261732944951533</v>
      </c>
      <c r="L1330" t="b">
        <v>0</v>
      </c>
      <c r="M1330" t="b">
        <v>0</v>
      </c>
      <c r="N1330" t="inlineStr">
        <is>
          <t>alt</t>
        </is>
      </c>
      <c r="O1330" t="n">
        <v>70</v>
      </c>
      <c r="P1330" t="n">
        <v>0.00978</v>
      </c>
      <c r="Q1330" t="n">
        <v>70</v>
      </c>
      <c r="R1330" t="n">
        <v>0.10205</v>
      </c>
      <c r="S1330">
        <f>IMAGE("https://mitra.stanford.edu/kundaje/oak/projects/neuro-variants/variant_position/credible/roussos_2024/variant_figures/roussos_2024.adolescence.GLU/rs698500_count_position.png",4,220,900)</f>
        <v/>
      </c>
      <c r="T1330">
        <f>IMAGE("https://mitra.stanford.edu/kundaje/oak/projects/neuro-variants/variant_position/credible/roussos_2024/variant_figures/roussos_2024.adolescence.GLU/rs698500_profile_position.png",4,220,900)</f>
        <v/>
      </c>
    </row>
    <row r="1331">
      <c r="A1331" t="inlineStr">
        <is>
          <t>chr15</t>
        </is>
      </c>
      <c r="B1331" t="n">
        <v>82577391</v>
      </c>
      <c r="C1331" t="inlineStr">
        <is>
          <t>T</t>
        </is>
      </c>
      <c r="D1331" t="inlineStr">
        <is>
          <t>A</t>
        </is>
      </c>
      <c r="E1331" t="inlineStr">
        <is>
          <t>rs2678445</t>
        </is>
      </c>
      <c r="F1331" t="n">
        <v>-0.0001958404199999</v>
      </c>
      <c r="G1331" t="n">
        <v>0.9026714226913736</v>
      </c>
      <c r="H1331" t="n">
        <v>0.0195426416304761</v>
      </c>
      <c r="I1331" t="n">
        <v>0.0659830442180241</v>
      </c>
      <c r="J1331" t="n">
        <v>0.0444877867558279</v>
      </c>
      <c r="K1331" t="n">
        <v>0.7233669443717606</v>
      </c>
      <c r="L1331" t="b">
        <v>0</v>
      </c>
      <c r="M1331" t="b">
        <v>0</v>
      </c>
      <c r="N1331" t="inlineStr">
        <is>
          <t>ref</t>
        </is>
      </c>
      <c r="O1331" t="n">
        <v>80</v>
      </c>
      <c r="P1331" t="n">
        <v>0.00708</v>
      </c>
      <c r="Q1331" t="n">
        <v>85</v>
      </c>
      <c r="R1331" t="n">
        <v>0.1172</v>
      </c>
      <c r="S1331">
        <f>IMAGE("https://mitra.stanford.edu/kundaje/oak/projects/neuro-variants/variant_position/credible/roussos_2024/variant_figures/roussos_2024.adolescence.GLU/rs2678445_count_position.png",4,220,900)</f>
        <v/>
      </c>
      <c r="T1331">
        <f>IMAGE("https://mitra.stanford.edu/kundaje/oak/projects/neuro-variants/variant_position/credible/roussos_2024/variant_figures/roussos_2024.adolescence.GLU/rs2678445_profile_position.png",4,220,900)</f>
        <v/>
      </c>
    </row>
    <row r="1332">
      <c r="A1332" t="inlineStr">
        <is>
          <t>chr15</t>
        </is>
      </c>
      <c r="B1332" t="n">
        <v>82580618</v>
      </c>
      <c r="C1332" t="inlineStr">
        <is>
          <t>C</t>
        </is>
      </c>
      <c r="D1332" t="inlineStr">
        <is>
          <t>T</t>
        </is>
      </c>
      <c r="E1332" t="inlineStr">
        <is>
          <t>rs783532</t>
        </is>
      </c>
      <c r="F1332" t="n">
        <v>0.0208635434</v>
      </c>
      <c r="G1332" t="n">
        <v>0.2807399154867301</v>
      </c>
      <c r="H1332" t="n">
        <v>0.0204571128086724</v>
      </c>
      <c r="I1332" t="n">
        <v>0.053067193647184</v>
      </c>
      <c r="J1332" t="n">
        <v>0.0439248129969778</v>
      </c>
      <c r="K1332" t="n">
        <v>0.7194473295020415</v>
      </c>
      <c r="L1332" t="b">
        <v>0</v>
      </c>
      <c r="M1332" t="b">
        <v>0</v>
      </c>
      <c r="N1332" t="inlineStr">
        <is>
          <t>alt</t>
        </is>
      </c>
      <c r="O1332" t="n">
        <v>100</v>
      </c>
      <c r="P1332" t="n">
        <v>0.0004215</v>
      </c>
      <c r="Q1332" t="n">
        <v>-65</v>
      </c>
      <c r="R1332" t="n">
        <v>0.03992</v>
      </c>
      <c r="S1332">
        <f>IMAGE("https://mitra.stanford.edu/kundaje/oak/projects/neuro-variants/variant_position/credible/roussos_2024/variant_figures/roussos_2024.adolescence.GLU/rs783532_count_position.png",4,220,900)</f>
        <v/>
      </c>
      <c r="T1332">
        <f>IMAGE("https://mitra.stanford.edu/kundaje/oak/projects/neuro-variants/variant_position/credible/roussos_2024/variant_figures/roussos_2024.adolescence.GLU/rs783532_profile_position.png",4,220,900)</f>
        <v/>
      </c>
    </row>
    <row r="1333">
      <c r="A1333" t="inlineStr">
        <is>
          <t>chr15</t>
        </is>
      </c>
      <c r="B1333" t="n">
        <v>82590236</v>
      </c>
      <c r="C1333" t="inlineStr">
        <is>
          <t>A</t>
        </is>
      </c>
      <c r="D1333" t="inlineStr">
        <is>
          <t>C</t>
        </is>
      </c>
      <c r="E1333" t="inlineStr">
        <is>
          <t>rs71412256</t>
        </is>
      </c>
      <c r="F1333" t="n">
        <v>-0.00339591942</v>
      </c>
      <c r="G1333" t="n">
        <v>0.7730956363166674</v>
      </c>
      <c r="H1333" t="n">
        <v>0.0385218793892492</v>
      </c>
      <c r="I1333" t="n">
        <v>0.0033035259340744</v>
      </c>
      <c r="J1333" t="n">
        <v>0.0589722156732465</v>
      </c>
      <c r="K1333" t="n">
        <v>0.6745199005195617</v>
      </c>
      <c r="L1333" t="b">
        <v>1</v>
      </c>
      <c r="M1333" t="b">
        <v>1</v>
      </c>
      <c r="N1333" t="inlineStr">
        <is>
          <t>ref</t>
        </is>
      </c>
      <c r="O1333" t="n">
        <v>-95</v>
      </c>
      <c r="P1333" t="n">
        <v>0.009889999999999999</v>
      </c>
      <c r="Q1333" t="n">
        <v>-85</v>
      </c>
      <c r="R1333" t="n">
        <v>0.0886</v>
      </c>
      <c r="S1333">
        <f>IMAGE("https://mitra.stanford.edu/kundaje/oak/projects/neuro-variants/variant_position/credible/roussos_2024/variant_figures/roussos_2024.adolescence.GLU/rs71412256_count_position.png",4,220,900)</f>
        <v/>
      </c>
      <c r="T1333">
        <f>IMAGE("https://mitra.stanford.edu/kundaje/oak/projects/neuro-variants/variant_position/credible/roussos_2024/variant_figures/roussos_2024.adolescence.GLU/rs71412256_profile_position.png",4,220,900)</f>
        <v/>
      </c>
    </row>
    <row r="1334">
      <c r="A1334" t="inlineStr">
        <is>
          <t>chr15</t>
        </is>
      </c>
      <c r="B1334" t="n">
        <v>82593431</v>
      </c>
      <c r="C1334" t="inlineStr">
        <is>
          <t>T</t>
        </is>
      </c>
      <c r="D1334" t="inlineStr">
        <is>
          <t>G</t>
        </is>
      </c>
      <c r="E1334" t="inlineStr">
        <is>
          <t>rs2567635</t>
        </is>
      </c>
      <c r="F1334" t="n">
        <v>0.0937698114</v>
      </c>
      <c r="G1334" t="n">
        <v>0.0166352117063703</v>
      </c>
      <c r="H1334" t="n">
        <v>0.0398554665681934</v>
      </c>
      <c r="I1334" t="n">
        <v>0.0059486183214787</v>
      </c>
      <c r="J1334" t="n">
        <v>0.1849668859978138</v>
      </c>
      <c r="K1334" t="n">
        <v>0.4169996966329693</v>
      </c>
      <c r="L1334" t="b">
        <v>1</v>
      </c>
      <c r="M1334" t="b">
        <v>1</v>
      </c>
      <c r="N1334" t="inlineStr">
        <is>
          <t>alt</t>
        </is>
      </c>
      <c r="O1334" t="n">
        <v>-100</v>
      </c>
      <c r="P1334" t="n">
        <v>0.003555</v>
      </c>
      <c r="Q1334" t="n">
        <v>-35</v>
      </c>
      <c r="R1334" t="n">
        <v>0.05093</v>
      </c>
      <c r="S1334">
        <f>IMAGE("https://mitra.stanford.edu/kundaje/oak/projects/neuro-variants/variant_position/credible/roussos_2024/variant_figures/roussos_2024.adolescence.GLU/rs2567635_count_position.png",4,220,900)</f>
        <v/>
      </c>
      <c r="T1334">
        <f>IMAGE("https://mitra.stanford.edu/kundaje/oak/projects/neuro-variants/variant_position/credible/roussos_2024/variant_figures/roussos_2024.adolescence.GLU/rs2567635_profile_position.png",4,220,900)</f>
        <v/>
      </c>
    </row>
    <row r="1335">
      <c r="A1335" t="inlineStr">
        <is>
          <t>chr15</t>
        </is>
      </c>
      <c r="B1335" t="n">
        <v>82613877</v>
      </c>
      <c r="C1335" t="inlineStr">
        <is>
          <t>T</t>
        </is>
      </c>
      <c r="D1335" t="inlineStr">
        <is>
          <t>C</t>
        </is>
      </c>
      <c r="E1335" t="inlineStr">
        <is>
          <t>rs1269134</t>
        </is>
      </c>
      <c r="F1335" t="n">
        <v>0.0501281738</v>
      </c>
      <c r="G1335" t="n">
        <v>0.0654931054212247</v>
      </c>
      <c r="H1335" t="n">
        <v>0.0141932706566175</v>
      </c>
      <c r="I1335" t="n">
        <v>0.1998240752844388</v>
      </c>
      <c r="J1335" t="n">
        <v>0.3431110730079802</v>
      </c>
      <c r="K1335" t="n">
        <v>0.2241460575696215</v>
      </c>
      <c r="L1335" t="b">
        <v>0</v>
      </c>
      <c r="M1335" t="b">
        <v>0</v>
      </c>
      <c r="N1335" t="inlineStr">
        <is>
          <t>alt</t>
        </is>
      </c>
      <c r="O1335" t="n">
        <v>-100</v>
      </c>
      <c r="P1335" t="n">
        <v>0.0391</v>
      </c>
      <c r="Q1335" t="n">
        <v>30</v>
      </c>
      <c r="R1335" t="n">
        <v>0.0271</v>
      </c>
      <c r="S1335">
        <f>IMAGE("https://mitra.stanford.edu/kundaje/oak/projects/neuro-variants/variant_position/credible/roussos_2024/variant_figures/roussos_2024.adolescence.GLU/rs1269134_count_position.png",4,220,900)</f>
        <v/>
      </c>
      <c r="T1335">
        <f>IMAGE("https://mitra.stanford.edu/kundaje/oak/projects/neuro-variants/variant_position/credible/roussos_2024/variant_figures/roussos_2024.adolescence.GLU/rs1269134_profile_position.png",4,220,900)</f>
        <v/>
      </c>
    </row>
    <row r="1336">
      <c r="A1336" t="inlineStr">
        <is>
          <t>chr15</t>
        </is>
      </c>
      <c r="B1336" t="n">
        <v>82630613</v>
      </c>
      <c r="C1336" t="inlineStr">
        <is>
          <t>A</t>
        </is>
      </c>
      <c r="D1336" t="inlineStr">
        <is>
          <t>C</t>
        </is>
      </c>
      <c r="E1336" t="inlineStr">
        <is>
          <t>rs28374463</t>
        </is>
      </c>
      <c r="F1336" t="n">
        <v>-0.00286361468</v>
      </c>
      <c r="G1336" t="n">
        <v>0.7330845951449318</v>
      </c>
      <c r="H1336" t="n">
        <v>0.0320513314440976</v>
      </c>
      <c r="I1336" t="n">
        <v>0.0066509640097651</v>
      </c>
      <c r="J1336" t="n">
        <v>0.0602396210643633</v>
      </c>
      <c r="K1336" t="n">
        <v>0.6742974936919561</v>
      </c>
      <c r="L1336" t="b">
        <v>1</v>
      </c>
      <c r="M1336" t="b">
        <v>1</v>
      </c>
      <c r="N1336" t="inlineStr">
        <is>
          <t>ref</t>
        </is>
      </c>
      <c r="O1336" t="n">
        <v>-100</v>
      </c>
      <c r="P1336" t="n">
        <v>0.0258</v>
      </c>
      <c r="Q1336" t="n">
        <v>-100</v>
      </c>
      <c r="R1336" t="n">
        <v>0.01816</v>
      </c>
      <c r="S1336">
        <f>IMAGE("https://mitra.stanford.edu/kundaje/oak/projects/neuro-variants/variant_position/credible/roussos_2024/variant_figures/roussos_2024.adolescence.GLU/rs28374463_count_position.png",4,220,900)</f>
        <v/>
      </c>
      <c r="T1336">
        <f>IMAGE("https://mitra.stanford.edu/kundaje/oak/projects/neuro-variants/variant_position/credible/roussos_2024/variant_figures/roussos_2024.adolescence.GLU/rs28374463_profile_position.png",4,220,900)</f>
        <v/>
      </c>
    </row>
    <row r="1337">
      <c r="A1337" t="inlineStr">
        <is>
          <t>chr15</t>
        </is>
      </c>
      <c r="B1337" t="n">
        <v>82697544</v>
      </c>
      <c r="C1337" t="inlineStr">
        <is>
          <t>A</t>
        </is>
      </c>
      <c r="D1337" t="inlineStr">
        <is>
          <t>C</t>
        </is>
      </c>
      <c r="E1337" t="inlineStr">
        <is>
          <t>rs10906984</t>
        </is>
      </c>
      <c r="F1337" t="n">
        <v>-0.0312948616</v>
      </c>
      <c r="G1337" t="n">
        <v>0.1951404889822326</v>
      </c>
      <c r="H1337" t="n">
        <v>0.0150580149131695</v>
      </c>
      <c r="I1337" t="n">
        <v>0.1796096547215623</v>
      </c>
      <c r="J1337" t="n">
        <v>0.3257274721192246</v>
      </c>
      <c r="K1337" t="n">
        <v>0.2399452144475997</v>
      </c>
      <c r="L1337" t="b">
        <v>0</v>
      </c>
      <c r="M1337" t="b">
        <v>0</v>
      </c>
      <c r="N1337" t="inlineStr">
        <is>
          <t>ref</t>
        </is>
      </c>
      <c r="O1337" t="n">
        <v>-95</v>
      </c>
      <c r="P1337" t="n">
        <v>0.0786</v>
      </c>
      <c r="Q1337" t="n">
        <v>70</v>
      </c>
      <c r="R1337" t="n">
        <v>0.04556</v>
      </c>
      <c r="S1337">
        <f>IMAGE("https://mitra.stanford.edu/kundaje/oak/projects/neuro-variants/variant_position/credible/roussos_2024/variant_figures/roussos_2024.adolescence.GLU/rs10906984_count_position.png",4,220,900)</f>
        <v/>
      </c>
      <c r="T1337">
        <f>IMAGE("https://mitra.stanford.edu/kundaje/oak/projects/neuro-variants/variant_position/credible/roussos_2024/variant_figures/roussos_2024.adolescence.GLU/rs10906984_profile_position.png",4,220,900)</f>
        <v/>
      </c>
    </row>
    <row r="1338">
      <c r="A1338" t="inlineStr">
        <is>
          <t>chr15</t>
        </is>
      </c>
      <c r="B1338" t="n">
        <v>82699762</v>
      </c>
      <c r="C1338" t="inlineStr">
        <is>
          <t>T</t>
        </is>
      </c>
      <c r="D1338" t="inlineStr">
        <is>
          <t>G</t>
        </is>
      </c>
      <c r="E1338" t="inlineStr">
        <is>
          <t>rs9652567</t>
        </is>
      </c>
      <c r="F1338" t="n">
        <v>0.031039432</v>
      </c>
      <c r="G1338" t="n">
        <v>0.160302392377209</v>
      </c>
      <c r="H1338" t="n">
        <v>0.0157143942434083</v>
      </c>
      <c r="I1338" t="n">
        <v>0.1356496140429185</v>
      </c>
      <c r="J1338" t="n">
        <v>0.4998006729965493</v>
      </c>
      <c r="K1338" t="n">
        <v>0.0891243308770031</v>
      </c>
      <c r="L1338" t="b">
        <v>0</v>
      </c>
      <c r="M1338" t="b">
        <v>0</v>
      </c>
      <c r="N1338" t="inlineStr">
        <is>
          <t>alt</t>
        </is>
      </c>
      <c r="O1338" t="n">
        <v>100</v>
      </c>
      <c r="P1338" t="n">
        <v>0.01797</v>
      </c>
      <c r="Q1338" t="n">
        <v>100</v>
      </c>
      <c r="R1338" t="n">
        <v>0.1367</v>
      </c>
      <c r="S1338">
        <f>IMAGE("https://mitra.stanford.edu/kundaje/oak/projects/neuro-variants/variant_position/credible/roussos_2024/variant_figures/roussos_2024.adolescence.GLU/rs9652567_count_position.png",4,220,900)</f>
        <v/>
      </c>
      <c r="T1338">
        <f>IMAGE("https://mitra.stanford.edu/kundaje/oak/projects/neuro-variants/variant_position/credible/roussos_2024/variant_figures/roussos_2024.adolescence.GLU/rs9652567_profile_position.png",4,220,900)</f>
        <v/>
      </c>
    </row>
    <row r="1339">
      <c r="A1339" t="inlineStr">
        <is>
          <t>chr15</t>
        </is>
      </c>
      <c r="B1339" t="n">
        <v>82706505</v>
      </c>
      <c r="C1339" t="inlineStr">
        <is>
          <t>A</t>
        </is>
      </c>
      <c r="D1339" t="inlineStr">
        <is>
          <t>G</t>
        </is>
      </c>
      <c r="E1339" t="inlineStr">
        <is>
          <t>rs4779054</t>
        </is>
      </c>
      <c r="F1339" t="n">
        <v>0.067732162</v>
      </c>
      <c r="G1339" t="n">
        <v>0.0278771843420089</v>
      </c>
      <c r="H1339" t="n">
        <v>0.0123627399740899</v>
      </c>
      <c r="I1339" t="n">
        <v>0.2900743241747681</v>
      </c>
      <c r="J1339" t="n">
        <v>0.4005301098084602</v>
      </c>
      <c r="K1339" t="n">
        <v>0.1657436004433835</v>
      </c>
      <c r="L1339" t="b">
        <v>0</v>
      </c>
      <c r="M1339" t="b">
        <v>0</v>
      </c>
      <c r="N1339" t="inlineStr">
        <is>
          <t>alt</t>
        </is>
      </c>
      <c r="O1339" t="n">
        <v>55</v>
      </c>
      <c r="P1339" t="n">
        <v>0.003859</v>
      </c>
      <c r="Q1339" t="n">
        <v>70</v>
      </c>
      <c r="R1339" t="n">
        <v>0.05115</v>
      </c>
      <c r="S1339">
        <f>IMAGE("https://mitra.stanford.edu/kundaje/oak/projects/neuro-variants/variant_position/credible/roussos_2024/variant_figures/roussos_2024.adolescence.GLU/rs4779054_count_position.png",4,220,900)</f>
        <v/>
      </c>
      <c r="T1339">
        <f>IMAGE("https://mitra.stanford.edu/kundaje/oak/projects/neuro-variants/variant_position/credible/roussos_2024/variant_figures/roussos_2024.adolescence.GLU/rs4779054_profile_position.png",4,220,900)</f>
        <v/>
      </c>
    </row>
    <row r="1340">
      <c r="A1340" t="inlineStr">
        <is>
          <t>chr15</t>
        </is>
      </c>
      <c r="B1340" t="n">
        <v>84549423</v>
      </c>
      <c r="C1340" t="inlineStr">
        <is>
          <t>A</t>
        </is>
      </c>
      <c r="D1340" t="inlineStr">
        <is>
          <t>C</t>
        </is>
      </c>
      <c r="E1340" t="inlineStr">
        <is>
          <t>rs34921234</t>
        </is>
      </c>
      <c r="F1340" t="n">
        <v>0.0668118752</v>
      </c>
      <c r="G1340" t="n">
        <v>0.0292725813017213</v>
      </c>
      <c r="H1340" t="n">
        <v>0.0163085189126155</v>
      </c>
      <c r="I1340" t="n">
        <v>0.127180643543449</v>
      </c>
      <c r="J1340" t="n">
        <v>0.0343342549528116</v>
      </c>
      <c r="K1340" t="n">
        <v>0.7544751062726451</v>
      </c>
      <c r="L1340" t="b">
        <v>0</v>
      </c>
      <c r="M1340" t="b">
        <v>0</v>
      </c>
      <c r="N1340" t="inlineStr">
        <is>
          <t>alt</t>
        </is>
      </c>
      <c r="O1340" t="n">
        <v>50</v>
      </c>
      <c r="P1340" t="n">
        <v>0.003283</v>
      </c>
      <c r="Q1340" t="n">
        <v>95</v>
      </c>
      <c r="R1340" t="n">
        <v>0.03006</v>
      </c>
      <c r="S1340">
        <f>IMAGE("https://mitra.stanford.edu/kundaje/oak/projects/neuro-variants/variant_position/credible/roussos_2024/variant_figures/roussos_2024.adolescence.GLU/rs34921234_count_position.png",4,220,900)</f>
        <v/>
      </c>
      <c r="T1340">
        <f>IMAGE("https://mitra.stanford.edu/kundaje/oak/projects/neuro-variants/variant_position/credible/roussos_2024/variant_figures/roussos_2024.adolescence.GLU/rs34921234_profile_position.png",4,220,900)</f>
        <v/>
      </c>
    </row>
    <row r="1341">
      <c r="A1341" t="inlineStr">
        <is>
          <t>chr15</t>
        </is>
      </c>
      <c r="B1341" t="n">
        <v>84562751</v>
      </c>
      <c r="C1341" t="inlineStr">
        <is>
          <t>G</t>
        </is>
      </c>
      <c r="D1341" t="inlineStr">
        <is>
          <t>C</t>
        </is>
      </c>
      <c r="E1341" t="inlineStr">
        <is>
          <t>rs12902973</t>
        </is>
      </c>
      <c r="F1341" t="n">
        <v>0.0333047946</v>
      </c>
      <c r="G1341" t="n">
        <v>0.1551512901965386</v>
      </c>
      <c r="H1341" t="n">
        <v>0.0236008156016686</v>
      </c>
      <c r="I1341" t="n">
        <v>0.0331858392946682</v>
      </c>
      <c r="J1341" t="n">
        <v>0.1622450364718405</v>
      </c>
      <c r="K1341" t="n">
        <v>0.4573365967162681</v>
      </c>
      <c r="L1341" t="b">
        <v>0</v>
      </c>
      <c r="M1341" t="b">
        <v>0</v>
      </c>
      <c r="N1341" t="inlineStr">
        <is>
          <t>alt</t>
        </is>
      </c>
      <c r="O1341" t="n">
        <v>-30</v>
      </c>
      <c r="P1341" t="n">
        <v>0.001038</v>
      </c>
      <c r="Q1341" t="n">
        <v>-75</v>
      </c>
      <c r="R1341" t="n">
        <v>0.0847</v>
      </c>
      <c r="S1341">
        <f>IMAGE("https://mitra.stanford.edu/kundaje/oak/projects/neuro-variants/variant_position/credible/roussos_2024/variant_figures/roussos_2024.adolescence.GLU/rs12902973_count_position.png",4,220,900)</f>
        <v/>
      </c>
      <c r="T1341">
        <f>IMAGE("https://mitra.stanford.edu/kundaje/oak/projects/neuro-variants/variant_position/credible/roussos_2024/variant_figures/roussos_2024.adolescence.GLU/rs12902973_profile_position.png",4,220,900)</f>
        <v/>
      </c>
    </row>
    <row r="1342">
      <c r="A1342" t="inlineStr">
        <is>
          <t>chr15</t>
        </is>
      </c>
      <c r="B1342" t="n">
        <v>84582816</v>
      </c>
      <c r="C1342" t="inlineStr">
        <is>
          <t>G</t>
        </is>
      </c>
      <c r="D1342" t="inlineStr">
        <is>
          <t>C</t>
        </is>
      </c>
      <c r="E1342" t="inlineStr">
        <is>
          <t>rs34973912</t>
        </is>
      </c>
      <c r="F1342" t="n">
        <v>0.0340075302</v>
      </c>
      <c r="G1342" t="n">
        <v>0.146963533093131</v>
      </c>
      <c r="H1342" t="n">
        <v>0.0170263662510041</v>
      </c>
      <c r="I1342" t="n">
        <v>0.118296563531911</v>
      </c>
      <c r="J1342" t="n">
        <v>0.4134885083338692</v>
      </c>
      <c r="K1342" t="n">
        <v>0.1544021269697681</v>
      </c>
      <c r="L1342" t="b">
        <v>0</v>
      </c>
      <c r="M1342" t="b">
        <v>0</v>
      </c>
      <c r="N1342" t="inlineStr">
        <is>
          <t>alt</t>
        </is>
      </c>
      <c r="O1342" t="n">
        <v>-95</v>
      </c>
      <c r="P1342" t="n">
        <v>0.0295</v>
      </c>
      <c r="Q1342" t="n">
        <v>-85</v>
      </c>
      <c r="R1342" t="n">
        <v>0.179</v>
      </c>
      <c r="S1342">
        <f>IMAGE("https://mitra.stanford.edu/kundaje/oak/projects/neuro-variants/variant_position/credible/roussos_2024/variant_figures/roussos_2024.adolescence.GLU/rs34973912_count_position.png",4,220,900)</f>
        <v/>
      </c>
      <c r="T1342">
        <f>IMAGE("https://mitra.stanford.edu/kundaje/oak/projects/neuro-variants/variant_position/credible/roussos_2024/variant_figures/roussos_2024.adolescence.GLU/rs34973912_profile_position.png",4,220,900)</f>
        <v/>
      </c>
    </row>
    <row r="1343">
      <c r="A1343" t="inlineStr">
        <is>
          <t>chr15</t>
        </is>
      </c>
      <c r="B1343" t="n">
        <v>84634492</v>
      </c>
      <c r="C1343" t="inlineStr">
        <is>
          <t>T</t>
        </is>
      </c>
      <c r="D1343" t="inlineStr">
        <is>
          <t>G</t>
        </is>
      </c>
      <c r="E1343" t="inlineStr">
        <is>
          <t>rs36126054</t>
        </is>
      </c>
      <c r="F1343" t="n">
        <v>0.0244311736</v>
      </c>
      <c r="G1343" t="n">
        <v>0.2189817675830292</v>
      </c>
      <c r="H1343" t="n">
        <v>0.009268107544816001</v>
      </c>
      <c r="I1343" t="n">
        <v>0.6152974867750846</v>
      </c>
      <c r="J1343" t="n">
        <v>0.5974666180851746</v>
      </c>
      <c r="K1343" t="n">
        <v>0.0390488373503714</v>
      </c>
      <c r="L1343" t="b">
        <v>0</v>
      </c>
      <c r="M1343" t="b">
        <v>0</v>
      </c>
      <c r="N1343" t="inlineStr">
        <is>
          <t>alt</t>
        </is>
      </c>
      <c r="O1343" t="n">
        <v>100</v>
      </c>
      <c r="P1343" t="n">
        <v>0.01483</v>
      </c>
      <c r="Q1343" t="n">
        <v>-100</v>
      </c>
      <c r="R1343" t="n">
        <v>0.1521</v>
      </c>
      <c r="S1343">
        <f>IMAGE("https://mitra.stanford.edu/kundaje/oak/projects/neuro-variants/variant_position/credible/roussos_2024/variant_figures/roussos_2024.adolescence.GLU/rs36126054_count_position.png",4,220,900)</f>
        <v/>
      </c>
      <c r="T1343">
        <f>IMAGE("https://mitra.stanford.edu/kundaje/oak/projects/neuro-variants/variant_position/credible/roussos_2024/variant_figures/roussos_2024.adolescence.GLU/rs36126054_profile_position.png",4,220,900)</f>
        <v/>
      </c>
    </row>
    <row r="1344">
      <c r="A1344" t="inlineStr">
        <is>
          <t>chr15</t>
        </is>
      </c>
      <c r="B1344" t="n">
        <v>84759142</v>
      </c>
      <c r="C1344" t="inlineStr">
        <is>
          <t>G</t>
        </is>
      </c>
      <c r="D1344" t="inlineStr">
        <is>
          <t>A</t>
        </is>
      </c>
      <c r="E1344" t="inlineStr">
        <is>
          <t>rs12899981</t>
        </is>
      </c>
      <c r="F1344" t="n">
        <v>0.00409463764</v>
      </c>
      <c r="G1344" t="n">
        <v>0.7004956572767109</v>
      </c>
      <c r="H1344" t="n">
        <v>0.0096378422783822</v>
      </c>
      <c r="I1344" t="n">
        <v>0.5376839948011303</v>
      </c>
      <c r="J1344" t="n">
        <v>0.0768159118674582</v>
      </c>
      <c r="K1344" t="n">
        <v>0.6403816662119228</v>
      </c>
      <c r="L1344" t="b">
        <v>0</v>
      </c>
      <c r="M1344" t="b">
        <v>0</v>
      </c>
      <c r="N1344" t="inlineStr">
        <is>
          <t>alt</t>
        </is>
      </c>
      <c r="O1344" t="n">
        <v>-100</v>
      </c>
      <c r="P1344" t="n">
        <v>0.01164</v>
      </c>
      <c r="Q1344" t="n">
        <v>95</v>
      </c>
      <c r="R1344" t="n">
        <v>0.02985</v>
      </c>
      <c r="S1344">
        <f>IMAGE("https://mitra.stanford.edu/kundaje/oak/projects/neuro-variants/variant_position/credible/roussos_2024/variant_figures/roussos_2024.adolescence.GLU/rs12899981_count_position.png",4,220,900)</f>
        <v/>
      </c>
      <c r="T1344">
        <f>IMAGE("https://mitra.stanford.edu/kundaje/oak/projects/neuro-variants/variant_position/credible/roussos_2024/variant_figures/roussos_2024.adolescence.GLU/rs12899981_profile_position.png",4,220,900)</f>
        <v/>
      </c>
    </row>
    <row r="1345">
      <c r="A1345" t="inlineStr">
        <is>
          <t>chr15</t>
        </is>
      </c>
      <c r="B1345" t="n">
        <v>89243824</v>
      </c>
      <c r="C1345" t="inlineStr">
        <is>
          <t>T</t>
        </is>
      </c>
      <c r="D1345" t="inlineStr">
        <is>
          <t>G</t>
        </is>
      </c>
      <c r="E1345" t="inlineStr">
        <is>
          <t>rs7178152</t>
        </is>
      </c>
      <c r="F1345" t="n">
        <v>-0.0104786236</v>
      </c>
      <c r="G1345" t="n">
        <v>0.3256549239355527</v>
      </c>
      <c r="H1345" t="n">
        <v>0.0234716679113671</v>
      </c>
      <c r="I1345" t="n">
        <v>0.0274619403752342</v>
      </c>
      <c r="J1345" t="n">
        <v>0.8911788870551758</v>
      </c>
      <c r="K1345" t="n">
        <v>0.0038773230029702</v>
      </c>
      <c r="L1345" t="b">
        <v>0</v>
      </c>
      <c r="M1345" t="b">
        <v>0</v>
      </c>
      <c r="N1345" t="inlineStr">
        <is>
          <t>ref</t>
        </is>
      </c>
      <c r="O1345" t="n">
        <v>85</v>
      </c>
      <c r="P1345" t="n">
        <v>0.0334</v>
      </c>
      <c r="Q1345" t="n">
        <v>85</v>
      </c>
      <c r="R1345" t="n">
        <v>0.2725</v>
      </c>
      <c r="S1345">
        <f>IMAGE("https://mitra.stanford.edu/kundaje/oak/projects/neuro-variants/variant_position/credible/roussos_2024/variant_figures/roussos_2024.adolescence.GLU/rs7178152_count_position.png",4,220,900)</f>
        <v/>
      </c>
      <c r="T1345">
        <f>IMAGE("https://mitra.stanford.edu/kundaje/oak/projects/neuro-variants/variant_position/credible/roussos_2024/variant_figures/roussos_2024.adolescence.GLU/rs7178152_profile_position.png",4,220,900)</f>
        <v/>
      </c>
    </row>
    <row r="1346">
      <c r="A1346" t="inlineStr">
        <is>
          <t>chr15</t>
        </is>
      </c>
      <c r="B1346" t="n">
        <v>89248285</v>
      </c>
      <c r="C1346" t="inlineStr">
        <is>
          <t>A</t>
        </is>
      </c>
      <c r="D1346" t="inlineStr">
        <is>
          <t>G</t>
        </is>
      </c>
      <c r="E1346" t="inlineStr">
        <is>
          <t>rs2108600</t>
        </is>
      </c>
      <c r="F1346" t="n">
        <v>0.131111344</v>
      </c>
      <c r="G1346" t="n">
        <v>0.0029934373279159</v>
      </c>
      <c r="H1346" t="n">
        <v>0.0223459341655803</v>
      </c>
      <c r="I1346" t="n">
        <v>0.0330430105711322</v>
      </c>
      <c r="J1346" t="n">
        <v>0.0486958012731208</v>
      </c>
      <c r="K1346" t="n">
        <v>0.7077928465544171</v>
      </c>
      <c r="L1346" t="b">
        <v>1</v>
      </c>
      <c r="M1346" t="b">
        <v>1</v>
      </c>
      <c r="N1346" t="inlineStr">
        <is>
          <t>alt</t>
        </is>
      </c>
      <c r="O1346" t="n">
        <v>-45</v>
      </c>
      <c r="P1346" t="n">
        <v>0.009705</v>
      </c>
      <c r="Q1346" t="n">
        <v>-90</v>
      </c>
      <c r="R1346" t="n">
        <v>0.07666000000000001</v>
      </c>
      <c r="S1346">
        <f>IMAGE("https://mitra.stanford.edu/kundaje/oak/projects/neuro-variants/variant_position/credible/roussos_2024/variant_figures/roussos_2024.adolescence.GLU/rs2108600_count_position.png",4,220,900)</f>
        <v/>
      </c>
      <c r="T1346">
        <f>IMAGE("https://mitra.stanford.edu/kundaje/oak/projects/neuro-variants/variant_position/credible/roussos_2024/variant_figures/roussos_2024.adolescence.GLU/rs2108600_profile_position.png",4,220,900)</f>
        <v/>
      </c>
    </row>
    <row r="1347">
      <c r="A1347" t="inlineStr">
        <is>
          <t>chr15</t>
        </is>
      </c>
      <c r="B1347" t="n">
        <v>89251793</v>
      </c>
      <c r="C1347" t="inlineStr">
        <is>
          <t>G</t>
        </is>
      </c>
      <c r="D1347" t="inlineStr">
        <is>
          <t>A</t>
        </is>
      </c>
      <c r="E1347" t="inlineStr">
        <is>
          <t>rs6496569</t>
        </is>
      </c>
      <c r="F1347" t="n">
        <v>-0.0297588362</v>
      </c>
      <c r="G1347" t="n">
        <v>0.191020066241448</v>
      </c>
      <c r="H1347" t="n">
        <v>0.0194785840939277</v>
      </c>
      <c r="I1347" t="n">
        <v>0.0641383454172505</v>
      </c>
      <c r="J1347" t="n">
        <v>0.0404240878467682</v>
      </c>
      <c r="K1347" t="n">
        <v>0.7345339766457941</v>
      </c>
      <c r="L1347" t="b">
        <v>0</v>
      </c>
      <c r="M1347" t="b">
        <v>0</v>
      </c>
      <c r="N1347" t="inlineStr">
        <is>
          <t>ref</t>
        </is>
      </c>
      <c r="O1347" t="n">
        <v>100</v>
      </c>
      <c r="P1347" t="n">
        <v>0.012474</v>
      </c>
      <c r="Q1347" t="n">
        <v>95</v>
      </c>
      <c r="R1347" t="n">
        <v>0.1603</v>
      </c>
      <c r="S1347">
        <f>IMAGE("https://mitra.stanford.edu/kundaje/oak/projects/neuro-variants/variant_position/credible/roussos_2024/variant_figures/roussos_2024.adolescence.GLU/rs6496569_count_position.png",4,220,900)</f>
        <v/>
      </c>
      <c r="T1347">
        <f>IMAGE("https://mitra.stanford.edu/kundaje/oak/projects/neuro-variants/variant_position/credible/roussos_2024/variant_figures/roussos_2024.adolescence.GLU/rs6496569_profile_position.png",4,220,900)</f>
        <v/>
      </c>
    </row>
    <row r="1348">
      <c r="A1348" t="inlineStr">
        <is>
          <t>chr15</t>
        </is>
      </c>
      <c r="B1348" t="n">
        <v>90862916</v>
      </c>
      <c r="C1348" t="inlineStr">
        <is>
          <t>A</t>
        </is>
      </c>
      <c r="D1348" t="inlineStr">
        <is>
          <t>C</t>
        </is>
      </c>
      <c r="E1348" t="inlineStr">
        <is>
          <t>rs7168951</t>
        </is>
      </c>
      <c r="F1348" t="n">
        <v>0.00333187058</v>
      </c>
      <c r="G1348" t="n">
        <v>0.7505986695424578</v>
      </c>
      <c r="H1348" t="n">
        <v>0.009353423014642001</v>
      </c>
      <c r="I1348" t="n">
        <v>0.6061582107541228</v>
      </c>
      <c r="J1348" t="n">
        <v>0.3521758078459109</v>
      </c>
      <c r="K1348" t="n">
        <v>0.2121171992813043</v>
      </c>
      <c r="L1348" t="b">
        <v>0</v>
      </c>
      <c r="M1348" t="b">
        <v>0</v>
      </c>
      <c r="N1348" t="inlineStr">
        <is>
          <t>alt</t>
        </is>
      </c>
      <c r="O1348" t="n">
        <v>40</v>
      </c>
      <c r="P1348" t="n">
        <v>0.003353</v>
      </c>
      <c r="Q1348" t="n">
        <v>-95</v>
      </c>
      <c r="R1348" t="n">
        <v>0.1742</v>
      </c>
      <c r="S1348">
        <f>IMAGE("https://mitra.stanford.edu/kundaje/oak/projects/neuro-variants/variant_position/credible/roussos_2024/variant_figures/roussos_2024.adolescence.GLU/rs7168951_count_position.png",4,220,900)</f>
        <v/>
      </c>
      <c r="T1348">
        <f>IMAGE("https://mitra.stanford.edu/kundaje/oak/projects/neuro-variants/variant_position/credible/roussos_2024/variant_figures/roussos_2024.adolescence.GLU/rs7168951_profile_position.png",4,220,900)</f>
        <v/>
      </c>
    </row>
    <row r="1349">
      <c r="A1349" t="inlineStr">
        <is>
          <t>chr15</t>
        </is>
      </c>
      <c r="B1349" t="n">
        <v>90866779</v>
      </c>
      <c r="C1349" t="inlineStr">
        <is>
          <t>G</t>
        </is>
      </c>
      <c r="D1349" t="inlineStr">
        <is>
          <t>T</t>
        </is>
      </c>
      <c r="E1349" t="inlineStr">
        <is>
          <t>rs3759929</t>
        </is>
      </c>
      <c r="F1349" t="n">
        <v>-0.008368839915999999</v>
      </c>
      <c r="G1349" t="n">
        <v>0.5712948443272028</v>
      </c>
      <c r="H1349" t="n">
        <v>0.016405112795856</v>
      </c>
      <c r="I1349" t="n">
        <v>0.1155602261922252</v>
      </c>
      <c r="J1349" t="n">
        <v>0.3693079280708146</v>
      </c>
      <c r="K1349" t="n">
        <v>0.1976496459542597</v>
      </c>
      <c r="L1349" t="b">
        <v>0</v>
      </c>
      <c r="M1349" t="b">
        <v>0</v>
      </c>
      <c r="N1349" t="inlineStr">
        <is>
          <t>ref</t>
        </is>
      </c>
      <c r="O1349" t="n">
        <v>-10</v>
      </c>
      <c r="P1349" t="n">
        <v>0.001247</v>
      </c>
      <c r="Q1349" t="n">
        <v>-100</v>
      </c>
      <c r="R1349" t="n">
        <v>0.08699999999999999</v>
      </c>
      <c r="S1349">
        <f>IMAGE("https://mitra.stanford.edu/kundaje/oak/projects/neuro-variants/variant_position/credible/roussos_2024/variant_figures/roussos_2024.adolescence.GLU/rs3759929_count_position.png",4,220,900)</f>
        <v/>
      </c>
      <c r="T1349">
        <f>IMAGE("https://mitra.stanford.edu/kundaje/oak/projects/neuro-variants/variant_position/credible/roussos_2024/variant_figures/roussos_2024.adolescence.GLU/rs3759929_profile_position.png",4,220,900)</f>
        <v/>
      </c>
    </row>
    <row r="1350">
      <c r="A1350" t="inlineStr">
        <is>
          <t>chr15</t>
        </is>
      </c>
      <c r="B1350" t="n">
        <v>90976869</v>
      </c>
      <c r="C1350" t="inlineStr">
        <is>
          <t>A</t>
        </is>
      </c>
      <c r="D1350" t="inlineStr">
        <is>
          <t>G</t>
        </is>
      </c>
      <c r="E1350" t="inlineStr">
        <is>
          <t>rs8037254</t>
        </is>
      </c>
      <c r="F1350" t="n">
        <v>0.0337943442</v>
      </c>
      <c r="G1350" t="n">
        <v>0.1360580232126111</v>
      </c>
      <c r="H1350" t="n">
        <v>0.0099958941538188</v>
      </c>
      <c r="I1350" t="n">
        <v>0.5160912277644171</v>
      </c>
      <c r="J1350" t="n">
        <v>0.1941916539854683</v>
      </c>
      <c r="K1350" t="n">
        <v>0.4124119883582688</v>
      </c>
      <c r="L1350" t="b">
        <v>0</v>
      </c>
      <c r="M1350" t="b">
        <v>0</v>
      </c>
      <c r="N1350" t="inlineStr">
        <is>
          <t>alt</t>
        </is>
      </c>
      <c r="O1350" t="n">
        <v>5</v>
      </c>
      <c r="P1350" t="n">
        <v>0.002243</v>
      </c>
      <c r="Q1350" t="n">
        <v>100</v>
      </c>
      <c r="R1350" t="n">
        <v>0.06</v>
      </c>
      <c r="S1350">
        <f>IMAGE("https://mitra.stanford.edu/kundaje/oak/projects/neuro-variants/variant_position/credible/roussos_2024/variant_figures/roussos_2024.adolescence.GLU/rs8037254_count_position.png",4,220,900)</f>
        <v/>
      </c>
      <c r="T1350">
        <f>IMAGE("https://mitra.stanford.edu/kundaje/oak/projects/neuro-variants/variant_position/credible/roussos_2024/variant_figures/roussos_2024.adolescence.GLU/rs8037254_profile_position.png",4,220,900)</f>
        <v/>
      </c>
    </row>
    <row r="1351">
      <c r="A1351" t="inlineStr">
        <is>
          <t>chr15</t>
        </is>
      </c>
      <c r="B1351" t="n">
        <v>90977078</v>
      </c>
      <c r="C1351" t="inlineStr">
        <is>
          <t>C</t>
        </is>
      </c>
      <c r="D1351" t="inlineStr">
        <is>
          <t>T</t>
        </is>
      </c>
      <c r="E1351" t="inlineStr">
        <is>
          <t>rs12595052</t>
        </is>
      </c>
      <c r="F1351" t="n">
        <v>0.00378436876</v>
      </c>
      <c r="G1351" t="n">
        <v>0.6271845503233984</v>
      </c>
      <c r="H1351" t="n">
        <v>0.0124027016328193</v>
      </c>
      <c r="I1351" t="n">
        <v>0.287752982889805</v>
      </c>
      <c r="J1351" t="n">
        <v>0.2246593937315587</v>
      </c>
      <c r="K1351" t="n">
        <v>0.3670341664773441</v>
      </c>
      <c r="L1351" t="b">
        <v>0</v>
      </c>
      <c r="M1351" t="b">
        <v>0</v>
      </c>
      <c r="N1351" t="inlineStr">
        <is>
          <t>alt</t>
        </is>
      </c>
      <c r="O1351" t="n">
        <v>30</v>
      </c>
      <c r="P1351" t="n">
        <v>0.001099</v>
      </c>
      <c r="Q1351" t="n">
        <v>40</v>
      </c>
      <c r="R1351" t="n">
        <v>0.07825</v>
      </c>
      <c r="S1351">
        <f>IMAGE("https://mitra.stanford.edu/kundaje/oak/projects/neuro-variants/variant_position/credible/roussos_2024/variant_figures/roussos_2024.adolescence.GLU/rs12595052_count_position.png",4,220,900)</f>
        <v/>
      </c>
      <c r="T1351">
        <f>IMAGE("https://mitra.stanford.edu/kundaje/oak/projects/neuro-variants/variant_position/credible/roussos_2024/variant_figures/roussos_2024.adolescence.GLU/rs12595052_profile_position.png",4,220,900)</f>
        <v/>
      </c>
    </row>
    <row r="1352">
      <c r="A1352" t="inlineStr">
        <is>
          <t>chr15</t>
        </is>
      </c>
      <c r="B1352" t="n">
        <v>91033716</v>
      </c>
      <c r="C1352" t="inlineStr">
        <is>
          <t>T</t>
        </is>
      </c>
      <c r="D1352" t="inlineStr">
        <is>
          <t>G</t>
        </is>
      </c>
      <c r="E1352" t="inlineStr">
        <is>
          <t>rs11632664</t>
        </is>
      </c>
      <c r="F1352" t="n">
        <v>0.00479142918</v>
      </c>
      <c r="G1352" t="n">
        <v>0.7181898687949696</v>
      </c>
      <c r="H1352" t="n">
        <v>0.008844169319269899</v>
      </c>
      <c r="I1352" t="n">
        <v>0.6765674786472716</v>
      </c>
      <c r="J1352" t="n">
        <v>0.5651713569239342</v>
      </c>
      <c r="K1352" t="n">
        <v>0.0519997689898371</v>
      </c>
      <c r="L1352" t="b">
        <v>0</v>
      </c>
      <c r="M1352" t="b">
        <v>0</v>
      </c>
      <c r="N1352" t="inlineStr">
        <is>
          <t>alt</t>
        </is>
      </c>
      <c r="O1352" t="n">
        <v>-70</v>
      </c>
      <c r="P1352" t="n">
        <v>0.001442</v>
      </c>
      <c r="Q1352" t="n">
        <v>55</v>
      </c>
      <c r="R1352" t="n">
        <v>0.02289</v>
      </c>
      <c r="S1352">
        <f>IMAGE("https://mitra.stanford.edu/kundaje/oak/projects/neuro-variants/variant_position/credible/roussos_2024/variant_figures/roussos_2024.adolescence.GLU/rs11632664_count_position.png",4,220,900)</f>
        <v/>
      </c>
      <c r="T1352">
        <f>IMAGE("https://mitra.stanford.edu/kundaje/oak/projects/neuro-variants/variant_position/credible/roussos_2024/variant_figures/roussos_2024.adolescence.GLU/rs11632664_profile_position.png",4,220,900)</f>
        <v/>
      </c>
    </row>
    <row r="1353">
      <c r="A1353" t="inlineStr">
        <is>
          <t>chr15</t>
        </is>
      </c>
      <c r="B1353" t="n">
        <v>97674744</v>
      </c>
      <c r="C1353" t="inlineStr">
        <is>
          <t>G</t>
        </is>
      </c>
      <c r="D1353" t="inlineStr">
        <is>
          <t>T</t>
        </is>
      </c>
      <c r="E1353" t="inlineStr">
        <is>
          <t>rs111548674</t>
        </is>
      </c>
      <c r="F1353" t="n">
        <v>-0.0309855536</v>
      </c>
      <c r="G1353" t="n">
        <v>0.1794706468324008</v>
      </c>
      <c r="H1353" t="n">
        <v>0.011123765049645</v>
      </c>
      <c r="I1353" t="n">
        <v>0.3970016556507047</v>
      </c>
      <c r="J1353" t="n">
        <v>0.1707882347057604</v>
      </c>
      <c r="K1353" t="n">
        <v>0.441256482189275</v>
      </c>
      <c r="L1353" t="b">
        <v>0</v>
      </c>
      <c r="M1353" t="b">
        <v>0</v>
      </c>
      <c r="N1353" t="inlineStr">
        <is>
          <t>ref</t>
        </is>
      </c>
      <c r="O1353" t="n">
        <v>-35</v>
      </c>
      <c r="P1353" t="n">
        <v>0.000862</v>
      </c>
      <c r="Q1353" t="n">
        <v>-10</v>
      </c>
      <c r="R1353" t="n">
        <v>0.01639</v>
      </c>
      <c r="S1353">
        <f>IMAGE("https://mitra.stanford.edu/kundaje/oak/projects/neuro-variants/variant_position/credible/roussos_2024/variant_figures/roussos_2024.adolescence.GLU/rs111548674_count_position.png",4,220,900)</f>
        <v/>
      </c>
      <c r="T1353">
        <f>IMAGE("https://mitra.stanford.edu/kundaje/oak/projects/neuro-variants/variant_position/credible/roussos_2024/variant_figures/roussos_2024.adolescence.GLU/rs111548674_profile_position.png",4,220,900)</f>
        <v/>
      </c>
    </row>
    <row r="1354">
      <c r="A1354" t="inlineStr">
        <is>
          <t>chr15</t>
        </is>
      </c>
      <c r="B1354" t="n">
        <v>97709295</v>
      </c>
      <c r="C1354" t="inlineStr">
        <is>
          <t>A</t>
        </is>
      </c>
      <c r="D1354" t="inlineStr">
        <is>
          <t>G</t>
        </is>
      </c>
      <c r="E1354" t="inlineStr">
        <is>
          <t>rs11073569</t>
        </is>
      </c>
      <c r="F1354" t="n">
        <v>0.1012143607999999</v>
      </c>
      <c r="G1354" t="n">
        <v>0.0084409786820364</v>
      </c>
      <c r="H1354" t="n">
        <v>0.0256626393020215</v>
      </c>
      <c r="I1354" t="n">
        <v>0.0246420201560956</v>
      </c>
      <c r="J1354" t="n">
        <v>0.09200905901936821</v>
      </c>
      <c r="K1354" t="n">
        <v>0.5904884700744547</v>
      </c>
      <c r="L1354" t="b">
        <v>1</v>
      </c>
      <c r="M1354" t="b">
        <v>1</v>
      </c>
      <c r="N1354" t="inlineStr">
        <is>
          <t>alt</t>
        </is>
      </c>
      <c r="O1354" t="n">
        <v>-100</v>
      </c>
      <c r="P1354" t="n">
        <v>0.02347</v>
      </c>
      <c r="Q1354" t="n">
        <v>95</v>
      </c>
      <c r="R1354" t="n">
        <v>0.0338</v>
      </c>
      <c r="S1354">
        <f>IMAGE("https://mitra.stanford.edu/kundaje/oak/projects/neuro-variants/variant_position/credible/roussos_2024/variant_figures/roussos_2024.adolescence.GLU/rs11073569_count_position.png",4,220,900)</f>
        <v/>
      </c>
      <c r="T1354">
        <f>IMAGE("https://mitra.stanford.edu/kundaje/oak/projects/neuro-variants/variant_position/credible/roussos_2024/variant_figures/roussos_2024.adolescence.GLU/rs11073569_profile_position.png",4,220,900)</f>
        <v/>
      </c>
    </row>
    <row r="1355">
      <c r="A1355" t="inlineStr">
        <is>
          <t>chr15</t>
        </is>
      </c>
      <c r="B1355" t="n">
        <v>97717715</v>
      </c>
      <c r="C1355" t="inlineStr">
        <is>
          <t>C</t>
        </is>
      </c>
      <c r="D1355" t="inlineStr">
        <is>
          <t>T</t>
        </is>
      </c>
      <c r="E1355" t="inlineStr">
        <is>
          <t>rs12908536</t>
        </is>
      </c>
      <c r="F1355" t="n">
        <v>-0.1112236076</v>
      </c>
      <c r="G1355" t="n">
        <v>0.0072326764884625</v>
      </c>
      <c r="H1355" t="n">
        <v>0.0270076667971908</v>
      </c>
      <c r="I1355" t="n">
        <v>0.021396273141024</v>
      </c>
      <c r="J1355" t="n">
        <v>0.2055454344114137</v>
      </c>
      <c r="K1355" t="n">
        <v>0.3918572707557229</v>
      </c>
      <c r="L1355" t="b">
        <v>1</v>
      </c>
      <c r="M1355" t="b">
        <v>1</v>
      </c>
      <c r="N1355" t="inlineStr">
        <is>
          <t>ref</t>
        </is>
      </c>
      <c r="O1355" t="n">
        <v>80</v>
      </c>
      <c r="P1355" t="n">
        <v>0.00341</v>
      </c>
      <c r="Q1355" t="n">
        <v>-65</v>
      </c>
      <c r="R1355" t="n">
        <v>0.0271</v>
      </c>
      <c r="S1355">
        <f>IMAGE("https://mitra.stanford.edu/kundaje/oak/projects/neuro-variants/variant_position/credible/roussos_2024/variant_figures/roussos_2024.adolescence.GLU/rs12908536_count_position.png",4,220,900)</f>
        <v/>
      </c>
      <c r="T1355">
        <f>IMAGE("https://mitra.stanford.edu/kundaje/oak/projects/neuro-variants/variant_position/credible/roussos_2024/variant_figures/roussos_2024.adolescence.GLU/rs12908536_profile_position.png",4,220,900)</f>
        <v/>
      </c>
    </row>
    <row r="1356">
      <c r="A1356" t="inlineStr">
        <is>
          <t>chr15</t>
        </is>
      </c>
      <c r="B1356" t="n">
        <v>97728980</v>
      </c>
      <c r="C1356" t="inlineStr">
        <is>
          <t>G</t>
        </is>
      </c>
      <c r="D1356" t="inlineStr">
        <is>
          <t>A</t>
        </is>
      </c>
      <c r="E1356" t="inlineStr">
        <is>
          <t>rs59251433</t>
        </is>
      </c>
      <c r="F1356" t="n">
        <v>0.0135003382</v>
      </c>
      <c r="G1356" t="n">
        <v>0.3455192776580182</v>
      </c>
      <c r="H1356" t="n">
        <v>0.0078565084553957</v>
      </c>
      <c r="I1356" t="n">
        <v>0.8057755609002152</v>
      </c>
      <c r="J1356" t="n">
        <v>0.4180194468854262</v>
      </c>
      <c r="K1356" t="n">
        <v>0.1518067931002538</v>
      </c>
      <c r="L1356" t="b">
        <v>0</v>
      </c>
      <c r="M1356" t="b">
        <v>0</v>
      </c>
      <c r="N1356" t="inlineStr">
        <is>
          <t>alt</t>
        </is>
      </c>
      <c r="O1356" t="n">
        <v>80</v>
      </c>
      <c r="P1356" t="n">
        <v>0.001705</v>
      </c>
      <c r="Q1356" t="n">
        <v>85</v>
      </c>
      <c r="R1356" t="n">
        <v>0.00757</v>
      </c>
      <c r="S1356">
        <f>IMAGE("https://mitra.stanford.edu/kundaje/oak/projects/neuro-variants/variant_position/credible/roussos_2024/variant_figures/roussos_2024.adolescence.GLU/rs59251433_count_position.png",4,220,900)</f>
        <v/>
      </c>
      <c r="T1356">
        <f>IMAGE("https://mitra.stanford.edu/kundaje/oak/projects/neuro-variants/variant_position/credible/roussos_2024/variant_figures/roussos_2024.adolescence.GLU/rs59251433_profile_position.png",4,220,900)</f>
        <v/>
      </c>
    </row>
    <row r="1357">
      <c r="A1357" t="inlineStr">
        <is>
          <t>chr15</t>
        </is>
      </c>
      <c r="B1357" t="n">
        <v>97745844</v>
      </c>
      <c r="C1357" t="inlineStr">
        <is>
          <t>G</t>
        </is>
      </c>
      <c r="D1357" t="inlineStr">
        <is>
          <t>T</t>
        </is>
      </c>
      <c r="E1357" t="inlineStr">
        <is>
          <t>rs189443571</t>
        </is>
      </c>
      <c r="F1357" t="n">
        <v>-0.00271990258</v>
      </c>
      <c r="G1357" t="n">
        <v>0.8562042027423101</v>
      </c>
      <c r="H1357" t="n">
        <v>0.0230668991588742</v>
      </c>
      <c r="I1357" t="n">
        <v>0.0295837595619968</v>
      </c>
      <c r="J1357" t="n">
        <v>0.2643690478742024</v>
      </c>
      <c r="K1357" t="n">
        <v>0.3014800432991283</v>
      </c>
      <c r="L1357" t="b">
        <v>0</v>
      </c>
      <c r="M1357" t="b">
        <v>0</v>
      </c>
      <c r="N1357" t="inlineStr">
        <is>
          <t>ref</t>
        </is>
      </c>
      <c r="O1357" t="n">
        <v>-55</v>
      </c>
      <c r="P1357" t="n">
        <v>0.06476</v>
      </c>
      <c r="Q1357" t="n">
        <v>-80</v>
      </c>
      <c r="R1357" t="n">
        <v>0.4915</v>
      </c>
      <c r="S1357">
        <f>IMAGE("https://mitra.stanford.edu/kundaje/oak/projects/neuro-variants/variant_position/credible/roussos_2024/variant_figures/roussos_2024.adolescence.GLU/rs189443571_count_position.png",4,220,900)</f>
        <v/>
      </c>
      <c r="T1357">
        <f>IMAGE("https://mitra.stanford.edu/kundaje/oak/projects/neuro-variants/variant_position/credible/roussos_2024/variant_figures/roussos_2024.adolescence.GLU/rs189443571_profile_position.png",4,220,900)</f>
        <v/>
      </c>
    </row>
    <row r="1358">
      <c r="A1358" t="inlineStr">
        <is>
          <t>chr15</t>
        </is>
      </c>
      <c r="B1358" t="n">
        <v>97760080</v>
      </c>
      <c r="C1358" t="inlineStr">
        <is>
          <t>T</t>
        </is>
      </c>
      <c r="D1358" t="inlineStr">
        <is>
          <t>C</t>
        </is>
      </c>
      <c r="E1358" t="inlineStr">
        <is>
          <t>rs73470164</t>
        </is>
      </c>
      <c r="F1358" t="n">
        <v>0.1035289884</v>
      </c>
      <c r="G1358" t="n">
        <v>0.0065815417661651</v>
      </c>
      <c r="H1358" t="n">
        <v>0.0225067756375471</v>
      </c>
      <c r="I1358" t="n">
        <v>0.0365649825021951</v>
      </c>
      <c r="J1358" t="n">
        <v>0.2269784455351465</v>
      </c>
      <c r="K1358" t="n">
        <v>0.3532331169558949</v>
      </c>
      <c r="L1358" t="b">
        <v>1</v>
      </c>
      <c r="M1358" t="b">
        <v>1</v>
      </c>
      <c r="N1358" t="inlineStr">
        <is>
          <t>alt</t>
        </is>
      </c>
      <c r="O1358" t="n">
        <v>-90</v>
      </c>
      <c r="P1358" t="n">
        <v>0.04785</v>
      </c>
      <c r="Q1358" t="n">
        <v>0</v>
      </c>
      <c r="R1358" t="n">
        <v>0</v>
      </c>
      <c r="S1358">
        <f>IMAGE("https://mitra.stanford.edu/kundaje/oak/projects/neuro-variants/variant_position/credible/roussos_2024/variant_figures/roussos_2024.adolescence.GLU/rs73470164_count_position.png",4,220,900)</f>
        <v/>
      </c>
      <c r="T1358">
        <f>IMAGE("https://mitra.stanford.edu/kundaje/oak/projects/neuro-variants/variant_position/credible/roussos_2024/variant_figures/roussos_2024.adolescence.GLU/rs73470164_profile_position.png",4,220,900)</f>
        <v/>
      </c>
    </row>
    <row r="1359">
      <c r="A1359" t="inlineStr">
        <is>
          <t>chr16</t>
        </is>
      </c>
      <c r="B1359" t="n">
        <v>4392526</v>
      </c>
      <c r="C1359" t="inlineStr">
        <is>
          <t>C</t>
        </is>
      </c>
      <c r="D1359" t="inlineStr">
        <is>
          <t>T</t>
        </is>
      </c>
      <c r="E1359" t="inlineStr">
        <is>
          <t>rs4786488</t>
        </is>
      </c>
      <c r="F1359" t="n">
        <v>-0.06836820219999989</v>
      </c>
      <c r="G1359" t="n">
        <v>0.0280935452468596</v>
      </c>
      <c r="H1359" t="n">
        <v>0.0125655311511464</v>
      </c>
      <c r="I1359" t="n">
        <v>0.3052649273615321</v>
      </c>
      <c r="J1359" t="n">
        <v>0.6704188724807281</v>
      </c>
      <c r="K1359" t="n">
        <v>0.0195845718131696</v>
      </c>
      <c r="L1359" t="b">
        <v>0</v>
      </c>
      <c r="M1359" t="b">
        <v>0</v>
      </c>
      <c r="N1359" t="inlineStr">
        <is>
          <t>ref</t>
        </is>
      </c>
      <c r="O1359" t="n">
        <v>-85</v>
      </c>
      <c r="P1359" t="n">
        <v>0.00551</v>
      </c>
      <c r="Q1359" t="n">
        <v>95</v>
      </c>
      <c r="R1359" t="n">
        <v>0.1195</v>
      </c>
      <c r="S1359">
        <f>IMAGE("https://mitra.stanford.edu/kundaje/oak/projects/neuro-variants/variant_position/credible/roussos_2024/variant_figures/roussos_2024.adolescence.GLU/rs4786488_count_position.png",4,220,900)</f>
        <v/>
      </c>
      <c r="T1359">
        <f>IMAGE("https://mitra.stanford.edu/kundaje/oak/projects/neuro-variants/variant_position/credible/roussos_2024/variant_figures/roussos_2024.adolescence.GLU/rs4786488_profile_position.png",4,220,900)</f>
        <v/>
      </c>
    </row>
    <row r="1360">
      <c r="A1360" t="inlineStr">
        <is>
          <t>chr16</t>
        </is>
      </c>
      <c r="B1360" t="n">
        <v>4447450</v>
      </c>
      <c r="C1360" t="inlineStr">
        <is>
          <t>T</t>
        </is>
      </c>
      <c r="D1360" t="inlineStr">
        <is>
          <t>C</t>
        </is>
      </c>
      <c r="E1360" t="inlineStr">
        <is>
          <t>rs6500602</t>
        </is>
      </c>
      <c r="F1360" t="n">
        <v>0.0355596886</v>
      </c>
      <c r="G1360" t="n">
        <v>0.1263279236788592</v>
      </c>
      <c r="H1360" t="n">
        <v>0.012575699440899</v>
      </c>
      <c r="I1360" t="n">
        <v>0.2929097887184042</v>
      </c>
      <c r="J1360" t="n">
        <v>0.4218073743846939</v>
      </c>
      <c r="K1360" t="n">
        <v>0.1484504948354411</v>
      </c>
      <c r="L1360" t="b">
        <v>0</v>
      </c>
      <c r="M1360" t="b">
        <v>0</v>
      </c>
      <c r="N1360" t="inlineStr">
        <is>
          <t>alt</t>
        </is>
      </c>
      <c r="O1360" t="n">
        <v>95</v>
      </c>
      <c r="P1360" t="n">
        <v>0.008070000000000001</v>
      </c>
      <c r="Q1360" t="n">
        <v>-100</v>
      </c>
      <c r="R1360" t="n">
        <v>0.08716</v>
      </c>
      <c r="S1360">
        <f>IMAGE("https://mitra.stanford.edu/kundaje/oak/projects/neuro-variants/variant_position/credible/roussos_2024/variant_figures/roussos_2024.adolescence.GLU/rs6500602_count_position.png",4,220,900)</f>
        <v/>
      </c>
      <c r="T1360">
        <f>IMAGE("https://mitra.stanford.edu/kundaje/oak/projects/neuro-variants/variant_position/credible/roussos_2024/variant_figures/roussos_2024.adolescence.GLU/rs6500602_profile_position.png",4,220,900)</f>
        <v/>
      </c>
    </row>
    <row r="1361">
      <c r="A1361" t="inlineStr">
        <is>
          <t>chr16</t>
        </is>
      </c>
      <c r="B1361" t="n">
        <v>4452513</v>
      </c>
      <c r="C1361" t="inlineStr">
        <is>
          <t>C</t>
        </is>
      </c>
      <c r="D1361" t="inlineStr">
        <is>
          <t>T</t>
        </is>
      </c>
      <c r="E1361" t="inlineStr">
        <is>
          <t>rs6500606</t>
        </is>
      </c>
      <c r="F1361" t="n">
        <v>-0.0451001922</v>
      </c>
      <c r="G1361" t="n">
        <v>0.1021383718883314</v>
      </c>
      <c r="H1361" t="n">
        <v>0.0154503198734821</v>
      </c>
      <c r="I1361" t="n">
        <v>0.1735267110012501</v>
      </c>
      <c r="J1361" t="n">
        <v>0.3164269741589329</v>
      </c>
      <c r="K1361" t="n">
        <v>0.2456393570457583</v>
      </c>
      <c r="L1361" t="b">
        <v>0</v>
      </c>
      <c r="M1361" t="b">
        <v>0</v>
      </c>
      <c r="N1361" t="inlineStr">
        <is>
          <t>ref</t>
        </is>
      </c>
      <c r="O1361" t="n">
        <v>100</v>
      </c>
      <c r="P1361" t="n">
        <v>0.005707</v>
      </c>
      <c r="Q1361" t="n">
        <v>-80</v>
      </c>
      <c r="R1361" t="n">
        <v>0.04523</v>
      </c>
      <c r="S1361">
        <f>IMAGE("https://mitra.stanford.edu/kundaje/oak/projects/neuro-variants/variant_position/credible/roussos_2024/variant_figures/roussos_2024.adolescence.GLU/rs6500606_count_position.png",4,220,900)</f>
        <v/>
      </c>
      <c r="T1361">
        <f>IMAGE("https://mitra.stanford.edu/kundaje/oak/projects/neuro-variants/variant_position/credible/roussos_2024/variant_figures/roussos_2024.adolescence.GLU/rs6500606_profile_position.png",4,220,900)</f>
        <v/>
      </c>
    </row>
    <row r="1362">
      <c r="A1362" t="inlineStr">
        <is>
          <t>chr16</t>
        </is>
      </c>
      <c r="B1362" t="n">
        <v>4479000</v>
      </c>
      <c r="C1362" t="inlineStr">
        <is>
          <t>C</t>
        </is>
      </c>
      <c r="D1362" t="inlineStr">
        <is>
          <t>A</t>
        </is>
      </c>
      <c r="E1362" t="inlineStr">
        <is>
          <t>rs11076833</t>
        </is>
      </c>
      <c r="F1362" t="n">
        <v>0.001674960074</v>
      </c>
      <c r="G1362" t="n">
        <v>0.7322267738482449</v>
      </c>
      <c r="H1362" t="n">
        <v>0.0314205396983257</v>
      </c>
      <c r="I1362" t="n">
        <v>0.0071950658422686</v>
      </c>
      <c r="J1362" t="n">
        <v>0.1053203877946145</v>
      </c>
      <c r="K1362" t="n">
        <v>0.5665436964391389</v>
      </c>
      <c r="L1362" t="b">
        <v>1</v>
      </c>
      <c r="M1362" t="b">
        <v>1</v>
      </c>
      <c r="N1362" t="inlineStr">
        <is>
          <t>alt</t>
        </is>
      </c>
      <c r="O1362" t="n">
        <v>-100</v>
      </c>
      <c r="P1362" t="n">
        <v>0.05365</v>
      </c>
      <c r="Q1362" t="n">
        <v>-75</v>
      </c>
      <c r="R1362" t="n">
        <v>0.04187</v>
      </c>
      <c r="S1362">
        <f>IMAGE("https://mitra.stanford.edu/kundaje/oak/projects/neuro-variants/variant_position/credible/roussos_2024/variant_figures/roussos_2024.adolescence.GLU/rs11076833_count_position.png",4,220,900)</f>
        <v/>
      </c>
      <c r="T1362">
        <f>IMAGE("https://mitra.stanford.edu/kundaje/oak/projects/neuro-variants/variant_position/credible/roussos_2024/variant_figures/roussos_2024.adolescence.GLU/rs11076833_profile_position.png",4,220,900)</f>
        <v/>
      </c>
    </row>
    <row r="1363">
      <c r="A1363" t="inlineStr">
        <is>
          <t>chr16</t>
        </is>
      </c>
      <c r="B1363" t="n">
        <v>4486164</v>
      </c>
      <c r="C1363" t="inlineStr">
        <is>
          <t>A</t>
        </is>
      </c>
      <c r="D1363" t="inlineStr">
        <is>
          <t>C</t>
        </is>
      </c>
      <c r="E1363" t="inlineStr">
        <is>
          <t>rs4786501</t>
        </is>
      </c>
      <c r="F1363" t="n">
        <v>-0.002934870592</v>
      </c>
      <c r="G1363" t="n">
        <v>0.6937831697221905</v>
      </c>
      <c r="H1363" t="n">
        <v>0.0125483065484554</v>
      </c>
      <c r="I1363" t="n">
        <v>0.3013807270209053</v>
      </c>
      <c r="J1363" t="n">
        <v>0.08801966121553741</v>
      </c>
      <c r="K1363" t="n">
        <v>0.6145925838360846</v>
      </c>
      <c r="L1363" t="b">
        <v>0</v>
      </c>
      <c r="M1363" t="b">
        <v>0</v>
      </c>
      <c r="N1363" t="inlineStr">
        <is>
          <t>ref</t>
        </is>
      </c>
      <c r="O1363" t="n">
        <v>95</v>
      </c>
      <c r="P1363" t="n">
        <v>0.003656</v>
      </c>
      <c r="Q1363" t="n">
        <v>30</v>
      </c>
      <c r="R1363" t="n">
        <v>0.00787</v>
      </c>
      <c r="S1363">
        <f>IMAGE("https://mitra.stanford.edu/kundaje/oak/projects/neuro-variants/variant_position/credible/roussos_2024/variant_figures/roussos_2024.adolescence.GLU/rs4786501_count_position.png",4,220,900)</f>
        <v/>
      </c>
      <c r="T1363">
        <f>IMAGE("https://mitra.stanford.edu/kundaje/oak/projects/neuro-variants/variant_position/credible/roussos_2024/variant_figures/roussos_2024.adolescence.GLU/rs4786501_profile_position.png",4,220,900)</f>
        <v/>
      </c>
    </row>
    <row r="1364">
      <c r="A1364" t="inlineStr">
        <is>
          <t>chr16</t>
        </is>
      </c>
      <c r="B1364" t="n">
        <v>4487103</v>
      </c>
      <c r="C1364" t="inlineStr">
        <is>
          <t>T</t>
        </is>
      </c>
      <c r="D1364" t="inlineStr">
        <is>
          <t>C</t>
        </is>
      </c>
      <c r="E1364" t="inlineStr">
        <is>
          <t>rs4786502</t>
        </is>
      </c>
      <c r="F1364" t="n">
        <v>-0.0028588614659999</v>
      </c>
      <c r="G1364" t="n">
        <v>0.8096457872098445</v>
      </c>
      <c r="H1364" t="n">
        <v>0.0232434309933844</v>
      </c>
      <c r="I1364" t="n">
        <v>0.0318837879576707</v>
      </c>
      <c r="J1364" t="n">
        <v>0.1400104307320802</v>
      </c>
      <c r="K1364" t="n">
        <v>0.5064928497752819</v>
      </c>
      <c r="L1364" t="b">
        <v>0</v>
      </c>
      <c r="M1364" t="b">
        <v>0</v>
      </c>
      <c r="N1364" t="inlineStr">
        <is>
          <t>ref</t>
        </is>
      </c>
      <c r="O1364" t="n">
        <v>35</v>
      </c>
      <c r="P1364" t="n">
        <v>0.0124</v>
      </c>
      <c r="Q1364" t="n">
        <v>-70</v>
      </c>
      <c r="R1364" t="n">
        <v>0.04138</v>
      </c>
      <c r="S1364">
        <f>IMAGE("https://mitra.stanford.edu/kundaje/oak/projects/neuro-variants/variant_position/credible/roussos_2024/variant_figures/roussos_2024.adolescence.GLU/rs4786502_count_position.png",4,220,900)</f>
        <v/>
      </c>
      <c r="T1364">
        <f>IMAGE("https://mitra.stanford.edu/kundaje/oak/projects/neuro-variants/variant_position/credible/roussos_2024/variant_figures/roussos_2024.adolescence.GLU/rs4786502_profile_position.png",4,220,900)</f>
        <v/>
      </c>
    </row>
    <row r="1365">
      <c r="A1365" t="inlineStr">
        <is>
          <t>chr16</t>
        </is>
      </c>
      <c r="B1365" t="n">
        <v>4508614</v>
      </c>
      <c r="C1365" t="inlineStr">
        <is>
          <t>G</t>
        </is>
      </c>
      <c r="D1365" t="inlineStr">
        <is>
          <t>A</t>
        </is>
      </c>
      <c r="E1365" t="inlineStr">
        <is>
          <t>rs2270366</t>
        </is>
      </c>
      <c r="F1365" t="n">
        <v>-0.0197297575999999</v>
      </c>
      <c r="G1365" t="n">
        <v>0.3071823304860843</v>
      </c>
      <c r="H1365" t="n">
        <v>0.0121008551810867</v>
      </c>
      <c r="I1365" t="n">
        <v>0.3355555207524076</v>
      </c>
      <c r="J1365" t="n">
        <v>0.2149116602724849</v>
      </c>
      <c r="K1365" t="n">
        <v>0.3824595653338922</v>
      </c>
      <c r="L1365" t="b">
        <v>0</v>
      </c>
      <c r="M1365" t="b">
        <v>0</v>
      </c>
      <c r="N1365" t="inlineStr">
        <is>
          <t>ref</t>
        </is>
      </c>
      <c r="O1365" t="n">
        <v>25</v>
      </c>
      <c r="P1365" t="n">
        <v>0.01142</v>
      </c>
      <c r="Q1365" t="n">
        <v>-75</v>
      </c>
      <c r="R1365" t="n">
        <v>0.0825</v>
      </c>
      <c r="S1365">
        <f>IMAGE("https://mitra.stanford.edu/kundaje/oak/projects/neuro-variants/variant_position/credible/roussos_2024/variant_figures/roussos_2024.adolescence.GLU/rs2270366_count_position.png",4,220,900)</f>
        <v/>
      </c>
      <c r="T1365">
        <f>IMAGE("https://mitra.stanford.edu/kundaje/oak/projects/neuro-variants/variant_position/credible/roussos_2024/variant_figures/roussos_2024.adolescence.GLU/rs2270366_profile_position.png",4,220,900)</f>
        <v/>
      </c>
    </row>
    <row r="1366">
      <c r="A1366" t="inlineStr">
        <is>
          <t>chr16</t>
        </is>
      </c>
      <c r="B1366" t="n">
        <v>4510300</v>
      </c>
      <c r="C1366" t="inlineStr">
        <is>
          <t>G</t>
        </is>
      </c>
      <c r="D1366" t="inlineStr">
        <is>
          <t>A</t>
        </is>
      </c>
      <c r="E1366" t="inlineStr">
        <is>
          <t>rs1051308</t>
        </is>
      </c>
      <c r="F1366" t="n">
        <v>-0.0444161566</v>
      </c>
      <c r="G1366" t="n">
        <v>0.0840598946272727</v>
      </c>
      <c r="H1366" t="n">
        <v>0.0109509173494017</v>
      </c>
      <c r="I1366" t="n">
        <v>0.4311514961026912</v>
      </c>
      <c r="J1366" t="n">
        <v>0.4600295775553507</v>
      </c>
      <c r="K1366" t="n">
        <v>0.1181511894582492</v>
      </c>
      <c r="L1366" t="b">
        <v>0</v>
      </c>
      <c r="M1366" t="b">
        <v>0</v>
      </c>
      <c r="N1366" t="inlineStr">
        <is>
          <t>ref</t>
        </is>
      </c>
      <c r="O1366" t="n">
        <v>-95</v>
      </c>
      <c r="P1366" t="n">
        <v>0.00335</v>
      </c>
      <c r="Q1366" t="n">
        <v>-40</v>
      </c>
      <c r="R1366" t="n">
        <v>0.01312</v>
      </c>
      <c r="S1366">
        <f>IMAGE("https://mitra.stanford.edu/kundaje/oak/projects/neuro-variants/variant_position/credible/roussos_2024/variant_figures/roussos_2024.adolescence.GLU/rs1051308_count_position.png",4,220,900)</f>
        <v/>
      </c>
      <c r="T1366">
        <f>IMAGE("https://mitra.stanford.edu/kundaje/oak/projects/neuro-variants/variant_position/credible/roussos_2024/variant_figures/roussos_2024.adolescence.GLU/rs1051308_profile_position.png",4,220,900)</f>
        <v/>
      </c>
    </row>
    <row r="1367">
      <c r="A1367" t="inlineStr">
        <is>
          <t>chr16</t>
        </is>
      </c>
      <c r="B1367" t="n">
        <v>4519330</v>
      </c>
      <c r="C1367" t="inlineStr">
        <is>
          <t>G</t>
        </is>
      </c>
      <c r="D1367" t="inlineStr">
        <is>
          <t>A</t>
        </is>
      </c>
      <c r="E1367" t="inlineStr">
        <is>
          <t>rs11076836</t>
        </is>
      </c>
      <c r="F1367" t="n">
        <v>-0.106905469</v>
      </c>
      <c r="G1367" t="n">
        <v>0.0070773202090859</v>
      </c>
      <c r="H1367" t="n">
        <v>0.021780810057674</v>
      </c>
      <c r="I1367" t="n">
        <v>0.0437884081168572</v>
      </c>
      <c r="J1367" t="n">
        <v>0.4365732901815375</v>
      </c>
      <c r="K1367" t="n">
        <v>0.1360751444746805</v>
      </c>
      <c r="L1367" t="b">
        <v>1</v>
      </c>
      <c r="M1367" t="b">
        <v>1</v>
      </c>
      <c r="N1367" t="inlineStr">
        <is>
          <t>ref</t>
        </is>
      </c>
      <c r="O1367" t="n">
        <v>30</v>
      </c>
      <c r="P1367" t="n">
        <v>0.003273</v>
      </c>
      <c r="Q1367" t="n">
        <v>75</v>
      </c>
      <c r="R1367" t="n">
        <v>0.08606</v>
      </c>
      <c r="S1367">
        <f>IMAGE("https://mitra.stanford.edu/kundaje/oak/projects/neuro-variants/variant_position/credible/roussos_2024/variant_figures/roussos_2024.adolescence.GLU/rs11076836_count_position.png",4,220,900)</f>
        <v/>
      </c>
      <c r="T1367">
        <f>IMAGE("https://mitra.stanford.edu/kundaje/oak/projects/neuro-variants/variant_position/credible/roussos_2024/variant_figures/roussos_2024.adolescence.GLU/rs11076836_profile_position.png",4,220,900)</f>
        <v/>
      </c>
    </row>
    <row r="1368">
      <c r="A1368" t="inlineStr">
        <is>
          <t>chr16</t>
        </is>
      </c>
      <c r="B1368" t="n">
        <v>4519439</v>
      </c>
      <c r="C1368" t="inlineStr">
        <is>
          <t>C</t>
        </is>
      </c>
      <c r="D1368" t="inlineStr">
        <is>
          <t>T</t>
        </is>
      </c>
      <c r="E1368" t="inlineStr">
        <is>
          <t>rs11076837</t>
        </is>
      </c>
      <c r="F1368" t="n">
        <v>0.0422932818</v>
      </c>
      <c r="G1368" t="n">
        <v>0.0870092338695888</v>
      </c>
      <c r="H1368" t="n">
        <v>0.0222587871895384</v>
      </c>
      <c r="I1368" t="n">
        <v>0.0349020213332456</v>
      </c>
      <c r="J1368" t="n">
        <v>0.4583706624943738</v>
      </c>
      <c r="K1368" t="n">
        <v>0.1188798288510501</v>
      </c>
      <c r="L1368" t="b">
        <v>0</v>
      </c>
      <c r="M1368" t="b">
        <v>0</v>
      </c>
      <c r="N1368" t="inlineStr">
        <is>
          <t>alt</t>
        </is>
      </c>
      <c r="O1368" t="n">
        <v>-80</v>
      </c>
      <c r="P1368" t="n">
        <v>0.01048</v>
      </c>
      <c r="Q1368" t="n">
        <v>-30</v>
      </c>
      <c r="R1368" t="n">
        <v>0.03894</v>
      </c>
      <c r="S1368">
        <f>IMAGE("https://mitra.stanford.edu/kundaje/oak/projects/neuro-variants/variant_position/credible/roussos_2024/variant_figures/roussos_2024.adolescence.GLU/rs11076837_count_position.png",4,220,900)</f>
        <v/>
      </c>
      <c r="T1368">
        <f>IMAGE("https://mitra.stanford.edu/kundaje/oak/projects/neuro-variants/variant_position/credible/roussos_2024/variant_figures/roussos_2024.adolescence.GLU/rs11076837_profile_position.png",4,220,900)</f>
        <v/>
      </c>
    </row>
    <row r="1369">
      <c r="A1369" t="inlineStr">
        <is>
          <t>chr16</t>
        </is>
      </c>
      <c r="B1369" t="n">
        <v>4534405</v>
      </c>
      <c r="C1369" t="inlineStr">
        <is>
          <t>C</t>
        </is>
      </c>
      <c r="D1369" t="inlineStr">
        <is>
          <t>T</t>
        </is>
      </c>
      <c r="E1369" t="inlineStr">
        <is>
          <t>rs4786519</t>
        </is>
      </c>
      <c r="F1369" t="n">
        <v>-0.0341403651999999</v>
      </c>
      <c r="G1369" t="n">
        <v>0.1489674117759306</v>
      </c>
      <c r="H1369" t="n">
        <v>0.0100754334425305</v>
      </c>
      <c r="I1369" t="n">
        <v>0.5050670690739741</v>
      </c>
      <c r="J1369" t="n">
        <v>0.3300340784876867</v>
      </c>
      <c r="K1369" t="n">
        <v>0.2376935170503963</v>
      </c>
      <c r="L1369" t="b">
        <v>0</v>
      </c>
      <c r="M1369" t="b">
        <v>0</v>
      </c>
      <c r="N1369" t="inlineStr">
        <is>
          <t>ref</t>
        </is>
      </c>
      <c r="O1369" t="n">
        <v>-100</v>
      </c>
      <c r="P1369" t="n">
        <v>0.00418</v>
      </c>
      <c r="Q1369" t="n">
        <v>-50</v>
      </c>
      <c r="R1369" t="n">
        <v>0.02972</v>
      </c>
      <c r="S1369">
        <f>IMAGE("https://mitra.stanford.edu/kundaje/oak/projects/neuro-variants/variant_position/credible/roussos_2024/variant_figures/roussos_2024.adolescence.GLU/rs4786519_count_position.png",4,220,900)</f>
        <v/>
      </c>
      <c r="T1369">
        <f>IMAGE("https://mitra.stanford.edu/kundaje/oak/projects/neuro-variants/variant_position/credible/roussos_2024/variant_figures/roussos_2024.adolescence.GLU/rs4786519_profile_position.png",4,220,900)</f>
        <v/>
      </c>
    </row>
    <row r="1370">
      <c r="A1370" t="inlineStr">
        <is>
          <t>chr16</t>
        </is>
      </c>
      <c r="B1370" t="n">
        <v>5738914</v>
      </c>
      <c r="C1370" t="inlineStr">
        <is>
          <t>A</t>
        </is>
      </c>
      <c r="D1370" t="inlineStr">
        <is>
          <t>G</t>
        </is>
      </c>
      <c r="E1370" t="inlineStr">
        <is>
          <t>rs12596497</t>
        </is>
      </c>
      <c r="F1370" t="n">
        <v>0.0205723206</v>
      </c>
      <c r="G1370" t="n">
        <v>0.2760534416759672</v>
      </c>
      <c r="H1370" t="n">
        <v>0.0112875701308971</v>
      </c>
      <c r="I1370" t="n">
        <v>0.391165508343866</v>
      </c>
      <c r="J1370" t="n">
        <v>0.1571997056533138</v>
      </c>
      <c r="K1370" t="n">
        <v>0.4674947423254867</v>
      </c>
      <c r="L1370" t="b">
        <v>0</v>
      </c>
      <c r="M1370" t="b">
        <v>0</v>
      </c>
      <c r="N1370" t="inlineStr">
        <is>
          <t>alt</t>
        </is>
      </c>
      <c r="O1370" t="n">
        <v>-100</v>
      </c>
      <c r="P1370" t="n">
        <v>0.01012</v>
      </c>
      <c r="Q1370" t="n">
        <v>-50</v>
      </c>
      <c r="R1370" t="n">
        <v>0.03375</v>
      </c>
      <c r="S1370">
        <f>IMAGE("https://mitra.stanford.edu/kundaje/oak/projects/neuro-variants/variant_position/credible/roussos_2024/variant_figures/roussos_2024.adolescence.GLU/rs12596497_count_position.png",4,220,900)</f>
        <v/>
      </c>
      <c r="T1370">
        <f>IMAGE("https://mitra.stanford.edu/kundaje/oak/projects/neuro-variants/variant_position/credible/roussos_2024/variant_figures/roussos_2024.adolescence.GLU/rs12596497_profile_position.png",4,220,900)</f>
        <v/>
      </c>
    </row>
    <row r="1371">
      <c r="A1371" t="inlineStr">
        <is>
          <t>chr16</t>
        </is>
      </c>
      <c r="B1371" t="n">
        <v>5739574</v>
      </c>
      <c r="C1371" t="inlineStr">
        <is>
          <t>T</t>
        </is>
      </c>
      <c r="D1371" t="inlineStr">
        <is>
          <t>G</t>
        </is>
      </c>
      <c r="E1371" t="inlineStr">
        <is>
          <t>rs929468</t>
        </is>
      </c>
      <c r="F1371" t="n">
        <v>0.0113459140199999</v>
      </c>
      <c r="G1371" t="n">
        <v>0.4627458465455275</v>
      </c>
      <c r="H1371" t="n">
        <v>0.0148381911888353</v>
      </c>
      <c r="I1371" t="n">
        <v>0.1747952952971262</v>
      </c>
      <c r="J1371" t="n">
        <v>0.3338491544677111</v>
      </c>
      <c r="K1371" t="n">
        <v>0.2332738842532819</v>
      </c>
      <c r="L1371" t="b">
        <v>0</v>
      </c>
      <c r="M1371" t="b">
        <v>0</v>
      </c>
      <c r="N1371" t="inlineStr">
        <is>
          <t>alt</t>
        </is>
      </c>
      <c r="O1371" t="n">
        <v>0</v>
      </c>
      <c r="P1371" t="n">
        <v>0</v>
      </c>
      <c r="Q1371" t="n">
        <v>100</v>
      </c>
      <c r="R1371" t="n">
        <v>0.07574</v>
      </c>
      <c r="S1371">
        <f>IMAGE("https://mitra.stanford.edu/kundaje/oak/projects/neuro-variants/variant_position/credible/roussos_2024/variant_figures/roussos_2024.adolescence.GLU/rs929468_count_position.png",4,220,900)</f>
        <v/>
      </c>
      <c r="T1371">
        <f>IMAGE("https://mitra.stanford.edu/kundaje/oak/projects/neuro-variants/variant_position/credible/roussos_2024/variant_figures/roussos_2024.adolescence.GLU/rs929468_profile_position.png",4,220,900)</f>
        <v/>
      </c>
    </row>
    <row r="1372">
      <c r="A1372" t="inlineStr">
        <is>
          <t>chr16</t>
        </is>
      </c>
      <c r="B1372" t="n">
        <v>5740082</v>
      </c>
      <c r="C1372" t="inlineStr">
        <is>
          <t>G</t>
        </is>
      </c>
      <c r="D1372" t="inlineStr">
        <is>
          <t>T</t>
        </is>
      </c>
      <c r="E1372" t="inlineStr">
        <is>
          <t>rs57105172</t>
        </is>
      </c>
      <c r="F1372" t="n">
        <v>-0.03595273472</v>
      </c>
      <c r="G1372" t="n">
        <v>0.1187665930690311</v>
      </c>
      <c r="H1372" t="n">
        <v>0.019999491711562</v>
      </c>
      <c r="I1372" t="n">
        <v>0.0530392253753322</v>
      </c>
      <c r="J1372" t="n">
        <v>0.3926127554993533</v>
      </c>
      <c r="K1372" t="n">
        <v>0.1733394672628216</v>
      </c>
      <c r="L1372" t="b">
        <v>0</v>
      </c>
      <c r="M1372" t="b">
        <v>0</v>
      </c>
      <c r="N1372" t="inlineStr">
        <is>
          <t>ref</t>
        </is>
      </c>
      <c r="O1372" t="n">
        <v>-100</v>
      </c>
      <c r="P1372" t="n">
        <v>0.02942</v>
      </c>
      <c r="Q1372" t="n">
        <v>0</v>
      </c>
      <c r="R1372" t="n">
        <v>0</v>
      </c>
      <c r="S1372">
        <f>IMAGE("https://mitra.stanford.edu/kundaje/oak/projects/neuro-variants/variant_position/credible/roussos_2024/variant_figures/roussos_2024.adolescence.GLU/rs57105172_count_position.png",4,220,900)</f>
        <v/>
      </c>
      <c r="T1372">
        <f>IMAGE("https://mitra.stanford.edu/kundaje/oak/projects/neuro-variants/variant_position/credible/roussos_2024/variant_figures/roussos_2024.adolescence.GLU/rs57105172_profile_position.png",4,220,900)</f>
        <v/>
      </c>
    </row>
    <row r="1373">
      <c r="A1373" t="inlineStr">
        <is>
          <t>chr16</t>
        </is>
      </c>
      <c r="B1373" t="n">
        <v>5740711</v>
      </c>
      <c r="C1373" t="inlineStr">
        <is>
          <t>G</t>
        </is>
      </c>
      <c r="D1373" t="inlineStr">
        <is>
          <t>A</t>
        </is>
      </c>
      <c r="E1373" t="inlineStr">
        <is>
          <t>rs66926752</t>
        </is>
      </c>
      <c r="F1373" t="n">
        <v>0.0149680488</v>
      </c>
      <c r="G1373" t="n">
        <v>0.3783745764186098</v>
      </c>
      <c r="H1373" t="n">
        <v>0.0176951198384511</v>
      </c>
      <c r="I1373" t="n">
        <v>0.0969666067343105</v>
      </c>
      <c r="J1373" t="n">
        <v>0.2094276671596259</v>
      </c>
      <c r="K1373" t="n">
        <v>0.3911772783563007</v>
      </c>
      <c r="L1373" t="b">
        <v>0</v>
      </c>
      <c r="M1373" t="b">
        <v>0</v>
      </c>
      <c r="N1373" t="inlineStr">
        <is>
          <t>alt</t>
        </is>
      </c>
      <c r="O1373" t="n">
        <v>-100</v>
      </c>
      <c r="P1373" t="n">
        <v>0.00755</v>
      </c>
      <c r="Q1373" t="n">
        <v>70</v>
      </c>
      <c r="R1373" t="n">
        <v>0.08276</v>
      </c>
      <c r="S1373">
        <f>IMAGE("https://mitra.stanford.edu/kundaje/oak/projects/neuro-variants/variant_position/credible/roussos_2024/variant_figures/roussos_2024.adolescence.GLU/rs66926752_count_position.png",4,220,900)</f>
        <v/>
      </c>
      <c r="T1373">
        <f>IMAGE("https://mitra.stanford.edu/kundaje/oak/projects/neuro-variants/variant_position/credible/roussos_2024/variant_figures/roussos_2024.adolescence.GLU/rs66926752_profile_position.png",4,220,900)</f>
        <v/>
      </c>
    </row>
    <row r="1374">
      <c r="A1374" t="inlineStr">
        <is>
          <t>chr16</t>
        </is>
      </c>
      <c r="B1374" t="n">
        <v>5743578</v>
      </c>
      <c r="C1374" t="inlineStr">
        <is>
          <t>C</t>
        </is>
      </c>
      <c r="D1374" t="inlineStr">
        <is>
          <t>T</t>
        </is>
      </c>
      <c r="E1374" t="inlineStr">
        <is>
          <t>rs11076959</t>
        </is>
      </c>
      <c r="F1374" t="n">
        <v>0.00157611678</v>
      </c>
      <c r="G1374" t="n">
        <v>0.7725565974573705</v>
      </c>
      <c r="H1374" t="n">
        <v>0.0208203165764834</v>
      </c>
      <c r="I1374" t="n">
        <v>0.0517966873801589</v>
      </c>
      <c r="J1374" t="n">
        <v>0.2921133663401704</v>
      </c>
      <c r="K1374" t="n">
        <v>0.2814843414323544</v>
      </c>
      <c r="L1374" t="b">
        <v>0</v>
      </c>
      <c r="M1374" t="b">
        <v>0</v>
      </c>
      <c r="N1374" t="inlineStr">
        <is>
          <t>alt</t>
        </is>
      </c>
      <c r="O1374" t="n">
        <v>5</v>
      </c>
      <c r="P1374" t="n">
        <v>0.000717</v>
      </c>
      <c r="Q1374" t="n">
        <v>-100</v>
      </c>
      <c r="R1374" t="n">
        <v>0.02905</v>
      </c>
      <c r="S1374">
        <f>IMAGE("https://mitra.stanford.edu/kundaje/oak/projects/neuro-variants/variant_position/credible/roussos_2024/variant_figures/roussos_2024.adolescence.GLU/rs11076959_count_position.png",4,220,900)</f>
        <v/>
      </c>
      <c r="T1374">
        <f>IMAGE("https://mitra.stanford.edu/kundaje/oak/projects/neuro-variants/variant_position/credible/roussos_2024/variant_figures/roussos_2024.adolescence.GLU/rs11076959_profile_position.png",4,220,900)</f>
        <v/>
      </c>
    </row>
    <row r="1375">
      <c r="A1375" t="inlineStr">
        <is>
          <t>chr16</t>
        </is>
      </c>
      <c r="B1375" t="n">
        <v>5747060</v>
      </c>
      <c r="C1375" t="inlineStr">
        <is>
          <t>T</t>
        </is>
      </c>
      <c r="D1375" t="inlineStr">
        <is>
          <t>C</t>
        </is>
      </c>
      <c r="E1375" t="inlineStr">
        <is>
          <t>rs9929010</t>
        </is>
      </c>
      <c r="F1375" t="n">
        <v>0.00210621964</v>
      </c>
      <c r="G1375" t="n">
        <v>0.7491288387223337</v>
      </c>
      <c r="H1375" t="n">
        <v>0.0084735204019397</v>
      </c>
      <c r="I1375" t="n">
        <v>0.7297767934638117</v>
      </c>
      <c r="J1375" t="n">
        <v>0.0559373012981259</v>
      </c>
      <c r="K1375" t="n">
        <v>0.6824218821682808</v>
      </c>
      <c r="L1375" t="b">
        <v>0</v>
      </c>
      <c r="M1375" t="b">
        <v>0</v>
      </c>
      <c r="N1375" t="inlineStr">
        <is>
          <t>alt</t>
        </is>
      </c>
      <c r="O1375" t="n">
        <v>25</v>
      </c>
      <c r="P1375" t="n">
        <v>0.000826</v>
      </c>
      <c r="Q1375" t="n">
        <v>-95</v>
      </c>
      <c r="R1375" t="n">
        <v>0.01736</v>
      </c>
      <c r="S1375">
        <f>IMAGE("https://mitra.stanford.edu/kundaje/oak/projects/neuro-variants/variant_position/credible/roussos_2024/variant_figures/roussos_2024.adolescence.GLU/rs9929010_count_position.png",4,220,900)</f>
        <v/>
      </c>
      <c r="T1375">
        <f>IMAGE("https://mitra.stanford.edu/kundaje/oak/projects/neuro-variants/variant_position/credible/roussos_2024/variant_figures/roussos_2024.adolescence.GLU/rs9929010_profile_position.png",4,220,900)</f>
        <v/>
      </c>
    </row>
    <row r="1376">
      <c r="A1376" t="inlineStr">
        <is>
          <t>chr16</t>
        </is>
      </c>
      <c r="B1376" t="n">
        <v>5755393</v>
      </c>
      <c r="C1376" t="inlineStr">
        <is>
          <t>C</t>
        </is>
      </c>
      <c r="D1376" t="inlineStr">
        <is>
          <t>A</t>
        </is>
      </c>
      <c r="E1376" t="inlineStr">
        <is>
          <t>rs6500717</t>
        </is>
      </c>
      <c r="F1376" t="n">
        <v>0.0134891548</v>
      </c>
      <c r="G1376" t="n">
        <v>0.3483109673533361</v>
      </c>
      <c r="H1376" t="n">
        <v>0.0135287569814934</v>
      </c>
      <c r="I1376" t="n">
        <v>0.2128557414396086</v>
      </c>
      <c r="J1376" t="n">
        <v>0.2826414042908888</v>
      </c>
      <c r="K1376" t="n">
        <v>0.2933876873325985</v>
      </c>
      <c r="L1376" t="b">
        <v>0</v>
      </c>
      <c r="M1376" t="b">
        <v>0</v>
      </c>
      <c r="N1376" t="inlineStr">
        <is>
          <t>alt</t>
        </is>
      </c>
      <c r="O1376" t="n">
        <v>0</v>
      </c>
      <c r="P1376" t="n">
        <v>0</v>
      </c>
      <c r="Q1376" t="n">
        <v>-95</v>
      </c>
      <c r="R1376" t="n">
        <v>0.05505</v>
      </c>
      <c r="S1376">
        <f>IMAGE("https://mitra.stanford.edu/kundaje/oak/projects/neuro-variants/variant_position/credible/roussos_2024/variant_figures/roussos_2024.adolescence.GLU/rs6500717_count_position.png",4,220,900)</f>
        <v/>
      </c>
      <c r="T1376">
        <f>IMAGE("https://mitra.stanford.edu/kundaje/oak/projects/neuro-variants/variant_position/credible/roussos_2024/variant_figures/roussos_2024.adolescence.GLU/rs6500717_profile_position.png",4,220,900)</f>
        <v/>
      </c>
    </row>
    <row r="1377">
      <c r="A1377" t="inlineStr">
        <is>
          <t>chr16</t>
        </is>
      </c>
      <c r="B1377" t="n">
        <v>5758519</v>
      </c>
      <c r="C1377" t="inlineStr">
        <is>
          <t>A</t>
        </is>
      </c>
      <c r="D1377" t="inlineStr">
        <is>
          <t>G</t>
        </is>
      </c>
      <c r="E1377" t="inlineStr">
        <is>
          <t>rs7189389</t>
        </is>
      </c>
      <c r="F1377" t="n">
        <v>-0.0365305161999999</v>
      </c>
      <c r="G1377" t="n">
        <v>0.1322133791978435</v>
      </c>
      <c r="H1377" t="n">
        <v>0.0186968948028738</v>
      </c>
      <c r="I1377" t="n">
        <v>0.0809278603630384</v>
      </c>
      <c r="J1377" t="n">
        <v>0.4179237127690736</v>
      </c>
      <c r="K1377" t="n">
        <v>0.1504898837067069</v>
      </c>
      <c r="L1377" t="b">
        <v>0</v>
      </c>
      <c r="M1377" t="b">
        <v>0</v>
      </c>
      <c r="N1377" t="inlineStr">
        <is>
          <t>ref</t>
        </is>
      </c>
      <c r="O1377" t="n">
        <v>30</v>
      </c>
      <c r="P1377" t="n">
        <v>0.001938</v>
      </c>
      <c r="Q1377" t="n">
        <v>-45</v>
      </c>
      <c r="R1377" t="n">
        <v>0.0703</v>
      </c>
      <c r="S1377">
        <f>IMAGE("https://mitra.stanford.edu/kundaje/oak/projects/neuro-variants/variant_position/credible/roussos_2024/variant_figures/roussos_2024.adolescence.GLU/rs7189389_count_position.png",4,220,900)</f>
        <v/>
      </c>
      <c r="T1377">
        <f>IMAGE("https://mitra.stanford.edu/kundaje/oak/projects/neuro-variants/variant_position/credible/roussos_2024/variant_figures/roussos_2024.adolescence.GLU/rs7189389_profile_position.png",4,220,900)</f>
        <v/>
      </c>
    </row>
    <row r="1378">
      <c r="A1378" t="inlineStr">
        <is>
          <t>chr16</t>
        </is>
      </c>
      <c r="B1378" t="n">
        <v>5760685</v>
      </c>
      <c r="C1378" t="inlineStr">
        <is>
          <t>T</t>
        </is>
      </c>
      <c r="D1378" t="inlineStr">
        <is>
          <t>C</t>
        </is>
      </c>
      <c r="E1378" t="inlineStr">
        <is>
          <t>rs3900820</t>
        </is>
      </c>
      <c r="F1378" t="n">
        <v>0.004411616066</v>
      </c>
      <c r="G1378" t="n">
        <v>0.7446260116628151</v>
      </c>
      <c r="H1378" t="n">
        <v>0.0174142628935978</v>
      </c>
      <c r="I1378" t="n">
        <v>0.0926209704948559</v>
      </c>
      <c r="J1378" t="n">
        <v>0.0582949325217366</v>
      </c>
      <c r="K1378" t="n">
        <v>0.6778228846585609</v>
      </c>
      <c r="L1378" t="b">
        <v>0</v>
      </c>
      <c r="M1378" t="b">
        <v>0</v>
      </c>
      <c r="N1378" t="inlineStr">
        <is>
          <t>alt</t>
        </is>
      </c>
      <c r="O1378" t="n">
        <v>90</v>
      </c>
      <c r="P1378" t="n">
        <v>0.001515</v>
      </c>
      <c r="Q1378" t="n">
        <v>80</v>
      </c>
      <c r="R1378" t="n">
        <v>0.09894</v>
      </c>
      <c r="S1378">
        <f>IMAGE("https://mitra.stanford.edu/kundaje/oak/projects/neuro-variants/variant_position/credible/roussos_2024/variant_figures/roussos_2024.adolescence.GLU/rs3900820_count_position.png",4,220,900)</f>
        <v/>
      </c>
      <c r="T1378">
        <f>IMAGE("https://mitra.stanford.edu/kundaje/oak/projects/neuro-variants/variant_position/credible/roussos_2024/variant_figures/roussos_2024.adolescence.GLU/rs3900820_profile_position.png",4,220,900)</f>
        <v/>
      </c>
    </row>
    <row r="1379">
      <c r="A1379" t="inlineStr">
        <is>
          <t>chr16</t>
        </is>
      </c>
      <c r="B1379" t="n">
        <v>5770236</v>
      </c>
      <c r="C1379" t="inlineStr">
        <is>
          <t>A</t>
        </is>
      </c>
      <c r="D1379" t="inlineStr">
        <is>
          <t>C</t>
        </is>
      </c>
      <c r="E1379" t="inlineStr">
        <is>
          <t>rs9927114</t>
        </is>
      </c>
      <c r="F1379" t="n">
        <v>-0.01068510702</v>
      </c>
      <c r="G1379" t="n">
        <v>0.5288940740687585</v>
      </c>
      <c r="H1379" t="n">
        <v>0.0121110812744276</v>
      </c>
      <c r="I1379" t="n">
        <v>0.3284806951301136</v>
      </c>
      <c r="J1379" t="n">
        <v>0.3164198298218916</v>
      </c>
      <c r="K1379" t="n">
        <v>0.2507340716154521</v>
      </c>
      <c r="L1379" t="b">
        <v>0</v>
      </c>
      <c r="M1379" t="b">
        <v>0</v>
      </c>
      <c r="N1379" t="inlineStr">
        <is>
          <t>ref</t>
        </is>
      </c>
      <c r="O1379" t="n">
        <v>25</v>
      </c>
      <c r="P1379" t="n">
        <v>0.00243</v>
      </c>
      <c r="Q1379" t="n">
        <v>100</v>
      </c>
      <c r="R1379" t="n">
        <v>0.07825</v>
      </c>
      <c r="S1379">
        <f>IMAGE("https://mitra.stanford.edu/kundaje/oak/projects/neuro-variants/variant_position/credible/roussos_2024/variant_figures/roussos_2024.adolescence.GLU/rs9927114_count_position.png",4,220,900)</f>
        <v/>
      </c>
      <c r="T1379">
        <f>IMAGE("https://mitra.stanford.edu/kundaje/oak/projects/neuro-variants/variant_position/credible/roussos_2024/variant_figures/roussos_2024.adolescence.GLU/rs9927114_profile_position.png",4,220,900)</f>
        <v/>
      </c>
    </row>
    <row r="1380">
      <c r="A1380" t="inlineStr">
        <is>
          <t>chr16</t>
        </is>
      </c>
      <c r="B1380" t="n">
        <v>5770244</v>
      </c>
      <c r="C1380" t="inlineStr">
        <is>
          <t>A</t>
        </is>
      </c>
      <c r="D1380" t="inlineStr">
        <is>
          <t>G</t>
        </is>
      </c>
      <c r="E1380" t="inlineStr">
        <is>
          <t>rs9927115</t>
        </is>
      </c>
      <c r="F1380" t="n">
        <v>0.004156445414</v>
      </c>
      <c r="G1380" t="n">
        <v>0.738622668364916</v>
      </c>
      <c r="H1380" t="n">
        <v>0.0115234117668768</v>
      </c>
      <c r="I1380" t="n">
        <v>0.3824244938984186</v>
      </c>
      <c r="J1380" t="n">
        <v>0.3205435411620978</v>
      </c>
      <c r="K1380" t="n">
        <v>0.2461579559690953</v>
      </c>
      <c r="L1380" t="b">
        <v>0</v>
      </c>
      <c r="M1380" t="b">
        <v>0</v>
      </c>
      <c r="N1380" t="inlineStr">
        <is>
          <t>alt</t>
        </is>
      </c>
      <c r="O1380" t="n">
        <v>45</v>
      </c>
      <c r="P1380" t="n">
        <v>0.001778</v>
      </c>
      <c r="Q1380" t="n">
        <v>90</v>
      </c>
      <c r="R1380" t="n">
        <v>0.10767</v>
      </c>
      <c r="S1380">
        <f>IMAGE("https://mitra.stanford.edu/kundaje/oak/projects/neuro-variants/variant_position/credible/roussos_2024/variant_figures/roussos_2024.adolescence.GLU/rs9927115_count_position.png",4,220,900)</f>
        <v/>
      </c>
      <c r="T1380">
        <f>IMAGE("https://mitra.stanford.edu/kundaje/oak/projects/neuro-variants/variant_position/credible/roussos_2024/variant_figures/roussos_2024.adolescence.GLU/rs9927115_profile_position.png",4,220,900)</f>
        <v/>
      </c>
    </row>
    <row r="1381">
      <c r="A1381" t="inlineStr">
        <is>
          <t>chr16</t>
        </is>
      </c>
      <c r="B1381" t="n">
        <v>5770398</v>
      </c>
      <c r="C1381" t="inlineStr">
        <is>
          <t>A</t>
        </is>
      </c>
      <c r="D1381" t="inlineStr">
        <is>
          <t>C</t>
        </is>
      </c>
      <c r="E1381" t="inlineStr">
        <is>
          <t>rs9927274</t>
        </is>
      </c>
      <c r="F1381" t="n">
        <v>0.02236643676</v>
      </c>
      <c r="G1381" t="n">
        <v>0.2557585689839373</v>
      </c>
      <c r="H1381" t="n">
        <v>0.0117246327011413</v>
      </c>
      <c r="I1381" t="n">
        <v>0.3637074442081026</v>
      </c>
      <c r="J1381" t="n">
        <v>0.3715326746254581</v>
      </c>
      <c r="K1381" t="n">
        <v>0.1918795314280749</v>
      </c>
      <c r="L1381" t="b">
        <v>0</v>
      </c>
      <c r="M1381" t="b">
        <v>0</v>
      </c>
      <c r="N1381" t="inlineStr">
        <is>
          <t>alt</t>
        </is>
      </c>
      <c r="O1381" t="n">
        <v>100</v>
      </c>
      <c r="P1381" t="n">
        <v>0.01037</v>
      </c>
      <c r="Q1381" t="n">
        <v>85</v>
      </c>
      <c r="R1381" t="n">
        <v>0.05035</v>
      </c>
      <c r="S1381">
        <f>IMAGE("https://mitra.stanford.edu/kundaje/oak/projects/neuro-variants/variant_position/credible/roussos_2024/variant_figures/roussos_2024.adolescence.GLU/rs9927274_count_position.png",4,220,900)</f>
        <v/>
      </c>
      <c r="T1381">
        <f>IMAGE("https://mitra.stanford.edu/kundaje/oak/projects/neuro-variants/variant_position/credible/roussos_2024/variant_figures/roussos_2024.adolescence.GLU/rs9927274_profile_position.png",4,220,900)</f>
        <v/>
      </c>
    </row>
    <row r="1382">
      <c r="A1382" t="inlineStr">
        <is>
          <t>chr16</t>
        </is>
      </c>
      <c r="B1382" t="n">
        <v>5770514</v>
      </c>
      <c r="C1382" t="inlineStr">
        <is>
          <t>T</t>
        </is>
      </c>
      <c r="D1382" t="inlineStr">
        <is>
          <t>C</t>
        </is>
      </c>
      <c r="E1382" t="inlineStr">
        <is>
          <t>rs9929578</t>
        </is>
      </c>
      <c r="F1382" t="n">
        <v>0.0174328508</v>
      </c>
      <c r="G1382" t="n">
        <v>0.3347664621142147</v>
      </c>
      <c r="H1382" t="n">
        <v>0.0095207989381021</v>
      </c>
      <c r="I1382" t="n">
        <v>0.6053966293352242</v>
      </c>
      <c r="J1382" t="n">
        <v>0.3949503825792485</v>
      </c>
      <c r="K1382" t="n">
        <v>0.1695995207696245</v>
      </c>
      <c r="L1382" t="b">
        <v>0</v>
      </c>
      <c r="M1382" t="b">
        <v>0</v>
      </c>
      <c r="N1382" t="inlineStr">
        <is>
          <t>alt</t>
        </is>
      </c>
      <c r="O1382" t="n">
        <v>85</v>
      </c>
      <c r="P1382" t="n">
        <v>0.00672</v>
      </c>
      <c r="Q1382" t="n">
        <v>70</v>
      </c>
      <c r="R1382" t="n">
        <v>0.0006713999999999999</v>
      </c>
      <c r="S1382">
        <f>IMAGE("https://mitra.stanford.edu/kundaje/oak/projects/neuro-variants/variant_position/credible/roussos_2024/variant_figures/roussos_2024.adolescence.GLU/rs9929578_count_position.png",4,220,900)</f>
        <v/>
      </c>
      <c r="T1382">
        <f>IMAGE("https://mitra.stanford.edu/kundaje/oak/projects/neuro-variants/variant_position/credible/roussos_2024/variant_figures/roussos_2024.adolescence.GLU/rs9929578_profile_position.png",4,220,900)</f>
        <v/>
      </c>
    </row>
    <row r="1383">
      <c r="A1383" t="inlineStr">
        <is>
          <t>chr16</t>
        </is>
      </c>
      <c r="B1383" t="n">
        <v>5773676</v>
      </c>
      <c r="C1383" t="inlineStr">
        <is>
          <t>A</t>
        </is>
      </c>
      <c r="D1383" t="inlineStr">
        <is>
          <t>G</t>
        </is>
      </c>
      <c r="E1383" t="inlineStr">
        <is>
          <t>rs11648113</t>
        </is>
      </c>
      <c r="F1383" t="n">
        <v>0.0593435125999999</v>
      </c>
      <c r="G1383" t="n">
        <v>0.0367332557124178</v>
      </c>
      <c r="H1383" t="n">
        <v>0.017909981247483</v>
      </c>
      <c r="I1383" t="n">
        <v>0.0911463281375042</v>
      </c>
      <c r="J1383" t="n">
        <v>0.075781411863886</v>
      </c>
      <c r="K1383" t="n">
        <v>0.6348842678481715</v>
      </c>
      <c r="L1383" t="b">
        <v>0</v>
      </c>
      <c r="M1383" t="b">
        <v>0</v>
      </c>
      <c r="N1383" t="inlineStr">
        <is>
          <t>alt</t>
        </is>
      </c>
      <c r="O1383" t="n">
        <v>-80</v>
      </c>
      <c r="P1383" t="n">
        <v>0.01077</v>
      </c>
      <c r="Q1383" t="n">
        <v>-80</v>
      </c>
      <c r="R1383" t="n">
        <v>0.0438</v>
      </c>
      <c r="S1383">
        <f>IMAGE("https://mitra.stanford.edu/kundaje/oak/projects/neuro-variants/variant_position/credible/roussos_2024/variant_figures/roussos_2024.adolescence.GLU/rs11648113_count_position.png",4,220,900)</f>
        <v/>
      </c>
      <c r="T1383">
        <f>IMAGE("https://mitra.stanford.edu/kundaje/oak/projects/neuro-variants/variant_position/credible/roussos_2024/variant_figures/roussos_2024.adolescence.GLU/rs11648113_profile_position.png",4,220,900)</f>
        <v/>
      </c>
    </row>
    <row r="1384">
      <c r="A1384" t="inlineStr">
        <is>
          <t>chr16</t>
        </is>
      </c>
      <c r="B1384" t="n">
        <v>5779439</v>
      </c>
      <c r="C1384" t="inlineStr">
        <is>
          <t>C</t>
        </is>
      </c>
      <c r="D1384" t="inlineStr">
        <is>
          <t>T</t>
        </is>
      </c>
      <c r="E1384" t="inlineStr">
        <is>
          <t>rs7198618</t>
        </is>
      </c>
      <c r="F1384" t="n">
        <v>-0.02129398992</v>
      </c>
      <c r="G1384" t="n">
        <v>0.2915836616251276</v>
      </c>
      <c r="H1384" t="n">
        <v>0.0109532537214483</v>
      </c>
      <c r="I1384" t="n">
        <v>0.4066076641871282</v>
      </c>
      <c r="J1384" t="n">
        <v>0.1450871966335883</v>
      </c>
      <c r="K1384" t="n">
        <v>0.4890075956139182</v>
      </c>
      <c r="L1384" t="b">
        <v>0</v>
      </c>
      <c r="M1384" t="b">
        <v>0</v>
      </c>
      <c r="N1384" t="inlineStr">
        <is>
          <t>ref</t>
        </is>
      </c>
      <c r="O1384" t="n">
        <v>-60</v>
      </c>
      <c r="P1384" t="n">
        <v>0.01455</v>
      </c>
      <c r="Q1384" t="n">
        <v>-100</v>
      </c>
      <c r="R1384" t="n">
        <v>0.0166</v>
      </c>
      <c r="S1384">
        <f>IMAGE("https://mitra.stanford.edu/kundaje/oak/projects/neuro-variants/variant_position/credible/roussos_2024/variant_figures/roussos_2024.adolescence.GLU/rs7198618_count_position.png",4,220,900)</f>
        <v/>
      </c>
      <c r="T1384">
        <f>IMAGE("https://mitra.stanford.edu/kundaje/oak/projects/neuro-variants/variant_position/credible/roussos_2024/variant_figures/roussos_2024.adolescence.GLU/rs7198618_profile_position.png",4,220,900)</f>
        <v/>
      </c>
    </row>
    <row r="1385">
      <c r="A1385" t="inlineStr">
        <is>
          <t>chr16</t>
        </is>
      </c>
      <c r="B1385" t="n">
        <v>5785840</v>
      </c>
      <c r="C1385" t="inlineStr">
        <is>
          <t>C</t>
        </is>
      </c>
      <c r="D1385" t="inlineStr">
        <is>
          <t>T</t>
        </is>
      </c>
      <c r="E1385" t="inlineStr">
        <is>
          <t>rs11861310</t>
        </is>
      </c>
      <c r="F1385" t="n">
        <v>-0.00068035124</v>
      </c>
      <c r="G1385" t="n">
        <v>0.829980706341233</v>
      </c>
      <c r="H1385" t="n">
        <v>0.0173712490944468</v>
      </c>
      <c r="I1385" t="n">
        <v>0.0999923539793139</v>
      </c>
      <c r="J1385" t="n">
        <v>0.1915353894735337</v>
      </c>
      <c r="K1385" t="n">
        <v>0.4147125437025587</v>
      </c>
      <c r="L1385" t="b">
        <v>0</v>
      </c>
      <c r="M1385" t="b">
        <v>0</v>
      </c>
      <c r="N1385" t="inlineStr">
        <is>
          <t>ref</t>
        </is>
      </c>
      <c r="O1385" t="n">
        <v>100</v>
      </c>
      <c r="P1385" t="n">
        <v>0.00484</v>
      </c>
      <c r="Q1385" t="n">
        <v>95</v>
      </c>
      <c r="R1385" t="n">
        <v>0.0621</v>
      </c>
      <c r="S1385">
        <f>IMAGE("https://mitra.stanford.edu/kundaje/oak/projects/neuro-variants/variant_position/credible/roussos_2024/variant_figures/roussos_2024.adolescence.GLU/rs11861310_count_position.png",4,220,900)</f>
        <v/>
      </c>
      <c r="T1385">
        <f>IMAGE("https://mitra.stanford.edu/kundaje/oak/projects/neuro-variants/variant_position/credible/roussos_2024/variant_figures/roussos_2024.adolescence.GLU/rs11861310_profile_position.png",4,220,900)</f>
        <v/>
      </c>
    </row>
    <row r="1386">
      <c r="A1386" t="inlineStr">
        <is>
          <t>chr16</t>
        </is>
      </c>
      <c r="B1386" t="n">
        <v>5793138</v>
      </c>
      <c r="C1386" t="inlineStr">
        <is>
          <t>C</t>
        </is>
      </c>
      <c r="D1386" t="inlineStr">
        <is>
          <t>T</t>
        </is>
      </c>
      <c r="E1386" t="inlineStr">
        <is>
          <t>rs56142463</t>
        </is>
      </c>
      <c r="F1386" t="n">
        <v>-0.00585395746</v>
      </c>
      <c r="G1386" t="n">
        <v>0.6822717554990569</v>
      </c>
      <c r="H1386" t="n">
        <v>0.0066497057664888</v>
      </c>
      <c r="I1386" t="n">
        <v>0.9450311390492288</v>
      </c>
      <c r="J1386" t="n">
        <v>0.267369669431525</v>
      </c>
      <c r="K1386" t="n">
        <v>0.3123225652471764</v>
      </c>
      <c r="L1386" t="b">
        <v>0</v>
      </c>
      <c r="M1386" t="b">
        <v>0</v>
      </c>
      <c r="N1386" t="inlineStr">
        <is>
          <t>ref</t>
        </is>
      </c>
      <c r="O1386" t="n">
        <v>95</v>
      </c>
      <c r="P1386" t="n">
        <v>0.01192</v>
      </c>
      <c r="Q1386" t="n">
        <v>60</v>
      </c>
      <c r="R1386" t="n">
        <v>0.1311</v>
      </c>
      <c r="S1386">
        <f>IMAGE("https://mitra.stanford.edu/kundaje/oak/projects/neuro-variants/variant_position/credible/roussos_2024/variant_figures/roussos_2024.adolescence.GLU/rs56142463_count_position.png",4,220,900)</f>
        <v/>
      </c>
      <c r="T1386">
        <f>IMAGE("https://mitra.stanford.edu/kundaje/oak/projects/neuro-variants/variant_position/credible/roussos_2024/variant_figures/roussos_2024.adolescence.GLU/rs56142463_profile_position.png",4,220,900)</f>
        <v/>
      </c>
    </row>
    <row r="1387">
      <c r="A1387" t="inlineStr">
        <is>
          <t>chr16</t>
        </is>
      </c>
      <c r="B1387" t="n">
        <v>7304888</v>
      </c>
      <c r="C1387" t="inlineStr">
        <is>
          <t>A</t>
        </is>
      </c>
      <c r="D1387" t="inlineStr">
        <is>
          <t>G</t>
        </is>
      </c>
      <c r="E1387" t="inlineStr">
        <is>
          <t>rs12051021</t>
        </is>
      </c>
      <c r="F1387" t="n">
        <v>0.0162106428</v>
      </c>
      <c r="G1387" t="n">
        <v>0.3415983046515721</v>
      </c>
      <c r="H1387" t="n">
        <v>0.010127683771658</v>
      </c>
      <c r="I1387" t="n">
        <v>0.4985334487654049</v>
      </c>
      <c r="J1387" t="n">
        <v>0.5974194654607026</v>
      </c>
      <c r="K1387" t="n">
        <v>0.0397700205515355</v>
      </c>
      <c r="L1387" t="b">
        <v>0</v>
      </c>
      <c r="M1387" t="b">
        <v>0</v>
      </c>
      <c r="N1387" t="inlineStr">
        <is>
          <t>alt</t>
        </is>
      </c>
      <c r="O1387" t="n">
        <v>-60</v>
      </c>
      <c r="P1387" t="n">
        <v>0.014534</v>
      </c>
      <c r="Q1387" t="n">
        <v>-95</v>
      </c>
      <c r="R1387" t="n">
        <v>0.10754</v>
      </c>
      <c r="S1387">
        <f>IMAGE("https://mitra.stanford.edu/kundaje/oak/projects/neuro-variants/variant_position/credible/roussos_2024/variant_figures/roussos_2024.adolescence.GLU/rs12051021_count_position.png",4,220,900)</f>
        <v/>
      </c>
      <c r="T1387">
        <f>IMAGE("https://mitra.stanford.edu/kundaje/oak/projects/neuro-variants/variant_position/credible/roussos_2024/variant_figures/roussos_2024.adolescence.GLU/rs12051021_profile_position.png",4,220,900)</f>
        <v/>
      </c>
    </row>
    <row r="1388">
      <c r="A1388" t="inlineStr">
        <is>
          <t>chr16</t>
        </is>
      </c>
      <c r="B1388" t="n">
        <v>7305257</v>
      </c>
      <c r="C1388" t="inlineStr">
        <is>
          <t>C</t>
        </is>
      </c>
      <c r="D1388" t="inlineStr">
        <is>
          <t>T</t>
        </is>
      </c>
      <c r="E1388" t="inlineStr">
        <is>
          <t>rs17143361</t>
        </is>
      </c>
      <c r="F1388" t="n">
        <v>-0.002262172308</v>
      </c>
      <c r="G1388" t="n">
        <v>0.8385436799758933</v>
      </c>
      <c r="H1388" t="n">
        <v>0.0073242944159536</v>
      </c>
      <c r="I1388" t="n">
        <v>0.881386043078714</v>
      </c>
      <c r="J1388" t="n">
        <v>0.380507390816669</v>
      </c>
      <c r="K1388" t="n">
        <v>0.1848054301397743</v>
      </c>
      <c r="L1388" t="b">
        <v>0</v>
      </c>
      <c r="M1388" t="b">
        <v>0</v>
      </c>
      <c r="N1388" t="inlineStr">
        <is>
          <t>ref</t>
        </is>
      </c>
      <c r="O1388" t="n">
        <v>-10</v>
      </c>
      <c r="P1388" t="n">
        <v>0.003983</v>
      </c>
      <c r="Q1388" t="n">
        <v>5</v>
      </c>
      <c r="R1388" t="n">
        <v>0.02188</v>
      </c>
      <c r="S1388">
        <f>IMAGE("https://mitra.stanford.edu/kundaje/oak/projects/neuro-variants/variant_position/credible/roussos_2024/variant_figures/roussos_2024.adolescence.GLU/rs17143361_count_position.png",4,220,900)</f>
        <v/>
      </c>
      <c r="T1388">
        <f>IMAGE("https://mitra.stanford.edu/kundaje/oak/projects/neuro-variants/variant_position/credible/roussos_2024/variant_figures/roussos_2024.adolescence.GLU/rs17143361_profile_position.png",4,220,900)</f>
        <v/>
      </c>
    </row>
    <row r="1389">
      <c r="A1389" t="inlineStr">
        <is>
          <t>chr16</t>
        </is>
      </c>
      <c r="B1389" t="n">
        <v>7307170</v>
      </c>
      <c r="C1389" t="inlineStr">
        <is>
          <t>T</t>
        </is>
      </c>
      <c r="D1389" t="inlineStr">
        <is>
          <t>C</t>
        </is>
      </c>
      <c r="E1389" t="inlineStr">
        <is>
          <t>rs4331351</t>
        </is>
      </c>
      <c r="F1389" t="n">
        <v>0.01076217226</v>
      </c>
      <c r="G1389" t="n">
        <v>0.4824764069486866</v>
      </c>
      <c r="H1389" t="n">
        <v>0.0154663562869723</v>
      </c>
      <c r="I1389" t="n">
        <v>0.1473723884839559</v>
      </c>
      <c r="J1389" t="n">
        <v>0.0461509884190296</v>
      </c>
      <c r="K1389" t="n">
        <v>0.719044726365915</v>
      </c>
      <c r="L1389" t="b">
        <v>0</v>
      </c>
      <c r="M1389" t="b">
        <v>0</v>
      </c>
      <c r="N1389" t="inlineStr">
        <is>
          <t>alt</t>
        </is>
      </c>
      <c r="O1389" t="n">
        <v>-75</v>
      </c>
      <c r="P1389" t="n">
        <v>0.001824</v>
      </c>
      <c r="Q1389" t="n">
        <v>100</v>
      </c>
      <c r="R1389" t="n">
        <v>0.06125</v>
      </c>
      <c r="S1389">
        <f>IMAGE("https://mitra.stanford.edu/kundaje/oak/projects/neuro-variants/variant_position/credible/roussos_2024/variant_figures/roussos_2024.adolescence.GLU/rs4331351_count_position.png",4,220,900)</f>
        <v/>
      </c>
      <c r="T1389">
        <f>IMAGE("https://mitra.stanford.edu/kundaje/oak/projects/neuro-variants/variant_position/credible/roussos_2024/variant_figures/roussos_2024.adolescence.GLU/rs4331351_profile_position.png",4,220,900)</f>
        <v/>
      </c>
    </row>
    <row r="1390">
      <c r="A1390" t="inlineStr">
        <is>
          <t>chr16</t>
        </is>
      </c>
      <c r="B1390" t="n">
        <v>7310131</v>
      </c>
      <c r="C1390" t="inlineStr">
        <is>
          <t>T</t>
        </is>
      </c>
      <c r="D1390" t="inlineStr">
        <is>
          <t>C</t>
        </is>
      </c>
      <c r="E1390" t="inlineStr">
        <is>
          <t>rs4479249</t>
        </is>
      </c>
      <c r="F1390" t="n">
        <v>0.0613132989999999</v>
      </c>
      <c r="G1390" t="n">
        <v>0.0367729986514661</v>
      </c>
      <c r="H1390" t="n">
        <v>0.0158923933212804</v>
      </c>
      <c r="I1390" t="n">
        <v>0.1327676298402363</v>
      </c>
      <c r="J1390" t="n">
        <v>0.4456951797157982</v>
      </c>
      <c r="K1390" t="n">
        <v>0.1289014222384693</v>
      </c>
      <c r="L1390" t="b">
        <v>0</v>
      </c>
      <c r="M1390" t="b">
        <v>0</v>
      </c>
      <c r="N1390" t="inlineStr">
        <is>
          <t>alt</t>
        </is>
      </c>
      <c r="O1390" t="n">
        <v>-75</v>
      </c>
      <c r="P1390" t="n">
        <v>0.0177</v>
      </c>
      <c r="Q1390" t="n">
        <v>-15</v>
      </c>
      <c r="R1390" t="n">
        <v>0.02307</v>
      </c>
      <c r="S1390">
        <f>IMAGE("https://mitra.stanford.edu/kundaje/oak/projects/neuro-variants/variant_position/credible/roussos_2024/variant_figures/roussos_2024.adolescence.GLU/rs4479249_count_position.png",4,220,900)</f>
        <v/>
      </c>
      <c r="T1390">
        <f>IMAGE("https://mitra.stanford.edu/kundaje/oak/projects/neuro-variants/variant_position/credible/roussos_2024/variant_figures/roussos_2024.adolescence.GLU/rs4479249_profile_position.png",4,220,900)</f>
        <v/>
      </c>
    </row>
    <row r="1391">
      <c r="A1391" t="inlineStr">
        <is>
          <t>chr16</t>
        </is>
      </c>
      <c r="B1391" t="n">
        <v>7365551</v>
      </c>
      <c r="C1391" t="inlineStr">
        <is>
          <t>A</t>
        </is>
      </c>
      <c r="D1391" t="inlineStr">
        <is>
          <t>G</t>
        </is>
      </c>
      <c r="E1391" t="inlineStr">
        <is>
          <t>rs4787008</t>
        </is>
      </c>
      <c r="F1391" t="n">
        <v>-0.0281294932</v>
      </c>
      <c r="G1391" t="n">
        <v>0.2021860666194673</v>
      </c>
      <c r="H1391" t="n">
        <v>0.0127741144503821</v>
      </c>
      <c r="I1391" t="n">
        <v>0.2814748649748526</v>
      </c>
      <c r="J1391" t="n">
        <v>0.3357495481206821</v>
      </c>
      <c r="K1391" t="n">
        <v>0.2277921125706056</v>
      </c>
      <c r="L1391" t="b">
        <v>0</v>
      </c>
      <c r="M1391" t="b">
        <v>0</v>
      </c>
      <c r="N1391" t="inlineStr">
        <is>
          <t>ref</t>
        </is>
      </c>
      <c r="O1391" t="n">
        <v>-75</v>
      </c>
      <c r="P1391" t="n">
        <v>0.00539</v>
      </c>
      <c r="Q1391" t="n">
        <v>25</v>
      </c>
      <c r="R1391" t="n">
        <v>0.0327</v>
      </c>
      <c r="S1391">
        <f>IMAGE("https://mitra.stanford.edu/kundaje/oak/projects/neuro-variants/variant_position/credible/roussos_2024/variant_figures/roussos_2024.adolescence.GLU/rs4787008_count_position.png",4,220,900)</f>
        <v/>
      </c>
      <c r="T1391">
        <f>IMAGE("https://mitra.stanford.edu/kundaje/oak/projects/neuro-variants/variant_position/credible/roussos_2024/variant_figures/roussos_2024.adolescence.GLU/rs4787008_profile_position.png",4,220,900)</f>
        <v/>
      </c>
    </row>
    <row r="1392">
      <c r="A1392" t="inlineStr">
        <is>
          <t>chr16</t>
        </is>
      </c>
      <c r="B1392" t="n">
        <v>7490196</v>
      </c>
      <c r="C1392" t="inlineStr">
        <is>
          <t>C</t>
        </is>
      </c>
      <c r="D1392" t="inlineStr">
        <is>
          <t>T</t>
        </is>
      </c>
      <c r="E1392" t="inlineStr">
        <is>
          <t>rs8055816</t>
        </is>
      </c>
      <c r="F1392" t="n">
        <v>-0.0191335615999999</v>
      </c>
      <c r="G1392" t="n">
        <v>0.3231734454474215</v>
      </c>
      <c r="H1392" t="n">
        <v>0.0107559104097645</v>
      </c>
      <c r="I1392" t="n">
        <v>0.4579850937000454</v>
      </c>
      <c r="J1392" t="n">
        <v>0.1786712961970693</v>
      </c>
      <c r="K1392" t="n">
        <v>0.4337831916111659</v>
      </c>
      <c r="L1392" t="b">
        <v>0</v>
      </c>
      <c r="M1392" t="b">
        <v>0</v>
      </c>
      <c r="N1392" t="inlineStr">
        <is>
          <t>ref</t>
        </is>
      </c>
      <c r="O1392" t="n">
        <v>-65</v>
      </c>
      <c r="P1392" t="n">
        <v>0.002975</v>
      </c>
      <c r="Q1392" t="n">
        <v>50</v>
      </c>
      <c r="R1392" t="n">
        <v>0.0542</v>
      </c>
      <c r="S1392">
        <f>IMAGE("https://mitra.stanford.edu/kundaje/oak/projects/neuro-variants/variant_position/credible/roussos_2024/variant_figures/roussos_2024.adolescence.GLU/rs8055816_count_position.png",4,220,900)</f>
        <v/>
      </c>
      <c r="T1392">
        <f>IMAGE("https://mitra.stanford.edu/kundaje/oak/projects/neuro-variants/variant_position/credible/roussos_2024/variant_figures/roussos_2024.adolescence.GLU/rs8055816_profile_position.png",4,220,900)</f>
        <v/>
      </c>
    </row>
    <row r="1393">
      <c r="A1393" t="inlineStr">
        <is>
          <t>chr16</t>
        </is>
      </c>
      <c r="B1393" t="n">
        <v>9786924</v>
      </c>
      <c r="C1393" t="inlineStr">
        <is>
          <t>A</t>
        </is>
      </c>
      <c r="D1393" t="inlineStr">
        <is>
          <t>G</t>
        </is>
      </c>
      <c r="E1393" t="inlineStr">
        <is>
          <t>rs2077923</t>
        </is>
      </c>
      <c r="F1393" t="n">
        <v>0.0172625282</v>
      </c>
      <c r="G1393" t="n">
        <v>0.3202515444169775</v>
      </c>
      <c r="H1393" t="n">
        <v>0.0084557823465338</v>
      </c>
      <c r="I1393" t="n">
        <v>0.7047773754733984</v>
      </c>
      <c r="J1393" t="n">
        <v>0.1302398353944745</v>
      </c>
      <c r="K1393" t="n">
        <v>0.5191221632043727</v>
      </c>
      <c r="L1393" t="b">
        <v>0</v>
      </c>
      <c r="M1393" t="b">
        <v>0</v>
      </c>
      <c r="N1393" t="inlineStr">
        <is>
          <t>alt</t>
        </is>
      </c>
      <c r="O1393" t="n">
        <v>75</v>
      </c>
      <c r="P1393" t="n">
        <v>0.01138</v>
      </c>
      <c r="Q1393" t="n">
        <v>85</v>
      </c>
      <c r="R1393" t="n">
        <v>0.057</v>
      </c>
      <c r="S1393">
        <f>IMAGE("https://mitra.stanford.edu/kundaje/oak/projects/neuro-variants/variant_position/credible/roussos_2024/variant_figures/roussos_2024.adolescence.GLU/rs2077923_count_position.png",4,220,900)</f>
        <v/>
      </c>
      <c r="T1393">
        <f>IMAGE("https://mitra.stanford.edu/kundaje/oak/projects/neuro-variants/variant_position/credible/roussos_2024/variant_figures/roussos_2024.adolescence.GLU/rs2077923_profile_position.png",4,220,900)</f>
        <v/>
      </c>
    </row>
    <row r="1394">
      <c r="A1394" t="inlineStr">
        <is>
          <t>chr16</t>
        </is>
      </c>
      <c r="B1394" t="n">
        <v>9789680</v>
      </c>
      <c r="C1394" t="inlineStr">
        <is>
          <t>C</t>
        </is>
      </c>
      <c r="D1394" t="inlineStr">
        <is>
          <t>T</t>
        </is>
      </c>
      <c r="E1394" t="inlineStr">
        <is>
          <t>rs2267787</t>
        </is>
      </c>
      <c r="F1394" t="n">
        <v>-0.025995937</v>
      </c>
      <c r="G1394" t="n">
        <v>0.2188380064303468</v>
      </c>
      <c r="H1394" t="n">
        <v>0.008606582404123099</v>
      </c>
      <c r="I1394" t="n">
        <v>0.7245975382571557</v>
      </c>
      <c r="J1394" t="n">
        <v>0.1926427617149266</v>
      </c>
      <c r="K1394" t="n">
        <v>0.4167709233660382</v>
      </c>
      <c r="L1394" t="b">
        <v>0</v>
      </c>
      <c r="M1394" t="b">
        <v>0</v>
      </c>
      <c r="N1394" t="inlineStr">
        <is>
          <t>ref</t>
        </is>
      </c>
      <c r="O1394" t="n">
        <v>-90</v>
      </c>
      <c r="P1394" t="n">
        <v>0.0013275</v>
      </c>
      <c r="Q1394" t="n">
        <v>65</v>
      </c>
      <c r="R1394" t="n">
        <v>0.06506000000000001</v>
      </c>
      <c r="S1394">
        <f>IMAGE("https://mitra.stanford.edu/kundaje/oak/projects/neuro-variants/variant_position/credible/roussos_2024/variant_figures/roussos_2024.adolescence.GLU/rs2267787_count_position.png",4,220,900)</f>
        <v/>
      </c>
      <c r="T1394">
        <f>IMAGE("https://mitra.stanford.edu/kundaje/oak/projects/neuro-variants/variant_position/credible/roussos_2024/variant_figures/roussos_2024.adolescence.GLU/rs2267787_profile_position.png",4,220,900)</f>
        <v/>
      </c>
    </row>
    <row r="1395">
      <c r="A1395" t="inlineStr">
        <is>
          <t>chr16</t>
        </is>
      </c>
      <c r="B1395" t="n">
        <v>9791950</v>
      </c>
      <c r="C1395" t="inlineStr">
        <is>
          <t>T</t>
        </is>
      </c>
      <c r="D1395" t="inlineStr">
        <is>
          <t>G</t>
        </is>
      </c>
      <c r="E1395" t="inlineStr">
        <is>
          <t>rs7195942</t>
        </is>
      </c>
      <c r="F1395" t="n">
        <v>-0.0183216453399999</v>
      </c>
      <c r="G1395" t="n">
        <v>0.3298661366456926</v>
      </c>
      <c r="H1395" t="n">
        <v>0.0175261997452068</v>
      </c>
      <c r="I1395" t="n">
        <v>0.0935437788297427</v>
      </c>
      <c r="J1395" t="n">
        <v>0.0888426888426888</v>
      </c>
      <c r="K1395" t="n">
        <v>0.6046479640331924</v>
      </c>
      <c r="L1395" t="b">
        <v>0</v>
      </c>
      <c r="M1395" t="b">
        <v>0</v>
      </c>
      <c r="N1395" t="inlineStr">
        <is>
          <t>ref</t>
        </is>
      </c>
      <c r="O1395" t="n">
        <v>-35</v>
      </c>
      <c r="P1395" t="n">
        <v>0.00052</v>
      </c>
      <c r="Q1395" t="n">
        <v>-100</v>
      </c>
      <c r="R1395" t="n">
        <v>0.07666000000000001</v>
      </c>
      <c r="S1395">
        <f>IMAGE("https://mitra.stanford.edu/kundaje/oak/projects/neuro-variants/variant_position/credible/roussos_2024/variant_figures/roussos_2024.adolescence.GLU/rs7195942_count_position.png",4,220,900)</f>
        <v/>
      </c>
      <c r="T1395">
        <f>IMAGE("https://mitra.stanford.edu/kundaje/oak/projects/neuro-variants/variant_position/credible/roussos_2024/variant_figures/roussos_2024.adolescence.GLU/rs7195942_profile_position.png",4,220,900)</f>
        <v/>
      </c>
    </row>
    <row r="1396">
      <c r="A1396" t="inlineStr">
        <is>
          <t>chr16</t>
        </is>
      </c>
      <c r="B1396" t="n">
        <v>9792446</v>
      </c>
      <c r="C1396" t="inlineStr">
        <is>
          <t>C</t>
        </is>
      </c>
      <c r="D1396" t="inlineStr">
        <is>
          <t>A</t>
        </is>
      </c>
      <c r="E1396" t="inlineStr">
        <is>
          <t>rs7195835</t>
        </is>
      </c>
      <c r="F1396" t="n">
        <v>0.0120059836</v>
      </c>
      <c r="G1396" t="n">
        <v>0.4419276877678554</v>
      </c>
      <c r="H1396" t="n">
        <v>0.0208280909910569</v>
      </c>
      <c r="I1396" t="n">
        <v>0.0470570153974478</v>
      </c>
      <c r="J1396" t="n">
        <v>0.0388637646369604</v>
      </c>
      <c r="K1396" t="n">
        <v>0.7374053156939853</v>
      </c>
      <c r="L1396" t="b">
        <v>0</v>
      </c>
      <c r="M1396" t="b">
        <v>0</v>
      </c>
      <c r="N1396" t="inlineStr">
        <is>
          <t>alt</t>
        </is>
      </c>
      <c r="O1396" t="n">
        <v>75</v>
      </c>
      <c r="P1396" t="n">
        <v>0.003067</v>
      </c>
      <c r="Q1396" t="n">
        <v>-65</v>
      </c>
      <c r="R1396" t="n">
        <v>0.03384</v>
      </c>
      <c r="S1396">
        <f>IMAGE("https://mitra.stanford.edu/kundaje/oak/projects/neuro-variants/variant_position/credible/roussos_2024/variant_figures/roussos_2024.adolescence.GLU/rs7195835_count_position.png",4,220,900)</f>
        <v/>
      </c>
      <c r="T1396">
        <f>IMAGE("https://mitra.stanford.edu/kundaje/oak/projects/neuro-variants/variant_position/credible/roussos_2024/variant_figures/roussos_2024.adolescence.GLU/rs7195835_profile_position.png",4,220,900)</f>
        <v/>
      </c>
    </row>
    <row r="1397">
      <c r="A1397" t="inlineStr">
        <is>
          <t>chr16</t>
        </is>
      </c>
      <c r="B1397" t="n">
        <v>9792974</v>
      </c>
      <c r="C1397" t="inlineStr">
        <is>
          <t>C</t>
        </is>
      </c>
      <c r="D1397" t="inlineStr">
        <is>
          <t>G</t>
        </is>
      </c>
      <c r="E1397" t="inlineStr">
        <is>
          <t>rs7196962</t>
        </is>
      </c>
      <c r="F1397" t="n">
        <v>-0.02234841654</v>
      </c>
      <c r="G1397" t="n">
        <v>0.2792038296691274</v>
      </c>
      <c r="H1397" t="n">
        <v>0.0134155600473377</v>
      </c>
      <c r="I1397" t="n">
        <v>0.2601000721142613</v>
      </c>
      <c r="J1397" t="n">
        <v>0.089125604589522</v>
      </c>
      <c r="K1397" t="n">
        <v>0.5919416903386239</v>
      </c>
      <c r="L1397" t="b">
        <v>0</v>
      </c>
      <c r="M1397" t="b">
        <v>0</v>
      </c>
      <c r="N1397" t="inlineStr">
        <is>
          <t>ref</t>
        </is>
      </c>
      <c r="O1397" t="n">
        <v>100</v>
      </c>
      <c r="P1397" t="n">
        <v>0.009039999999999999</v>
      </c>
      <c r="Q1397" t="n">
        <v>100</v>
      </c>
      <c r="R1397" t="n">
        <v>0.052</v>
      </c>
      <c r="S1397">
        <f>IMAGE("https://mitra.stanford.edu/kundaje/oak/projects/neuro-variants/variant_position/credible/roussos_2024/variant_figures/roussos_2024.adolescence.GLU/rs7196962_count_position.png",4,220,900)</f>
        <v/>
      </c>
      <c r="T1397">
        <f>IMAGE("https://mitra.stanford.edu/kundaje/oak/projects/neuro-variants/variant_position/credible/roussos_2024/variant_figures/roussos_2024.adolescence.GLU/rs7196962_profile_position.png",4,220,900)</f>
        <v/>
      </c>
    </row>
    <row r="1398">
      <c r="A1398" t="inlineStr">
        <is>
          <t>chr16</t>
        </is>
      </c>
      <c r="B1398" t="n">
        <v>9793050</v>
      </c>
      <c r="C1398" t="inlineStr">
        <is>
          <t>C</t>
        </is>
      </c>
      <c r="D1398" t="inlineStr">
        <is>
          <t>G</t>
        </is>
      </c>
      <c r="E1398" t="inlineStr">
        <is>
          <t>rs7197004</t>
        </is>
      </c>
      <c r="F1398" t="n">
        <v>-0.1311529699999999</v>
      </c>
      <c r="G1398" t="n">
        <v>0.0035706918724276</v>
      </c>
      <c r="H1398" t="n">
        <v>0.0436962990743228</v>
      </c>
      <c r="I1398" t="n">
        <v>0.0022371588832232</v>
      </c>
      <c r="J1398" t="n">
        <v>0.0934450707646583</v>
      </c>
      <c r="K1398" t="n">
        <v>0.5815490330926666</v>
      </c>
      <c r="L1398" t="b">
        <v>1</v>
      </c>
      <c r="M1398" t="b">
        <v>1</v>
      </c>
      <c r="N1398" t="inlineStr">
        <is>
          <t>ref</t>
        </is>
      </c>
      <c r="O1398" t="n">
        <v>100</v>
      </c>
      <c r="P1398" t="n">
        <v>0.0054</v>
      </c>
      <c r="Q1398" t="n">
        <v>30</v>
      </c>
      <c r="R1398" t="n">
        <v>0.01318</v>
      </c>
      <c r="S1398">
        <f>IMAGE("https://mitra.stanford.edu/kundaje/oak/projects/neuro-variants/variant_position/credible/roussos_2024/variant_figures/roussos_2024.adolescence.GLU/rs7197004_count_position.png",4,220,900)</f>
        <v/>
      </c>
      <c r="T1398">
        <f>IMAGE("https://mitra.stanford.edu/kundaje/oak/projects/neuro-variants/variant_position/credible/roussos_2024/variant_figures/roussos_2024.adolescence.GLU/rs7197004_profile_position.png",4,220,900)</f>
        <v/>
      </c>
    </row>
    <row r="1399">
      <c r="A1399" t="inlineStr">
        <is>
          <t>chr16</t>
        </is>
      </c>
      <c r="B1399" t="n">
        <v>9793254</v>
      </c>
      <c r="C1399" t="inlineStr">
        <is>
          <t>C</t>
        </is>
      </c>
      <c r="D1399" t="inlineStr">
        <is>
          <t>A</t>
        </is>
      </c>
      <c r="E1399" t="inlineStr">
        <is>
          <t>rs9972744</t>
        </is>
      </c>
      <c r="F1399" t="n">
        <v>-0.00514535616</v>
      </c>
      <c r="G1399" t="n">
        <v>0.7350760965938994</v>
      </c>
      <c r="H1399" t="n">
        <v>0.0184760008380471</v>
      </c>
      <c r="I1399" t="n">
        <v>0.07920155292600189</v>
      </c>
      <c r="J1399" t="n">
        <v>0.0973787427395674</v>
      </c>
      <c r="K1399" t="n">
        <v>0.5717969610829462</v>
      </c>
      <c r="L1399" t="b">
        <v>0</v>
      </c>
      <c r="M1399" t="b">
        <v>0</v>
      </c>
      <c r="N1399" t="inlineStr">
        <is>
          <t>ref</t>
        </is>
      </c>
      <c r="O1399" t="n">
        <v>-100</v>
      </c>
      <c r="P1399" t="n">
        <v>0.0186</v>
      </c>
      <c r="Q1399" t="n">
        <v>-100</v>
      </c>
      <c r="R1399" t="n">
        <v>0.1351</v>
      </c>
      <c r="S1399">
        <f>IMAGE("https://mitra.stanford.edu/kundaje/oak/projects/neuro-variants/variant_position/credible/roussos_2024/variant_figures/roussos_2024.adolescence.GLU/rs9972744_count_position.png",4,220,900)</f>
        <v/>
      </c>
      <c r="T1399">
        <f>IMAGE("https://mitra.stanford.edu/kundaje/oak/projects/neuro-variants/variant_position/credible/roussos_2024/variant_figures/roussos_2024.adolescence.GLU/rs9972744_profile_position.png",4,220,900)</f>
        <v/>
      </c>
    </row>
    <row r="1400">
      <c r="A1400" t="inlineStr">
        <is>
          <t>chr16</t>
        </is>
      </c>
      <c r="B1400" t="n">
        <v>9798943</v>
      </c>
      <c r="C1400" t="inlineStr">
        <is>
          <t>T</t>
        </is>
      </c>
      <c r="D1400" t="inlineStr">
        <is>
          <t>A</t>
        </is>
      </c>
      <c r="E1400" t="inlineStr">
        <is>
          <t>rs11648283</t>
        </is>
      </c>
      <c r="F1400" t="n">
        <v>0.0005769317799999</v>
      </c>
      <c r="G1400" t="n">
        <v>0.8333488389910427</v>
      </c>
      <c r="H1400" t="n">
        <v>0.0145550500503519</v>
      </c>
      <c r="I1400" t="n">
        <v>0.1816178690701563</v>
      </c>
      <c r="J1400" t="n">
        <v>0.3078166191568253</v>
      </c>
      <c r="K1400" t="n">
        <v>0.2513984907225187</v>
      </c>
      <c r="L1400" t="b">
        <v>0</v>
      </c>
      <c r="M1400" t="b">
        <v>0</v>
      </c>
      <c r="N1400" t="inlineStr">
        <is>
          <t>alt</t>
        </is>
      </c>
      <c r="O1400" t="n">
        <v>-85</v>
      </c>
      <c r="P1400" t="n">
        <v>0.00885</v>
      </c>
      <c r="Q1400" t="n">
        <v>-100</v>
      </c>
      <c r="R1400" t="n">
        <v>0.05176</v>
      </c>
      <c r="S1400">
        <f>IMAGE("https://mitra.stanford.edu/kundaje/oak/projects/neuro-variants/variant_position/credible/roussos_2024/variant_figures/roussos_2024.adolescence.GLU/rs11648283_count_position.png",4,220,900)</f>
        <v/>
      </c>
      <c r="T1400">
        <f>IMAGE("https://mitra.stanford.edu/kundaje/oak/projects/neuro-variants/variant_position/credible/roussos_2024/variant_figures/roussos_2024.adolescence.GLU/rs11648283_profile_position.png",4,220,900)</f>
        <v/>
      </c>
    </row>
    <row r="1401">
      <c r="A1401" t="inlineStr">
        <is>
          <t>chr16</t>
        </is>
      </c>
      <c r="B1401" t="n">
        <v>9805369</v>
      </c>
      <c r="C1401" t="inlineStr">
        <is>
          <t>C</t>
        </is>
      </c>
      <c r="D1401" t="inlineStr">
        <is>
          <t>G</t>
        </is>
      </c>
      <c r="E1401" t="inlineStr">
        <is>
          <t>rs9930307</t>
        </is>
      </c>
      <c r="F1401" t="n">
        <v>0.004770133486</v>
      </c>
      <c r="G1401" t="n">
        <v>0.7073961863290567</v>
      </c>
      <c r="H1401" t="n">
        <v>0.009819881102922</v>
      </c>
      <c r="I1401" t="n">
        <v>0.548915749886923</v>
      </c>
      <c r="J1401" t="n">
        <v>0.1180787448828685</v>
      </c>
      <c r="K1401" t="n">
        <v>0.5403027895844855</v>
      </c>
      <c r="L1401" t="b">
        <v>0</v>
      </c>
      <c r="M1401" t="b">
        <v>0</v>
      </c>
      <c r="N1401" t="inlineStr">
        <is>
          <t>alt</t>
        </is>
      </c>
      <c r="O1401" t="n">
        <v>15</v>
      </c>
      <c r="P1401" t="n">
        <v>0.001831</v>
      </c>
      <c r="Q1401" t="n">
        <v>-25</v>
      </c>
      <c r="R1401" t="n">
        <v>0.007477</v>
      </c>
      <c r="S1401">
        <f>IMAGE("https://mitra.stanford.edu/kundaje/oak/projects/neuro-variants/variant_position/credible/roussos_2024/variant_figures/roussos_2024.adolescence.GLU/rs9930307_count_position.png",4,220,900)</f>
        <v/>
      </c>
      <c r="T1401">
        <f>IMAGE("https://mitra.stanford.edu/kundaje/oak/projects/neuro-variants/variant_position/credible/roussos_2024/variant_figures/roussos_2024.adolescence.GLU/rs9930307_profile_position.png",4,220,900)</f>
        <v/>
      </c>
    </row>
    <row r="1402">
      <c r="A1402" t="inlineStr">
        <is>
          <t>chr16</t>
        </is>
      </c>
      <c r="B1402" t="n">
        <v>9805444</v>
      </c>
      <c r="C1402" t="inlineStr">
        <is>
          <t>A</t>
        </is>
      </c>
      <c r="D1402" t="inlineStr">
        <is>
          <t>G</t>
        </is>
      </c>
      <c r="E1402" t="inlineStr">
        <is>
          <t>rs9940856</t>
        </is>
      </c>
      <c r="F1402" t="n">
        <v>0.0350466888</v>
      </c>
      <c r="G1402" t="n">
        <v>0.1319995434039821</v>
      </c>
      <c r="H1402" t="n">
        <v>0.0123191492550691</v>
      </c>
      <c r="I1402" t="n">
        <v>0.2880295541319398</v>
      </c>
      <c r="J1402" t="n">
        <v>0.1240214044337755</v>
      </c>
      <c r="K1402" t="n">
        <v>0.5294157720453799</v>
      </c>
      <c r="L1402" t="b">
        <v>0</v>
      </c>
      <c r="M1402" t="b">
        <v>0</v>
      </c>
      <c r="N1402" t="inlineStr">
        <is>
          <t>alt</t>
        </is>
      </c>
      <c r="O1402" t="n">
        <v>-60</v>
      </c>
      <c r="P1402" t="n">
        <v>0.002487</v>
      </c>
      <c r="Q1402" t="n">
        <v>-100</v>
      </c>
      <c r="R1402" t="n">
        <v>0.04858</v>
      </c>
      <c r="S1402">
        <f>IMAGE("https://mitra.stanford.edu/kundaje/oak/projects/neuro-variants/variant_position/credible/roussos_2024/variant_figures/roussos_2024.adolescence.GLU/rs9940856_count_position.png",4,220,900)</f>
        <v/>
      </c>
      <c r="T1402">
        <f>IMAGE("https://mitra.stanford.edu/kundaje/oak/projects/neuro-variants/variant_position/credible/roussos_2024/variant_figures/roussos_2024.adolescence.GLU/rs9940856_profile_position.png",4,220,900)</f>
        <v/>
      </c>
    </row>
    <row r="1403">
      <c r="A1403" t="inlineStr">
        <is>
          <t>chr16</t>
        </is>
      </c>
      <c r="B1403" t="n">
        <v>9812125</v>
      </c>
      <c r="C1403" t="inlineStr">
        <is>
          <t>T</t>
        </is>
      </c>
      <c r="D1403" t="inlineStr">
        <is>
          <t>A</t>
        </is>
      </c>
      <c r="E1403" t="inlineStr">
        <is>
          <t>rs7184107</t>
        </is>
      </c>
      <c r="F1403" t="n">
        <v>-0.00362312128</v>
      </c>
      <c r="G1403" t="n">
        <v>0.7331625062696009</v>
      </c>
      <c r="H1403" t="n">
        <v>0.0220051118873519</v>
      </c>
      <c r="I1403" t="n">
        <v>0.0397995998647131</v>
      </c>
      <c r="J1403" t="n">
        <v>0.1596102049710296</v>
      </c>
      <c r="K1403" t="n">
        <v>0.4640695070061831</v>
      </c>
      <c r="L1403" t="b">
        <v>0</v>
      </c>
      <c r="M1403" t="b">
        <v>0</v>
      </c>
      <c r="N1403" t="inlineStr">
        <is>
          <t>ref</t>
        </is>
      </c>
      <c r="O1403" t="n">
        <v>-95</v>
      </c>
      <c r="P1403" t="n">
        <v>0.009995</v>
      </c>
      <c r="Q1403" t="n">
        <v>-35</v>
      </c>
      <c r="R1403" t="n">
        <v>0.03452</v>
      </c>
      <c r="S1403">
        <f>IMAGE("https://mitra.stanford.edu/kundaje/oak/projects/neuro-variants/variant_position/credible/roussos_2024/variant_figures/roussos_2024.adolescence.GLU/rs7184107_count_position.png",4,220,900)</f>
        <v/>
      </c>
      <c r="T1403">
        <f>IMAGE("https://mitra.stanford.edu/kundaje/oak/projects/neuro-variants/variant_position/credible/roussos_2024/variant_figures/roussos_2024.adolescence.GLU/rs7184107_profile_position.png",4,220,900)</f>
        <v/>
      </c>
    </row>
    <row r="1404">
      <c r="A1404" t="inlineStr">
        <is>
          <t>chr16</t>
        </is>
      </c>
      <c r="B1404" t="n">
        <v>9813803</v>
      </c>
      <c r="C1404" t="inlineStr">
        <is>
          <t>G</t>
        </is>
      </c>
      <c r="D1404" t="inlineStr">
        <is>
          <t>T</t>
        </is>
      </c>
      <c r="E1404" t="inlineStr">
        <is>
          <t>rs10468229</t>
        </is>
      </c>
      <c r="F1404" t="n">
        <v>-0.0579122351999999</v>
      </c>
      <c r="G1404" t="n">
        <v>0.0622528466061532</v>
      </c>
      <c r="H1404" t="n">
        <v>0.0202881964196416</v>
      </c>
      <c r="I1404" t="n">
        <v>0.0666246941316698</v>
      </c>
      <c r="J1404" t="n">
        <v>0.1715055261447013</v>
      </c>
      <c r="K1404" t="n">
        <v>0.444242781875343</v>
      </c>
      <c r="L1404" t="b">
        <v>0</v>
      </c>
      <c r="M1404" t="b">
        <v>0</v>
      </c>
      <c r="N1404" t="inlineStr">
        <is>
          <t>ref</t>
        </is>
      </c>
      <c r="O1404" t="n">
        <v>-100</v>
      </c>
      <c r="P1404" t="n">
        <v>0.007965</v>
      </c>
      <c r="Q1404" t="n">
        <v>10</v>
      </c>
      <c r="R1404" t="n">
        <v>0.007324</v>
      </c>
      <c r="S1404">
        <f>IMAGE("https://mitra.stanford.edu/kundaje/oak/projects/neuro-variants/variant_position/credible/roussos_2024/variant_figures/roussos_2024.adolescence.GLU/rs10468229_count_position.png",4,220,900)</f>
        <v/>
      </c>
      <c r="T1404">
        <f>IMAGE("https://mitra.stanford.edu/kundaje/oak/projects/neuro-variants/variant_position/credible/roussos_2024/variant_figures/roussos_2024.adolescence.GLU/rs10468229_profile_position.png",4,220,900)</f>
        <v/>
      </c>
    </row>
    <row r="1405">
      <c r="A1405" t="inlineStr">
        <is>
          <t>chr16</t>
        </is>
      </c>
      <c r="B1405" t="n">
        <v>9814951</v>
      </c>
      <c r="C1405" t="inlineStr">
        <is>
          <t>G</t>
        </is>
      </c>
      <c r="D1405" t="inlineStr">
        <is>
          <t>T</t>
        </is>
      </c>
      <c r="E1405" t="inlineStr">
        <is>
          <t>rs11649466</t>
        </is>
      </c>
      <c r="F1405" t="n">
        <v>0.05971258742</v>
      </c>
      <c r="G1405" t="n">
        <v>0.0534688421895974</v>
      </c>
      <c r="H1405" t="n">
        <v>0.0171772585297507</v>
      </c>
      <c r="I1405" t="n">
        <v>0.1170201307549343</v>
      </c>
      <c r="J1405" t="n">
        <v>0.095119703367126</v>
      </c>
      <c r="K1405" t="n">
        <v>0.5853672111172755</v>
      </c>
      <c r="L1405" t="b">
        <v>0</v>
      </c>
      <c r="M1405" t="b">
        <v>0</v>
      </c>
      <c r="N1405" t="inlineStr">
        <is>
          <t>alt</t>
        </is>
      </c>
      <c r="O1405" t="n">
        <v>35</v>
      </c>
      <c r="P1405" t="n">
        <v>0.005005</v>
      </c>
      <c r="Q1405" t="n">
        <v>90</v>
      </c>
      <c r="R1405" t="n">
        <v>0.10004</v>
      </c>
      <c r="S1405">
        <f>IMAGE("https://mitra.stanford.edu/kundaje/oak/projects/neuro-variants/variant_position/credible/roussos_2024/variant_figures/roussos_2024.adolescence.GLU/rs11649466_count_position.png",4,220,900)</f>
        <v/>
      </c>
      <c r="T1405">
        <f>IMAGE("https://mitra.stanford.edu/kundaje/oak/projects/neuro-variants/variant_position/credible/roussos_2024/variant_figures/roussos_2024.adolescence.GLU/rs11649466_profile_position.png",4,220,900)</f>
        <v/>
      </c>
    </row>
    <row r="1406">
      <c r="A1406" t="inlineStr">
        <is>
          <t>chr16</t>
        </is>
      </c>
      <c r="B1406" t="n">
        <v>9818786</v>
      </c>
      <c r="C1406" t="inlineStr">
        <is>
          <t>C</t>
        </is>
      </c>
      <c r="D1406" t="inlineStr">
        <is>
          <t>T</t>
        </is>
      </c>
      <c r="E1406" t="inlineStr">
        <is>
          <t>rs11645219</t>
        </is>
      </c>
      <c r="F1406" t="n">
        <v>-0.0069378897999999</v>
      </c>
      <c r="G1406" t="n">
        <v>0.6418784875083698</v>
      </c>
      <c r="H1406" t="n">
        <v>0.0068774426823641</v>
      </c>
      <c r="I1406" t="n">
        <v>0.9281519029501168</v>
      </c>
      <c r="J1406" t="n">
        <v>0.035588800537254</v>
      </c>
      <c r="K1406" t="n">
        <v>0.7506629883017262</v>
      </c>
      <c r="L1406" t="b">
        <v>0</v>
      </c>
      <c r="M1406" t="b">
        <v>0</v>
      </c>
      <c r="N1406" t="inlineStr">
        <is>
          <t>ref</t>
        </is>
      </c>
      <c r="O1406" t="n">
        <v>-40</v>
      </c>
      <c r="P1406" t="n">
        <v>0.003555</v>
      </c>
      <c r="Q1406" t="n">
        <v>25</v>
      </c>
      <c r="R1406" t="n">
        <v>0.0337</v>
      </c>
      <c r="S1406">
        <f>IMAGE("https://mitra.stanford.edu/kundaje/oak/projects/neuro-variants/variant_position/credible/roussos_2024/variant_figures/roussos_2024.adolescence.GLU/rs11645219_count_position.png",4,220,900)</f>
        <v/>
      </c>
      <c r="T1406">
        <f>IMAGE("https://mitra.stanford.edu/kundaje/oak/projects/neuro-variants/variant_position/credible/roussos_2024/variant_figures/roussos_2024.adolescence.GLU/rs11645219_profile_position.png",4,220,900)</f>
        <v/>
      </c>
    </row>
    <row r="1407">
      <c r="A1407" t="inlineStr">
        <is>
          <t>chr16</t>
        </is>
      </c>
      <c r="B1407" t="n">
        <v>9820157</v>
      </c>
      <c r="C1407" t="inlineStr">
        <is>
          <t>A</t>
        </is>
      </c>
      <c r="D1407" t="inlineStr">
        <is>
          <t>G</t>
        </is>
      </c>
      <c r="E1407" t="inlineStr">
        <is>
          <t>rs1420042</t>
        </is>
      </c>
      <c r="F1407" t="n">
        <v>0.00358817422</v>
      </c>
      <c r="G1407" t="n">
        <v>0.740421573914009</v>
      </c>
      <c r="H1407" t="n">
        <v>0.0223057609823869</v>
      </c>
      <c r="I1407" t="n">
        <v>0.0351445766131246</v>
      </c>
      <c r="J1407" t="n">
        <v>0.1360853319616206</v>
      </c>
      <c r="K1407" t="n">
        <v>0.5018696571774145</v>
      </c>
      <c r="L1407" t="b">
        <v>0</v>
      </c>
      <c r="M1407" t="b">
        <v>0</v>
      </c>
      <c r="N1407" t="inlineStr">
        <is>
          <t>alt</t>
        </is>
      </c>
      <c r="O1407" t="n">
        <v>-100</v>
      </c>
      <c r="P1407" t="n">
        <v>0.1605</v>
      </c>
      <c r="Q1407" t="n">
        <v>5</v>
      </c>
      <c r="R1407" t="n">
        <v>0.003681</v>
      </c>
      <c r="S1407">
        <f>IMAGE("https://mitra.stanford.edu/kundaje/oak/projects/neuro-variants/variant_position/credible/roussos_2024/variant_figures/roussos_2024.adolescence.GLU/rs1420042_count_position.png",4,220,900)</f>
        <v/>
      </c>
      <c r="T1407">
        <f>IMAGE("https://mitra.stanford.edu/kundaje/oak/projects/neuro-variants/variant_position/credible/roussos_2024/variant_figures/roussos_2024.adolescence.GLU/rs1420042_profile_position.png",4,220,900)</f>
        <v/>
      </c>
    </row>
    <row r="1408">
      <c r="A1408" t="inlineStr">
        <is>
          <t>chr16</t>
        </is>
      </c>
      <c r="B1408" t="n">
        <v>9820544</v>
      </c>
      <c r="C1408" t="inlineStr">
        <is>
          <t>C</t>
        </is>
      </c>
      <c r="D1408" t="inlineStr">
        <is>
          <t>G</t>
        </is>
      </c>
      <c r="E1408" t="inlineStr">
        <is>
          <t>rs7196708</t>
        </is>
      </c>
      <c r="F1408" t="n">
        <v>0.00509396696</v>
      </c>
      <c r="G1408" t="n">
        <v>0.7046837593290901</v>
      </c>
      <c r="H1408" t="n">
        <v>0.008863694507449799</v>
      </c>
      <c r="I1408" t="n">
        <v>0.6415690254221478</v>
      </c>
      <c r="J1408" t="n">
        <v>0.2734652177951147</v>
      </c>
      <c r="K1408" t="n">
        <v>0.3015755866103476</v>
      </c>
      <c r="L1408" t="b">
        <v>0</v>
      </c>
      <c r="M1408" t="b">
        <v>0</v>
      </c>
      <c r="N1408" t="inlineStr">
        <is>
          <t>alt</t>
        </is>
      </c>
      <c r="O1408" t="n">
        <v>90</v>
      </c>
      <c r="P1408" t="n">
        <v>0.007248</v>
      </c>
      <c r="Q1408" t="n">
        <v>95</v>
      </c>
      <c r="R1408" t="n">
        <v>0.0795</v>
      </c>
      <c r="S1408">
        <f>IMAGE("https://mitra.stanford.edu/kundaje/oak/projects/neuro-variants/variant_position/credible/roussos_2024/variant_figures/roussos_2024.adolescence.GLU/rs7196708_count_position.png",4,220,900)</f>
        <v/>
      </c>
      <c r="T1408">
        <f>IMAGE("https://mitra.stanford.edu/kundaje/oak/projects/neuro-variants/variant_position/credible/roussos_2024/variant_figures/roussos_2024.adolescence.GLU/rs7196708_profile_position.png",4,220,900)</f>
        <v/>
      </c>
    </row>
    <row r="1409">
      <c r="A1409" t="inlineStr">
        <is>
          <t>chr16</t>
        </is>
      </c>
      <c r="B1409" t="n">
        <v>9821156</v>
      </c>
      <c r="C1409" t="inlineStr">
        <is>
          <t>A</t>
        </is>
      </c>
      <c r="D1409" t="inlineStr">
        <is>
          <t>G</t>
        </is>
      </c>
      <c r="E1409" t="inlineStr">
        <is>
          <t>rs6497523</t>
        </is>
      </c>
      <c r="F1409" t="n">
        <v>0.06853079399999989</v>
      </c>
      <c r="G1409" t="n">
        <v>0.0240742985400934</v>
      </c>
      <c r="H1409" t="n">
        <v>0.0121195662942332</v>
      </c>
      <c r="I1409" t="n">
        <v>0.3268510855194226</v>
      </c>
      <c r="J1409" t="n">
        <v>0.3246986875852855</v>
      </c>
      <c r="K1409" t="n">
        <v>0.2427310707265953</v>
      </c>
      <c r="L1409" t="b">
        <v>0</v>
      </c>
      <c r="M1409" t="b">
        <v>0</v>
      </c>
      <c r="N1409" t="inlineStr">
        <is>
          <t>alt</t>
        </is>
      </c>
      <c r="O1409" t="n">
        <v>30</v>
      </c>
      <c r="P1409" t="n">
        <v>0.00534</v>
      </c>
      <c r="Q1409" t="n">
        <v>-80</v>
      </c>
      <c r="R1409" t="n">
        <v>0.06809999999999999</v>
      </c>
      <c r="S1409">
        <f>IMAGE("https://mitra.stanford.edu/kundaje/oak/projects/neuro-variants/variant_position/credible/roussos_2024/variant_figures/roussos_2024.adolescence.GLU/rs6497523_count_position.png",4,220,900)</f>
        <v/>
      </c>
      <c r="T1409">
        <f>IMAGE("https://mitra.stanford.edu/kundaje/oak/projects/neuro-variants/variant_position/credible/roussos_2024/variant_figures/roussos_2024.adolescence.GLU/rs6497523_profile_position.png",4,220,900)</f>
        <v/>
      </c>
    </row>
    <row r="1410">
      <c r="A1410" t="inlineStr">
        <is>
          <t>chr16</t>
        </is>
      </c>
      <c r="B1410" t="n">
        <v>9846107</v>
      </c>
      <c r="C1410" t="inlineStr">
        <is>
          <t>C</t>
        </is>
      </c>
      <c r="D1410" t="inlineStr">
        <is>
          <t>T</t>
        </is>
      </c>
      <c r="E1410" t="inlineStr">
        <is>
          <t>rs35440248</t>
        </is>
      </c>
      <c r="F1410" t="n">
        <v>0.02299251766</v>
      </c>
      <c r="G1410" t="n">
        <v>0.2797668634819181</v>
      </c>
      <c r="H1410" t="n">
        <v>0.025837773648487</v>
      </c>
      <c r="I1410" t="n">
        <v>0.0238033837860959</v>
      </c>
      <c r="J1410" t="n">
        <v>0.1115459630923548</v>
      </c>
      <c r="K1410" t="n">
        <v>0.5381337872223274</v>
      </c>
      <c r="L1410" t="b">
        <v>0</v>
      </c>
      <c r="M1410" t="b">
        <v>0</v>
      </c>
      <c r="N1410" t="inlineStr">
        <is>
          <t>alt</t>
        </is>
      </c>
      <c r="O1410" t="n">
        <v>30</v>
      </c>
      <c r="P1410" t="n">
        <v>0.008999999999999999</v>
      </c>
      <c r="Q1410" t="n">
        <v>80</v>
      </c>
      <c r="R1410" t="n">
        <v>0.0931</v>
      </c>
      <c r="S1410">
        <f>IMAGE("https://mitra.stanford.edu/kundaje/oak/projects/neuro-variants/variant_position/credible/roussos_2024/variant_figures/roussos_2024.adolescence.GLU/rs35440248_count_position.png",4,220,900)</f>
        <v/>
      </c>
      <c r="T1410">
        <f>IMAGE("https://mitra.stanford.edu/kundaje/oak/projects/neuro-variants/variant_position/credible/roussos_2024/variant_figures/roussos_2024.adolescence.GLU/rs35440248_profile_position.png",4,220,900)</f>
        <v/>
      </c>
    </row>
    <row r="1411">
      <c r="A1411" t="inlineStr">
        <is>
          <t>chr16</t>
        </is>
      </c>
      <c r="B1411" t="n">
        <v>9849250</v>
      </c>
      <c r="C1411" t="inlineStr">
        <is>
          <t>G</t>
        </is>
      </c>
      <c r="D1411" t="inlineStr">
        <is>
          <t>A</t>
        </is>
      </c>
      <c r="E1411" t="inlineStr">
        <is>
          <t>rs8047364</t>
        </is>
      </c>
      <c r="F1411" t="n">
        <v>0.002093751924</v>
      </c>
      <c r="G1411" t="n">
        <v>0.862170604667838</v>
      </c>
      <c r="H1411" t="n">
        <v>0.0206222024504688</v>
      </c>
      <c r="I1411" t="n">
        <v>0.0503438065961519</v>
      </c>
      <c r="J1411" t="n">
        <v>0.0012216816340527</v>
      </c>
      <c r="K1411" t="n">
        <v>0.9661744239367056</v>
      </c>
      <c r="L1411" t="b">
        <v>0</v>
      </c>
      <c r="M1411" t="b">
        <v>0</v>
      </c>
      <c r="N1411" t="inlineStr">
        <is>
          <t>alt</t>
        </is>
      </c>
      <c r="O1411" t="n">
        <v>95</v>
      </c>
      <c r="P1411" t="n">
        <v>0.00641</v>
      </c>
      <c r="Q1411" t="n">
        <v>100</v>
      </c>
      <c r="R1411" t="n">
        <v>0.04724</v>
      </c>
      <c r="S1411">
        <f>IMAGE("https://mitra.stanford.edu/kundaje/oak/projects/neuro-variants/variant_position/credible/roussos_2024/variant_figures/roussos_2024.adolescence.GLU/rs8047364_count_position.png",4,220,900)</f>
        <v/>
      </c>
      <c r="T1411">
        <f>IMAGE("https://mitra.stanford.edu/kundaje/oak/projects/neuro-variants/variant_position/credible/roussos_2024/variant_figures/roussos_2024.adolescence.GLU/rs8047364_profile_position.png",4,220,900)</f>
        <v/>
      </c>
    </row>
    <row r="1412">
      <c r="A1412" t="inlineStr">
        <is>
          <t>chr16</t>
        </is>
      </c>
      <c r="B1412" t="n">
        <v>9854777</v>
      </c>
      <c r="C1412" t="inlineStr">
        <is>
          <t>G</t>
        </is>
      </c>
      <c r="D1412" t="inlineStr">
        <is>
          <t>A</t>
        </is>
      </c>
      <c r="E1412" t="inlineStr">
        <is>
          <t>rs9933832</t>
        </is>
      </c>
      <c r="F1412" t="n">
        <v>-0.07914866399999999</v>
      </c>
      <c r="G1412" t="n">
        <v>0.019628019464543</v>
      </c>
      <c r="H1412" t="n">
        <v>0.0133072709517964</v>
      </c>
      <c r="I1412" t="n">
        <v>0.2482901474369539</v>
      </c>
      <c r="J1412" t="n">
        <v>0.2186610083517299</v>
      </c>
      <c r="K1412" t="n">
        <v>0.3735918283493581</v>
      </c>
      <c r="L1412" t="b">
        <v>1</v>
      </c>
      <c r="M1412" t="b">
        <v>0</v>
      </c>
      <c r="N1412" t="inlineStr">
        <is>
          <t>ref</t>
        </is>
      </c>
      <c r="O1412" t="n">
        <v>-65</v>
      </c>
      <c r="P1412" t="n">
        <v>0.003616</v>
      </c>
      <c r="Q1412" t="n">
        <v>-65</v>
      </c>
      <c r="R1412" t="n">
        <v>0.02979</v>
      </c>
      <c r="S1412">
        <f>IMAGE("https://mitra.stanford.edu/kundaje/oak/projects/neuro-variants/variant_position/credible/roussos_2024/variant_figures/roussos_2024.adolescence.GLU/rs9933832_count_position.png",4,220,900)</f>
        <v/>
      </c>
      <c r="T1412">
        <f>IMAGE("https://mitra.stanford.edu/kundaje/oak/projects/neuro-variants/variant_position/credible/roussos_2024/variant_figures/roussos_2024.adolescence.GLU/rs9933832_profile_position.png",4,220,900)</f>
        <v/>
      </c>
    </row>
    <row r="1413">
      <c r="A1413" t="inlineStr">
        <is>
          <t>chr16</t>
        </is>
      </c>
      <c r="B1413" t="n">
        <v>9861707</v>
      </c>
      <c r="C1413" t="inlineStr">
        <is>
          <t>C</t>
        </is>
      </c>
      <c r="D1413" t="inlineStr">
        <is>
          <t>T</t>
        </is>
      </c>
      <c r="E1413" t="inlineStr">
        <is>
          <t>rs727605</t>
        </is>
      </c>
      <c r="F1413" t="n">
        <v>-0.076396376</v>
      </c>
      <c r="G1413" t="n">
        <v>0.0201659208551892</v>
      </c>
      <c r="H1413" t="n">
        <v>0.013866657790795</v>
      </c>
      <c r="I1413" t="n">
        <v>0.2311752354802799</v>
      </c>
      <c r="J1413" t="n">
        <v>0.296009887762465</v>
      </c>
      <c r="K1413" t="n">
        <v>0.2760983292937173</v>
      </c>
      <c r="L1413" t="b">
        <v>1</v>
      </c>
      <c r="M1413" t="b">
        <v>0</v>
      </c>
      <c r="N1413" t="inlineStr">
        <is>
          <t>ref</t>
        </is>
      </c>
      <c r="O1413" t="n">
        <v>-100</v>
      </c>
      <c r="P1413" t="n">
        <v>0.002178</v>
      </c>
      <c r="Q1413" t="n">
        <v>100</v>
      </c>
      <c r="R1413" t="n">
        <v>0.1173</v>
      </c>
      <c r="S1413">
        <f>IMAGE("https://mitra.stanford.edu/kundaje/oak/projects/neuro-variants/variant_position/credible/roussos_2024/variant_figures/roussos_2024.adolescence.GLU/rs727605_count_position.png",4,220,900)</f>
        <v/>
      </c>
      <c r="T1413">
        <f>IMAGE("https://mitra.stanford.edu/kundaje/oak/projects/neuro-variants/variant_position/credible/roussos_2024/variant_figures/roussos_2024.adolescence.GLU/rs727605_profile_position.png",4,220,900)</f>
        <v/>
      </c>
    </row>
    <row r="1414">
      <c r="A1414" t="inlineStr">
        <is>
          <t>chr16</t>
        </is>
      </c>
      <c r="B1414" t="n">
        <v>9864252</v>
      </c>
      <c r="C1414" t="inlineStr">
        <is>
          <t>T</t>
        </is>
      </c>
      <c r="D1414" t="inlineStr">
        <is>
          <t>C</t>
        </is>
      </c>
      <c r="E1414" t="inlineStr">
        <is>
          <t>rs9939815</t>
        </is>
      </c>
      <c r="F1414" t="n">
        <v>-0.0085880801999999</v>
      </c>
      <c r="G1414" t="n">
        <v>0.5787876393983538</v>
      </c>
      <c r="H1414" t="n">
        <v>0.0242007220354753</v>
      </c>
      <c r="I1414" t="n">
        <v>0.0239177543691939</v>
      </c>
      <c r="J1414" t="n">
        <v>0.0641218538125754</v>
      </c>
      <c r="K1414" t="n">
        <v>0.662823292765398</v>
      </c>
      <c r="L1414" t="b">
        <v>0</v>
      </c>
      <c r="M1414" t="b">
        <v>0</v>
      </c>
      <c r="N1414" t="inlineStr">
        <is>
          <t>ref</t>
        </is>
      </c>
      <c r="O1414" t="n">
        <v>70</v>
      </c>
      <c r="P1414" t="n">
        <v>0.008500000000000001</v>
      </c>
      <c r="Q1414" t="n">
        <v>65</v>
      </c>
      <c r="R1414" t="n">
        <v>0.008359999999999999</v>
      </c>
      <c r="S1414">
        <f>IMAGE("https://mitra.stanford.edu/kundaje/oak/projects/neuro-variants/variant_position/credible/roussos_2024/variant_figures/roussos_2024.adolescence.GLU/rs9939815_count_position.png",4,220,900)</f>
        <v/>
      </c>
      <c r="T1414">
        <f>IMAGE("https://mitra.stanford.edu/kundaje/oak/projects/neuro-variants/variant_position/credible/roussos_2024/variant_figures/roussos_2024.adolescence.GLU/rs9939815_profile_position.png",4,220,900)</f>
        <v/>
      </c>
    </row>
    <row r="1415">
      <c r="A1415" t="inlineStr">
        <is>
          <t>chr16</t>
        </is>
      </c>
      <c r="B1415" t="n">
        <v>9864255</v>
      </c>
      <c r="C1415" t="inlineStr">
        <is>
          <t>T</t>
        </is>
      </c>
      <c r="D1415" t="inlineStr">
        <is>
          <t>G</t>
        </is>
      </c>
      <c r="E1415" t="inlineStr">
        <is>
          <t>rs9939817</t>
        </is>
      </c>
      <c r="F1415" t="n">
        <v>-0.0194066258</v>
      </c>
      <c r="G1415" t="n">
        <v>0.3056706679018672</v>
      </c>
      <c r="H1415" t="n">
        <v>0.034050409841026</v>
      </c>
      <c r="I1415" t="n">
        <v>0.0051319752639035</v>
      </c>
      <c r="J1415" t="n">
        <v>0.0642433075422766</v>
      </c>
      <c r="K1415" t="n">
        <v>0.6625650682396694</v>
      </c>
      <c r="L1415" t="b">
        <v>1</v>
      </c>
      <c r="M1415" t="b">
        <v>1</v>
      </c>
      <c r="N1415" t="inlineStr">
        <is>
          <t>ref</t>
        </is>
      </c>
      <c r="O1415" t="n">
        <v>60</v>
      </c>
      <c r="P1415" t="n">
        <v>0.01113</v>
      </c>
      <c r="Q1415" t="n">
        <v>60</v>
      </c>
      <c r="R1415" t="n">
        <v>0.01306</v>
      </c>
      <c r="S1415">
        <f>IMAGE("https://mitra.stanford.edu/kundaje/oak/projects/neuro-variants/variant_position/credible/roussos_2024/variant_figures/roussos_2024.adolescence.GLU/rs9939817_count_position.png",4,220,900)</f>
        <v/>
      </c>
      <c r="T1415">
        <f>IMAGE("https://mitra.stanford.edu/kundaje/oak/projects/neuro-variants/variant_position/credible/roussos_2024/variant_figures/roussos_2024.adolescence.GLU/rs9939817_profile_position.png",4,220,900)</f>
        <v/>
      </c>
    </row>
    <row r="1416">
      <c r="A1416" t="inlineStr">
        <is>
          <t>chr16</t>
        </is>
      </c>
      <c r="B1416" t="n">
        <v>9864332</v>
      </c>
      <c r="C1416" t="inlineStr">
        <is>
          <t>A</t>
        </is>
      </c>
      <c r="D1416" t="inlineStr">
        <is>
          <t>G</t>
        </is>
      </c>
      <c r="E1416" t="inlineStr">
        <is>
          <t>rs7196023</t>
        </is>
      </c>
      <c r="F1416" t="n">
        <v>-0.00083086054</v>
      </c>
      <c r="G1416" t="n">
        <v>0.7961197843714172</v>
      </c>
      <c r="H1416" t="n">
        <v>0.0130517013739313</v>
      </c>
      <c r="I1416" t="n">
        <v>0.2538772700443033</v>
      </c>
      <c r="J1416" t="n">
        <v>0.0686970872537882</v>
      </c>
      <c r="K1416" t="n">
        <v>0.651597111054644</v>
      </c>
      <c r="L1416" t="b">
        <v>0</v>
      </c>
      <c r="M1416" t="b">
        <v>0</v>
      </c>
      <c r="N1416" t="inlineStr">
        <is>
          <t>ref</t>
        </is>
      </c>
      <c r="O1416" t="n">
        <v>-10</v>
      </c>
      <c r="P1416" t="n">
        <v>0.001396</v>
      </c>
      <c r="Q1416" t="n">
        <v>-15</v>
      </c>
      <c r="R1416" t="n">
        <v>0.02979</v>
      </c>
      <c r="S1416">
        <f>IMAGE("https://mitra.stanford.edu/kundaje/oak/projects/neuro-variants/variant_position/credible/roussos_2024/variant_figures/roussos_2024.adolescence.GLU/rs7196023_count_position.png",4,220,900)</f>
        <v/>
      </c>
      <c r="T1416">
        <f>IMAGE("https://mitra.stanford.edu/kundaje/oak/projects/neuro-variants/variant_position/credible/roussos_2024/variant_figures/roussos_2024.adolescence.GLU/rs7196023_profile_position.png",4,220,900)</f>
        <v/>
      </c>
    </row>
    <row r="1417">
      <c r="A1417" t="inlineStr">
        <is>
          <t>chr16</t>
        </is>
      </c>
      <c r="B1417" t="n">
        <v>9865264</v>
      </c>
      <c r="C1417" t="inlineStr">
        <is>
          <t>G</t>
        </is>
      </c>
      <c r="D1417" t="inlineStr">
        <is>
          <t>A</t>
        </is>
      </c>
      <c r="E1417" t="inlineStr">
        <is>
          <t>rs16966529</t>
        </is>
      </c>
      <c r="F1417" t="n">
        <v>-0.016405484</v>
      </c>
      <c r="G1417" t="n">
        <v>0.3612009673084613</v>
      </c>
      <c r="H1417" t="n">
        <v>0.0102337908421028</v>
      </c>
      <c r="I1417" t="n">
        <v>0.5116998119596844</v>
      </c>
      <c r="J1417" t="n">
        <v>0.246015246015246</v>
      </c>
      <c r="K1417" t="n">
        <v>0.3383042889425416</v>
      </c>
      <c r="L1417" t="b">
        <v>0</v>
      </c>
      <c r="M1417" t="b">
        <v>0</v>
      </c>
      <c r="N1417" t="inlineStr">
        <is>
          <t>ref</t>
        </is>
      </c>
      <c r="O1417" t="n">
        <v>15</v>
      </c>
      <c r="P1417" t="n">
        <v>0.004417</v>
      </c>
      <c r="Q1417" t="n">
        <v>40</v>
      </c>
      <c r="R1417" t="n">
        <v>0.12146</v>
      </c>
      <c r="S1417">
        <f>IMAGE("https://mitra.stanford.edu/kundaje/oak/projects/neuro-variants/variant_position/credible/roussos_2024/variant_figures/roussos_2024.adolescence.GLU/rs16966529_count_position.png",4,220,900)</f>
        <v/>
      </c>
      <c r="T1417">
        <f>IMAGE("https://mitra.stanford.edu/kundaje/oak/projects/neuro-variants/variant_position/credible/roussos_2024/variant_figures/roussos_2024.adolescence.GLU/rs16966529_profile_position.png",4,220,900)</f>
        <v/>
      </c>
    </row>
    <row r="1418">
      <c r="A1418" t="inlineStr">
        <is>
          <t>chr16</t>
        </is>
      </c>
      <c r="B1418" t="n">
        <v>10036400</v>
      </c>
      <c r="C1418" t="inlineStr">
        <is>
          <t>T</t>
        </is>
      </c>
      <c r="D1418" t="inlineStr">
        <is>
          <t>C</t>
        </is>
      </c>
      <c r="E1418" t="inlineStr">
        <is>
          <t>rs76655943</t>
        </is>
      </c>
      <c r="F1418" t="n">
        <v>0.0741186242</v>
      </c>
      <c r="G1418" t="n">
        <v>0.0175023306663396</v>
      </c>
      <c r="H1418" t="n">
        <v>0.0153671020630285</v>
      </c>
      <c r="I1418" t="n">
        <v>0.1371885382977069</v>
      </c>
      <c r="J1418" t="n">
        <v>0.1542462367204635</v>
      </c>
      <c r="K1418" t="n">
        <v>0.4711593746989374</v>
      </c>
      <c r="L1418" t="b">
        <v>1</v>
      </c>
      <c r="M1418" t="b">
        <v>0</v>
      </c>
      <c r="N1418" t="inlineStr">
        <is>
          <t>alt</t>
        </is>
      </c>
      <c r="O1418" t="n">
        <v>100</v>
      </c>
      <c r="P1418" t="n">
        <v>0.01904</v>
      </c>
      <c r="Q1418" t="n">
        <v>75</v>
      </c>
      <c r="R1418" t="n">
        <v>0.0743</v>
      </c>
      <c r="S1418">
        <f>IMAGE("https://mitra.stanford.edu/kundaje/oak/projects/neuro-variants/variant_position/credible/roussos_2024/variant_figures/roussos_2024.adolescence.GLU/rs76655943_count_position.png",4,220,900)</f>
        <v/>
      </c>
      <c r="T1418">
        <f>IMAGE("https://mitra.stanford.edu/kundaje/oak/projects/neuro-variants/variant_position/credible/roussos_2024/variant_figures/roussos_2024.adolescence.GLU/rs76655943_profile_position.png",4,220,900)</f>
        <v/>
      </c>
    </row>
    <row r="1419">
      <c r="A1419" t="inlineStr">
        <is>
          <t>chr16</t>
        </is>
      </c>
      <c r="B1419" t="n">
        <v>10038863</v>
      </c>
      <c r="C1419" t="inlineStr">
        <is>
          <t>A</t>
        </is>
      </c>
      <c r="D1419" t="inlineStr">
        <is>
          <t>C</t>
        </is>
      </c>
      <c r="E1419" t="inlineStr">
        <is>
          <t>rs28610230</t>
        </is>
      </c>
      <c r="F1419" t="n">
        <v>0.00712158928</v>
      </c>
      <c r="G1419" t="n">
        <v>0.5988926035068818</v>
      </c>
      <c r="H1419" t="n">
        <v>0.0251381383108044</v>
      </c>
      <c r="I1419" t="n">
        <v>0.0199059800400639</v>
      </c>
      <c r="J1419" t="n">
        <v>0.5213437069107172</v>
      </c>
      <c r="K1419" t="n">
        <v>0.07493442062654521</v>
      </c>
      <c r="L1419" t="b">
        <v>1</v>
      </c>
      <c r="M1419" t="b">
        <v>0</v>
      </c>
      <c r="N1419" t="inlineStr">
        <is>
          <t>alt</t>
        </is>
      </c>
      <c r="O1419" t="n">
        <v>-100</v>
      </c>
      <c r="P1419" t="n">
        <v>0.01746</v>
      </c>
      <c r="Q1419" t="n">
        <v>30</v>
      </c>
      <c r="R1419" t="n">
        <v>0.04794</v>
      </c>
      <c r="S1419">
        <f>IMAGE("https://mitra.stanford.edu/kundaje/oak/projects/neuro-variants/variant_position/credible/roussos_2024/variant_figures/roussos_2024.adolescence.GLU/rs28610230_count_position.png",4,220,900)</f>
        <v/>
      </c>
      <c r="T1419">
        <f>IMAGE("https://mitra.stanford.edu/kundaje/oak/projects/neuro-variants/variant_position/credible/roussos_2024/variant_figures/roussos_2024.adolescence.GLU/rs28610230_profile_position.png",4,220,900)</f>
        <v/>
      </c>
    </row>
    <row r="1420">
      <c r="A1420" t="inlineStr">
        <is>
          <t>chr16</t>
        </is>
      </c>
      <c r="B1420" t="n">
        <v>13643666</v>
      </c>
      <c r="C1420" t="inlineStr">
        <is>
          <t>A</t>
        </is>
      </c>
      <c r="D1420" t="inlineStr">
        <is>
          <t>G</t>
        </is>
      </c>
      <c r="E1420" t="inlineStr">
        <is>
          <t>rs55761603</t>
        </is>
      </c>
      <c r="F1420" t="n">
        <v>0.0384356612</v>
      </c>
      <c r="G1420" t="n">
        <v>0.1117923882493162</v>
      </c>
      <c r="H1420" t="n">
        <v>0.0164050721982832</v>
      </c>
      <c r="I1420" t="n">
        <v>0.1166140801809695</v>
      </c>
      <c r="J1420" t="n">
        <v>0.2772931535818134</v>
      </c>
      <c r="K1420" t="n">
        <v>0.2975003696867085</v>
      </c>
      <c r="L1420" t="b">
        <v>0</v>
      </c>
      <c r="M1420" t="b">
        <v>0</v>
      </c>
      <c r="N1420" t="inlineStr">
        <is>
          <t>alt</t>
        </is>
      </c>
      <c r="O1420" t="n">
        <v>-20</v>
      </c>
      <c r="P1420" t="n">
        <v>0.000675</v>
      </c>
      <c r="Q1420" t="n">
        <v>-25</v>
      </c>
      <c r="R1420" t="n">
        <v>0.02417</v>
      </c>
      <c r="S1420">
        <f>IMAGE("https://mitra.stanford.edu/kundaje/oak/projects/neuro-variants/variant_position/credible/roussos_2024/variant_figures/roussos_2024.adolescence.GLU/rs55761603_count_position.png",4,220,900)</f>
        <v/>
      </c>
      <c r="T1420">
        <f>IMAGE("https://mitra.stanford.edu/kundaje/oak/projects/neuro-variants/variant_position/credible/roussos_2024/variant_figures/roussos_2024.adolescence.GLU/rs55761603_profile_position.png",4,220,900)</f>
        <v/>
      </c>
    </row>
    <row r="1421">
      <c r="A1421" t="inlineStr">
        <is>
          <t>chr16</t>
        </is>
      </c>
      <c r="B1421" t="n">
        <v>24118368</v>
      </c>
      <c r="C1421" t="inlineStr">
        <is>
          <t>T</t>
        </is>
      </c>
      <c r="D1421" t="inlineStr">
        <is>
          <t>C</t>
        </is>
      </c>
      <c r="E1421" t="inlineStr">
        <is>
          <t>rs9926924</t>
        </is>
      </c>
      <c r="F1421" t="n">
        <v>-0.0003221172799999</v>
      </c>
      <c r="G1421" t="n">
        <v>0.2724539725814255</v>
      </c>
      <c r="H1421" t="n">
        <v>0.0162263221785572</v>
      </c>
      <c r="I1421" t="n">
        <v>0.1649301994676823</v>
      </c>
      <c r="J1421" t="n">
        <v>0.409221910252838</v>
      </c>
      <c r="K1421" t="n">
        <v>0.1592422361890429</v>
      </c>
      <c r="L1421" t="b">
        <v>0</v>
      </c>
      <c r="M1421" t="b">
        <v>0</v>
      </c>
      <c r="N1421" t="inlineStr">
        <is>
          <t>ref</t>
        </is>
      </c>
      <c r="O1421" t="n">
        <v>-15</v>
      </c>
      <c r="P1421" t="n">
        <v>0.001178</v>
      </c>
      <c r="Q1421" t="n">
        <v>100</v>
      </c>
      <c r="R1421" t="n">
        <v>0.1211</v>
      </c>
      <c r="S1421">
        <f>IMAGE("https://mitra.stanford.edu/kundaje/oak/projects/neuro-variants/variant_position/credible/roussos_2024/variant_figures/roussos_2024.adolescence.GLU/rs9926924_count_position.png",4,220,900)</f>
        <v/>
      </c>
      <c r="T1421">
        <f>IMAGE("https://mitra.stanford.edu/kundaje/oak/projects/neuro-variants/variant_position/credible/roussos_2024/variant_figures/roussos_2024.adolescence.GLU/rs9926924_profile_position.png",4,220,900)</f>
        <v/>
      </c>
    </row>
    <row r="1422">
      <c r="A1422" t="inlineStr">
        <is>
          <t>chr16</t>
        </is>
      </c>
      <c r="B1422" t="n">
        <v>24120003</v>
      </c>
      <c r="C1422" t="inlineStr">
        <is>
          <t>T</t>
        </is>
      </c>
      <c r="D1422" t="inlineStr">
        <is>
          <t>G</t>
        </is>
      </c>
      <c r="E1422" t="inlineStr">
        <is>
          <t>rs2283541</t>
        </is>
      </c>
      <c r="F1422" t="n">
        <v>-0.032860547</v>
      </c>
      <c r="G1422" t="n">
        <v>0.1612304070628321</v>
      </c>
      <c r="H1422" t="n">
        <v>0.0232645196336764</v>
      </c>
      <c r="I1422" t="n">
        <v>0.0305612138656865</v>
      </c>
      <c r="J1422" t="n">
        <v>0.3470147387673161</v>
      </c>
      <c r="K1422" t="n">
        <v>0.220138468858044</v>
      </c>
      <c r="L1422" t="b">
        <v>0</v>
      </c>
      <c r="M1422" t="b">
        <v>0</v>
      </c>
      <c r="N1422" t="inlineStr">
        <is>
          <t>ref</t>
        </is>
      </c>
      <c r="O1422" t="n">
        <v>100</v>
      </c>
      <c r="P1422" t="n">
        <v>0.00406</v>
      </c>
      <c r="Q1422" t="n">
        <v>60</v>
      </c>
      <c r="R1422" t="n">
        <v>0.0553</v>
      </c>
      <c r="S1422">
        <f>IMAGE("https://mitra.stanford.edu/kundaje/oak/projects/neuro-variants/variant_position/credible/roussos_2024/variant_figures/roussos_2024.adolescence.GLU/rs2283541_count_position.png",4,220,900)</f>
        <v/>
      </c>
      <c r="T1422">
        <f>IMAGE("https://mitra.stanford.edu/kundaje/oak/projects/neuro-variants/variant_position/credible/roussos_2024/variant_figures/roussos_2024.adolescence.GLU/rs2283541_profile_position.png",4,220,900)</f>
        <v/>
      </c>
    </row>
    <row r="1423">
      <c r="A1423" t="inlineStr">
        <is>
          <t>chr16</t>
        </is>
      </c>
      <c r="B1423" t="n">
        <v>24469698</v>
      </c>
      <c r="C1423" t="inlineStr">
        <is>
          <t>A</t>
        </is>
      </c>
      <c r="D1423" t="inlineStr">
        <is>
          <t>G</t>
        </is>
      </c>
      <c r="E1423" t="inlineStr">
        <is>
          <t>rs11640574</t>
        </is>
      </c>
      <c r="F1423" t="n">
        <v>-0.0014578456399999</v>
      </c>
      <c r="G1423" t="n">
        <v>0.6536740966076651</v>
      </c>
      <c r="H1423" t="n">
        <v>0.0358311865624604</v>
      </c>
      <c r="I1423" t="n">
        <v>0.0045202266285559</v>
      </c>
      <c r="J1423" t="n">
        <v>0.0769716584149573</v>
      </c>
      <c r="K1423" t="n">
        <v>0.6309681971089005</v>
      </c>
      <c r="L1423" t="b">
        <v>1</v>
      </c>
      <c r="M1423" t="b">
        <v>1</v>
      </c>
      <c r="N1423" t="inlineStr">
        <is>
          <t>ref</t>
        </is>
      </c>
      <c r="O1423" t="n">
        <v>-90</v>
      </c>
      <c r="P1423" t="n">
        <v>0.01355</v>
      </c>
      <c r="Q1423" t="n">
        <v>-40</v>
      </c>
      <c r="R1423" t="n">
        <v>0.0245</v>
      </c>
      <c r="S1423">
        <f>IMAGE("https://mitra.stanford.edu/kundaje/oak/projects/neuro-variants/variant_position/credible/roussos_2024/variant_figures/roussos_2024.adolescence.GLU/rs11640574_count_position.png",4,220,900)</f>
        <v/>
      </c>
      <c r="T1423">
        <f>IMAGE("https://mitra.stanford.edu/kundaje/oak/projects/neuro-variants/variant_position/credible/roussos_2024/variant_figures/roussos_2024.adolescence.GLU/rs11640574_profile_position.png",4,220,900)</f>
        <v/>
      </c>
    </row>
    <row r="1424">
      <c r="A1424" t="inlineStr">
        <is>
          <t>chr16</t>
        </is>
      </c>
      <c r="B1424" t="n">
        <v>29959513</v>
      </c>
      <c r="C1424" t="inlineStr">
        <is>
          <t>G</t>
        </is>
      </c>
      <c r="D1424" t="inlineStr">
        <is>
          <t>A</t>
        </is>
      </c>
      <c r="E1424" t="inlineStr">
        <is>
          <t>rs4788197</t>
        </is>
      </c>
      <c r="F1424" t="n">
        <v>-0.0391121538</v>
      </c>
      <c r="G1424" t="n">
        <v>0.1147038936036612</v>
      </c>
      <c r="H1424" t="n">
        <v>0.0128943371213564</v>
      </c>
      <c r="I1424" t="n">
        <v>0.2685907079987816</v>
      </c>
      <c r="J1424" t="n">
        <v>0.3664444777846839</v>
      </c>
      <c r="K1424" t="n">
        <v>0.2000860748264561</v>
      </c>
      <c r="L1424" t="b">
        <v>0</v>
      </c>
      <c r="M1424" t="b">
        <v>0</v>
      </c>
      <c r="N1424" t="inlineStr">
        <is>
          <t>ref</t>
        </is>
      </c>
      <c r="O1424" t="n">
        <v>-45</v>
      </c>
      <c r="P1424" t="n">
        <v>0.02249</v>
      </c>
      <c r="Q1424" t="n">
        <v>-30</v>
      </c>
      <c r="R1424" t="n">
        <v>0.2216</v>
      </c>
      <c r="S1424">
        <f>IMAGE("https://mitra.stanford.edu/kundaje/oak/projects/neuro-variants/variant_position/credible/roussos_2024/variant_figures/roussos_2024.adolescence.GLU/rs4788197_count_position.png",4,220,900)</f>
        <v/>
      </c>
      <c r="T1424">
        <f>IMAGE("https://mitra.stanford.edu/kundaje/oak/projects/neuro-variants/variant_position/credible/roussos_2024/variant_figures/roussos_2024.adolescence.GLU/rs4788197_profile_position.png",4,220,900)</f>
        <v/>
      </c>
    </row>
    <row r="1425">
      <c r="A1425" t="inlineStr">
        <is>
          <t>chr16</t>
        </is>
      </c>
      <c r="B1425" t="n">
        <v>29959944</v>
      </c>
      <c r="C1425" t="inlineStr">
        <is>
          <t>G</t>
        </is>
      </c>
      <c r="D1425" t="inlineStr">
        <is>
          <t>T</t>
        </is>
      </c>
      <c r="E1425" t="inlineStr">
        <is>
          <t>rs4788200</t>
        </is>
      </c>
      <c r="F1425" t="n">
        <v>0.0616298147999999</v>
      </c>
      <c r="G1425" t="n">
        <v>0.04071400474236</v>
      </c>
      <c r="H1425" t="n">
        <v>0.0235376072371731</v>
      </c>
      <c r="I1425" t="n">
        <v>0.0301884283788973</v>
      </c>
      <c r="J1425" t="n">
        <v>0.2607140050439019</v>
      </c>
      <c r="K1425" t="n">
        <v>0.3210095093700452</v>
      </c>
      <c r="L1425" t="b">
        <v>0</v>
      </c>
      <c r="M1425" t="b">
        <v>0</v>
      </c>
      <c r="N1425" t="inlineStr">
        <is>
          <t>alt</t>
        </is>
      </c>
      <c r="O1425" t="n">
        <v>-100</v>
      </c>
      <c r="P1425" t="n">
        <v>0.02696</v>
      </c>
      <c r="Q1425" t="n">
        <v>-10</v>
      </c>
      <c r="R1425" t="n">
        <v>0.03235</v>
      </c>
      <c r="S1425">
        <f>IMAGE("https://mitra.stanford.edu/kundaje/oak/projects/neuro-variants/variant_position/credible/roussos_2024/variant_figures/roussos_2024.adolescence.GLU/rs4788200_count_position.png",4,220,900)</f>
        <v/>
      </c>
      <c r="T1425">
        <f>IMAGE("https://mitra.stanford.edu/kundaje/oak/projects/neuro-variants/variant_position/credible/roussos_2024/variant_figures/roussos_2024.adolescence.GLU/rs4788200_profile_position.png",4,220,900)</f>
        <v/>
      </c>
    </row>
    <row r="1426">
      <c r="A1426" t="inlineStr">
        <is>
          <t>chr16</t>
        </is>
      </c>
      <c r="B1426" t="n">
        <v>29971245</v>
      </c>
      <c r="C1426" t="inlineStr">
        <is>
          <t>C</t>
        </is>
      </c>
      <c r="D1426" t="inlineStr">
        <is>
          <t>T</t>
        </is>
      </c>
      <c r="E1426" t="inlineStr">
        <is>
          <t>rs12934406</t>
        </is>
      </c>
      <c r="F1426" t="n">
        <v>0.00761326726</v>
      </c>
      <c r="G1426" t="n">
        <v>0.5862753356706871</v>
      </c>
      <c r="H1426" t="n">
        <v>0.0137503119876858</v>
      </c>
      <c r="I1426" t="n">
        <v>0.2274338487057645</v>
      </c>
      <c r="J1426" t="n">
        <v>0.2933750562616541</v>
      </c>
      <c r="K1426" t="n">
        <v>0.2797336897384126</v>
      </c>
      <c r="L1426" t="b">
        <v>0</v>
      </c>
      <c r="M1426" t="b">
        <v>0</v>
      </c>
      <c r="N1426" t="inlineStr">
        <is>
          <t>alt</t>
        </is>
      </c>
      <c r="O1426" t="n">
        <v>-25</v>
      </c>
      <c r="P1426" t="n">
        <v>0.00769</v>
      </c>
      <c r="Q1426" t="n">
        <v>60</v>
      </c>
      <c r="R1426" t="n">
        <v>0.09950000000000001</v>
      </c>
      <c r="S1426">
        <f>IMAGE("https://mitra.stanford.edu/kundaje/oak/projects/neuro-variants/variant_position/credible/roussos_2024/variant_figures/roussos_2024.adolescence.GLU/rs12934406_count_position.png",4,220,900)</f>
        <v/>
      </c>
      <c r="T1426">
        <f>IMAGE("https://mitra.stanford.edu/kundaje/oak/projects/neuro-variants/variant_position/credible/roussos_2024/variant_figures/roussos_2024.adolescence.GLU/rs12934406_profile_position.png",4,220,900)</f>
        <v/>
      </c>
    </row>
    <row r="1427">
      <c r="A1427" t="inlineStr">
        <is>
          <t>chr16</t>
        </is>
      </c>
      <c r="B1427" t="n">
        <v>29971798</v>
      </c>
      <c r="C1427" t="inlineStr">
        <is>
          <t>G</t>
        </is>
      </c>
      <c r="D1427" t="inlineStr">
        <is>
          <t>T</t>
        </is>
      </c>
      <c r="E1427" t="inlineStr">
        <is>
          <t>rs9932196</t>
        </is>
      </c>
      <c r="F1427" t="n">
        <v>0.00161076658</v>
      </c>
      <c r="G1427" t="n">
        <v>0.8245246017284443</v>
      </c>
      <c r="H1427" t="n">
        <v>0.0235693151181827</v>
      </c>
      <c r="I1427" t="n">
        <v>0.0306586052541123</v>
      </c>
      <c r="J1427" t="n">
        <v>0.1918383093640825</v>
      </c>
      <c r="K1427" t="n">
        <v>0.4139041710369673</v>
      </c>
      <c r="L1427" t="b">
        <v>0</v>
      </c>
      <c r="M1427" t="b">
        <v>0</v>
      </c>
      <c r="N1427" t="inlineStr">
        <is>
          <t>alt</t>
        </is>
      </c>
      <c r="O1427" t="n">
        <v>-100</v>
      </c>
      <c r="P1427" t="n">
        <v>0.0006256</v>
      </c>
      <c r="Q1427" t="n">
        <v>-100</v>
      </c>
      <c r="R1427" t="n">
        <v>0.1249</v>
      </c>
      <c r="S1427">
        <f>IMAGE("https://mitra.stanford.edu/kundaje/oak/projects/neuro-variants/variant_position/credible/roussos_2024/variant_figures/roussos_2024.adolescence.GLU/rs9932196_count_position.png",4,220,900)</f>
        <v/>
      </c>
      <c r="T1427">
        <f>IMAGE("https://mitra.stanford.edu/kundaje/oak/projects/neuro-variants/variant_position/credible/roussos_2024/variant_figures/roussos_2024.adolescence.GLU/rs9932196_profile_position.png",4,220,900)</f>
        <v/>
      </c>
    </row>
    <row r="1428">
      <c r="A1428" t="inlineStr">
        <is>
          <t>chr16</t>
        </is>
      </c>
      <c r="B1428" t="n">
        <v>29981787</v>
      </c>
      <c r="C1428" t="inlineStr">
        <is>
          <t>C</t>
        </is>
      </c>
      <c r="D1428" t="inlineStr">
        <is>
          <t>G</t>
        </is>
      </c>
      <c r="E1428" t="inlineStr">
        <is>
          <t>rs11642046</t>
        </is>
      </c>
      <c r="F1428" t="n">
        <v>-0.0586171354</v>
      </c>
      <c r="G1428" t="n">
        <v>0.0463149768998545</v>
      </c>
      <c r="H1428" t="n">
        <v>0.0156280467318168</v>
      </c>
      <c r="I1428" t="n">
        <v>0.1625779019509303</v>
      </c>
      <c r="J1428" t="n">
        <v>0.3112101792514163</v>
      </c>
      <c r="K1428" t="n">
        <v>0.2580563402287397</v>
      </c>
      <c r="L1428" t="b">
        <v>0</v>
      </c>
      <c r="M1428" t="b">
        <v>0</v>
      </c>
      <c r="N1428" t="inlineStr">
        <is>
          <t>ref</t>
        </is>
      </c>
      <c r="O1428" t="n">
        <v>-5</v>
      </c>
      <c r="P1428" t="n">
        <v>0.000391</v>
      </c>
      <c r="Q1428" t="n">
        <v>0</v>
      </c>
      <c r="R1428" t="n">
        <v>0</v>
      </c>
      <c r="S1428">
        <f>IMAGE("https://mitra.stanford.edu/kundaje/oak/projects/neuro-variants/variant_position/credible/roussos_2024/variant_figures/roussos_2024.adolescence.GLU/rs11642046_count_position.png",4,220,900)</f>
        <v/>
      </c>
      <c r="T1428">
        <f>IMAGE("https://mitra.stanford.edu/kundaje/oak/projects/neuro-variants/variant_position/credible/roussos_2024/variant_figures/roussos_2024.adolescence.GLU/rs11642046_profile_position.png",4,220,900)</f>
        <v/>
      </c>
    </row>
    <row r="1429">
      <c r="A1429" t="inlineStr">
        <is>
          <t>chr16</t>
        </is>
      </c>
      <c r="B1429" t="n">
        <v>29983415</v>
      </c>
      <c r="C1429" t="inlineStr">
        <is>
          <t>T</t>
        </is>
      </c>
      <c r="D1429" t="inlineStr">
        <is>
          <t>A</t>
        </is>
      </c>
      <c r="E1429" t="inlineStr">
        <is>
          <t>rs3814884</t>
        </is>
      </c>
      <c r="F1429" t="n">
        <v>-0.0133465822</v>
      </c>
      <c r="G1429" t="n">
        <v>0.4363615633945885</v>
      </c>
      <c r="H1429" t="n">
        <v>0.0072746166153449</v>
      </c>
      <c r="I1429" t="n">
        <v>0.8306798514914356</v>
      </c>
      <c r="J1429" t="n">
        <v>0.6266998163905381</v>
      </c>
      <c r="K1429" t="n">
        <v>0.0298081998907006</v>
      </c>
      <c r="L1429" t="b">
        <v>0</v>
      </c>
      <c r="M1429" t="b">
        <v>0</v>
      </c>
      <c r="N1429" t="inlineStr">
        <is>
          <t>ref</t>
        </is>
      </c>
      <c r="O1429" t="n">
        <v>-95</v>
      </c>
      <c r="P1429" t="n">
        <v>0.00732</v>
      </c>
      <c r="Q1429" t="n">
        <v>95</v>
      </c>
      <c r="R1429" t="n">
        <v>0.1681</v>
      </c>
      <c r="S1429">
        <f>IMAGE("https://mitra.stanford.edu/kundaje/oak/projects/neuro-variants/variant_position/credible/roussos_2024/variant_figures/roussos_2024.adolescence.GLU/rs3814884_count_position.png",4,220,900)</f>
        <v/>
      </c>
      <c r="T1429">
        <f>IMAGE("https://mitra.stanford.edu/kundaje/oak/projects/neuro-variants/variant_position/credible/roussos_2024/variant_figures/roussos_2024.adolescence.GLU/rs3814884_profile_position.png",4,220,900)</f>
        <v/>
      </c>
    </row>
    <row r="1430">
      <c r="A1430" t="inlineStr">
        <is>
          <t>chr16</t>
        </is>
      </c>
      <c r="B1430" t="n">
        <v>29983601</v>
      </c>
      <c r="C1430" t="inlineStr">
        <is>
          <t>C</t>
        </is>
      </c>
      <c r="D1430" t="inlineStr">
        <is>
          <t>T</t>
        </is>
      </c>
      <c r="E1430" t="inlineStr">
        <is>
          <t>rs3814883</t>
        </is>
      </c>
      <c r="F1430" t="n">
        <v>-0.0694470406</v>
      </c>
      <c r="G1430" t="n">
        <v>0.0280196418268908</v>
      </c>
      <c r="H1430" t="n">
        <v>0.0209974885998805</v>
      </c>
      <c r="I1430" t="n">
        <v>0.0490709196407316</v>
      </c>
      <c r="J1430" t="n">
        <v>0.6089990069371513</v>
      </c>
      <c r="K1430" t="n">
        <v>0.0353974658936191</v>
      </c>
      <c r="L1430" t="b">
        <v>0</v>
      </c>
      <c r="M1430" t="b">
        <v>0</v>
      </c>
      <c r="N1430" t="inlineStr">
        <is>
          <t>ref</t>
        </is>
      </c>
      <c r="O1430" t="n">
        <v>25</v>
      </c>
      <c r="P1430" t="n">
        <v>0.000595</v>
      </c>
      <c r="Q1430" t="n">
        <v>-40</v>
      </c>
      <c r="R1430" t="n">
        <v>0.0498</v>
      </c>
      <c r="S1430">
        <f>IMAGE("https://mitra.stanford.edu/kundaje/oak/projects/neuro-variants/variant_position/credible/roussos_2024/variant_figures/roussos_2024.adolescence.GLU/rs3814883_count_position.png",4,220,900)</f>
        <v/>
      </c>
      <c r="T1430">
        <f>IMAGE("https://mitra.stanford.edu/kundaje/oak/projects/neuro-variants/variant_position/credible/roussos_2024/variant_figures/roussos_2024.adolescence.GLU/rs3814883_profile_position.png",4,220,900)</f>
        <v/>
      </c>
    </row>
    <row r="1431">
      <c r="A1431" t="inlineStr">
        <is>
          <t>chr16</t>
        </is>
      </c>
      <c r="B1431" t="n">
        <v>29984559</v>
      </c>
      <c r="C1431" t="inlineStr">
        <is>
          <t>G</t>
        </is>
      </c>
      <c r="D1431" t="inlineStr">
        <is>
          <t>A</t>
        </is>
      </c>
      <c r="E1431" t="inlineStr">
        <is>
          <t>rs4787489</t>
        </is>
      </c>
      <c r="F1431" t="n">
        <v>-0.0413453694</v>
      </c>
      <c r="G1431" t="n">
        <v>0.1013778940123276</v>
      </c>
      <c r="H1431" t="n">
        <v>0.008957428401357</v>
      </c>
      <c r="I1431" t="n">
        <v>0.6156808272548973</v>
      </c>
      <c r="J1431" t="n">
        <v>0.3039415307456544</v>
      </c>
      <c r="K1431" t="n">
        <v>0.2677300301018541</v>
      </c>
      <c r="L1431" t="b">
        <v>0</v>
      </c>
      <c r="M1431" t="b">
        <v>0</v>
      </c>
      <c r="N1431" t="inlineStr">
        <is>
          <t>ref</t>
        </is>
      </c>
      <c r="O1431" t="n">
        <v>-100</v>
      </c>
      <c r="P1431" t="n">
        <v>0.01549</v>
      </c>
      <c r="Q1431" t="n">
        <v>-70</v>
      </c>
      <c r="R1431" t="n">
        <v>0.02869</v>
      </c>
      <c r="S1431">
        <f>IMAGE("https://mitra.stanford.edu/kundaje/oak/projects/neuro-variants/variant_position/credible/roussos_2024/variant_figures/roussos_2024.adolescence.GLU/rs4787489_count_position.png",4,220,900)</f>
        <v/>
      </c>
      <c r="T1431">
        <f>IMAGE("https://mitra.stanford.edu/kundaje/oak/projects/neuro-variants/variant_position/credible/roussos_2024/variant_figures/roussos_2024.adolescence.GLU/rs4787489_profile_position.png",4,220,900)</f>
        <v/>
      </c>
    </row>
    <row r="1432">
      <c r="A1432" t="inlineStr">
        <is>
          <t>chr16</t>
        </is>
      </c>
      <c r="B1432" t="n">
        <v>29991755</v>
      </c>
      <c r="C1432" t="inlineStr">
        <is>
          <t>G</t>
        </is>
      </c>
      <c r="D1432" t="inlineStr">
        <is>
          <t>A</t>
        </is>
      </c>
      <c r="E1432" t="inlineStr">
        <is>
          <t>rs9924686</t>
        </is>
      </c>
      <c r="F1432" t="n">
        <v>0.024015464</v>
      </c>
      <c r="G1432" t="n">
        <v>0.2323126234416185</v>
      </c>
      <c r="H1432" t="n">
        <v>0.0105194747717375</v>
      </c>
      <c r="I1432" t="n">
        <v>0.4780196532393274</v>
      </c>
      <c r="J1432" t="n">
        <v>0.5665830779232841</v>
      </c>
      <c r="K1432" t="n">
        <v>0.051945602922996</v>
      </c>
      <c r="L1432" t="b">
        <v>0</v>
      </c>
      <c r="M1432" t="b">
        <v>0</v>
      </c>
      <c r="N1432" t="inlineStr">
        <is>
          <t>alt</t>
        </is>
      </c>
      <c r="O1432" t="n">
        <v>80</v>
      </c>
      <c r="P1432" t="n">
        <v>0.01049</v>
      </c>
      <c r="Q1432" t="n">
        <v>-100</v>
      </c>
      <c r="R1432" t="n">
        <v>0.068</v>
      </c>
      <c r="S1432">
        <f>IMAGE("https://mitra.stanford.edu/kundaje/oak/projects/neuro-variants/variant_position/credible/roussos_2024/variant_figures/roussos_2024.adolescence.GLU/rs9924686_count_position.png",4,220,900)</f>
        <v/>
      </c>
      <c r="T1432">
        <f>IMAGE("https://mitra.stanford.edu/kundaje/oak/projects/neuro-variants/variant_position/credible/roussos_2024/variant_figures/roussos_2024.adolescence.GLU/rs9924686_profile_position.png",4,220,900)</f>
        <v/>
      </c>
    </row>
    <row r="1433">
      <c r="A1433" t="inlineStr">
        <is>
          <t>chr16</t>
        </is>
      </c>
      <c r="B1433" t="n">
        <v>57107341</v>
      </c>
      <c r="C1433" t="inlineStr">
        <is>
          <t>G</t>
        </is>
      </c>
      <c r="D1433" t="inlineStr">
        <is>
          <t>A</t>
        </is>
      </c>
      <c r="E1433" t="inlineStr">
        <is>
          <t>rs72777107</t>
        </is>
      </c>
      <c r="F1433" t="n">
        <v>-0.00148869652</v>
      </c>
      <c r="G1433" t="n">
        <v>0.6215023239312187</v>
      </c>
      <c r="H1433" t="n">
        <v>0.0116755047845702</v>
      </c>
      <c r="I1433" t="n">
        <v>0.3684292107561462</v>
      </c>
      <c r="J1433" t="n">
        <v>0.3679119246129555</v>
      </c>
      <c r="K1433" t="n">
        <v>0.1982171840668527</v>
      </c>
      <c r="L1433" t="b">
        <v>0</v>
      </c>
      <c r="M1433" t="b">
        <v>0</v>
      </c>
      <c r="N1433" t="inlineStr">
        <is>
          <t>ref</t>
        </is>
      </c>
      <c r="O1433" t="n">
        <v>-35</v>
      </c>
      <c r="P1433" t="n">
        <v>0.001541</v>
      </c>
      <c r="Q1433" t="n">
        <v>45</v>
      </c>
      <c r="R1433" t="n">
        <v>0.03775</v>
      </c>
      <c r="S1433">
        <f>IMAGE("https://mitra.stanford.edu/kundaje/oak/projects/neuro-variants/variant_position/credible/roussos_2024/variant_figures/roussos_2024.adolescence.GLU/rs72777107_count_position.png",4,220,900)</f>
        <v/>
      </c>
      <c r="T1433">
        <f>IMAGE("https://mitra.stanford.edu/kundaje/oak/projects/neuro-variants/variant_position/credible/roussos_2024/variant_figures/roussos_2024.adolescence.GLU/rs72777107_profile_position.png",4,220,900)</f>
        <v/>
      </c>
    </row>
    <row r="1434">
      <c r="A1434" t="inlineStr">
        <is>
          <t>chr16</t>
        </is>
      </c>
      <c r="B1434" t="n">
        <v>58504758</v>
      </c>
      <c r="C1434" t="inlineStr">
        <is>
          <t>C</t>
        </is>
      </c>
      <c r="D1434" t="inlineStr">
        <is>
          <t>T</t>
        </is>
      </c>
      <c r="E1434" t="inlineStr">
        <is>
          <t>rs9928398</t>
        </is>
      </c>
      <c r="F1434" t="n">
        <v>-0.0241655804</v>
      </c>
      <c r="G1434" t="n">
        <v>0.2404995669103893</v>
      </c>
      <c r="H1434" t="n">
        <v>0.0068117395086659</v>
      </c>
      <c r="I1434" t="n">
        <v>0.9260777929183884</v>
      </c>
      <c r="J1434" t="n">
        <v>0.333343335405191</v>
      </c>
      <c r="K1434" t="n">
        <v>0.2331829030674386</v>
      </c>
      <c r="L1434" t="b">
        <v>0</v>
      </c>
      <c r="M1434" t="b">
        <v>0</v>
      </c>
      <c r="N1434" t="inlineStr">
        <is>
          <t>ref</t>
        </is>
      </c>
      <c r="O1434" t="n">
        <v>-10</v>
      </c>
      <c r="P1434" t="n">
        <v>0.0003052</v>
      </c>
      <c r="Q1434" t="n">
        <v>-50</v>
      </c>
      <c r="R1434" t="n">
        <v>0.07886</v>
      </c>
      <c r="S1434">
        <f>IMAGE("https://mitra.stanford.edu/kundaje/oak/projects/neuro-variants/variant_position/credible/roussos_2024/variant_figures/roussos_2024.adolescence.GLU/rs9928398_count_position.png",4,220,900)</f>
        <v/>
      </c>
      <c r="T1434">
        <f>IMAGE("https://mitra.stanford.edu/kundaje/oak/projects/neuro-variants/variant_position/credible/roussos_2024/variant_figures/roussos_2024.adolescence.GLU/rs9928398_profile_position.png",4,220,900)</f>
        <v/>
      </c>
    </row>
    <row r="1435">
      <c r="A1435" t="inlineStr">
        <is>
          <t>chr16</t>
        </is>
      </c>
      <c r="B1435" t="n">
        <v>58505278</v>
      </c>
      <c r="C1435" t="inlineStr">
        <is>
          <t>G</t>
        </is>
      </c>
      <c r="D1435" t="inlineStr">
        <is>
          <t>A</t>
        </is>
      </c>
      <c r="E1435" t="inlineStr">
        <is>
          <t>rs8056038</t>
        </is>
      </c>
      <c r="F1435" t="n">
        <v>-0.052469418</v>
      </c>
      <c r="G1435" t="n">
        <v>0.0546036920272313</v>
      </c>
      <c r="H1435" t="n">
        <v>0.0145172305127887</v>
      </c>
      <c r="I1435" t="n">
        <v>0.1898671055528169</v>
      </c>
      <c r="J1435" t="n">
        <v>0.1881018210915117</v>
      </c>
      <c r="K1435" t="n">
        <v>0.4202583804607296</v>
      </c>
      <c r="L1435" t="b">
        <v>0</v>
      </c>
      <c r="M1435" t="b">
        <v>0</v>
      </c>
      <c r="N1435" t="inlineStr">
        <is>
          <t>ref</t>
        </is>
      </c>
      <c r="O1435" t="n">
        <v>80</v>
      </c>
      <c r="P1435" t="n">
        <v>0.042</v>
      </c>
      <c r="Q1435" t="n">
        <v>60</v>
      </c>
      <c r="R1435" t="n">
        <v>0.03625</v>
      </c>
      <c r="S1435">
        <f>IMAGE("https://mitra.stanford.edu/kundaje/oak/projects/neuro-variants/variant_position/credible/roussos_2024/variant_figures/roussos_2024.adolescence.GLU/rs8056038_count_position.png",4,220,900)</f>
        <v/>
      </c>
      <c r="T1435">
        <f>IMAGE("https://mitra.stanford.edu/kundaje/oak/projects/neuro-variants/variant_position/credible/roussos_2024/variant_figures/roussos_2024.adolescence.GLU/rs8056038_profile_position.png",4,220,900)</f>
        <v/>
      </c>
    </row>
    <row r="1436">
      <c r="A1436" t="inlineStr">
        <is>
          <t>chr16</t>
        </is>
      </c>
      <c r="B1436" t="n">
        <v>58505281</v>
      </c>
      <c r="C1436" t="inlineStr">
        <is>
          <t>G</t>
        </is>
      </c>
      <c r="D1436" t="inlineStr">
        <is>
          <t>A</t>
        </is>
      </c>
      <c r="E1436" t="inlineStr">
        <is>
          <t>rs8056039</t>
        </is>
      </c>
      <c r="F1436" t="n">
        <v>-0.08994948780000001</v>
      </c>
      <c r="G1436" t="n">
        <v>0.011431483581636</v>
      </c>
      <c r="H1436" t="n">
        <v>0.0156522421254478</v>
      </c>
      <c r="I1436" t="n">
        <v>0.1506296049570262</v>
      </c>
      <c r="J1436" t="n">
        <v>0.1877145980238763</v>
      </c>
      <c r="K1436" t="n">
        <v>0.4208416324607731</v>
      </c>
      <c r="L1436" t="b">
        <v>1</v>
      </c>
      <c r="M1436" t="b">
        <v>0</v>
      </c>
      <c r="N1436" t="inlineStr">
        <is>
          <t>ref</t>
        </is>
      </c>
      <c r="O1436" t="n">
        <v>80</v>
      </c>
      <c r="P1436" t="n">
        <v>0.0406</v>
      </c>
      <c r="Q1436" t="n">
        <v>50</v>
      </c>
      <c r="R1436" t="n">
        <v>0.01714</v>
      </c>
      <c r="S1436">
        <f>IMAGE("https://mitra.stanford.edu/kundaje/oak/projects/neuro-variants/variant_position/credible/roussos_2024/variant_figures/roussos_2024.adolescence.GLU/rs8056039_count_position.png",4,220,900)</f>
        <v/>
      </c>
      <c r="T1436">
        <f>IMAGE("https://mitra.stanford.edu/kundaje/oak/projects/neuro-variants/variant_position/credible/roussos_2024/variant_figures/roussos_2024.adolescence.GLU/rs8056039_profile_position.png",4,220,900)</f>
        <v/>
      </c>
    </row>
    <row r="1437">
      <c r="A1437" t="inlineStr">
        <is>
          <t>chr16</t>
        </is>
      </c>
      <c r="B1437" t="n">
        <v>58519260</v>
      </c>
      <c r="C1437" t="inlineStr">
        <is>
          <t>A</t>
        </is>
      </c>
      <c r="D1437" t="inlineStr">
        <is>
          <t>C</t>
        </is>
      </c>
      <c r="E1437" t="inlineStr">
        <is>
          <t>rs37035</t>
        </is>
      </c>
      <c r="F1437" t="n">
        <v>0.0236690998</v>
      </c>
      <c r="G1437" t="n">
        <v>0.237642712244025</v>
      </c>
      <c r="H1437" t="n">
        <v>0.0089761951937983</v>
      </c>
      <c r="I1437" t="n">
        <v>0.6668655155146271</v>
      </c>
      <c r="J1437" t="n">
        <v>0.0872952254395553</v>
      </c>
      <c r="K1437" t="n">
        <v>0.6059301959385466</v>
      </c>
      <c r="L1437" t="b">
        <v>0</v>
      </c>
      <c r="M1437" t="b">
        <v>0</v>
      </c>
      <c r="N1437" t="inlineStr">
        <is>
          <t>alt</t>
        </is>
      </c>
      <c r="O1437" t="n">
        <v>-30</v>
      </c>
      <c r="P1437" t="n">
        <v>0.01492</v>
      </c>
      <c r="Q1437" t="n">
        <v>-90</v>
      </c>
      <c r="R1437" t="n">
        <v>0.0355</v>
      </c>
      <c r="S1437">
        <f>IMAGE("https://mitra.stanford.edu/kundaje/oak/projects/neuro-variants/variant_position/credible/roussos_2024/variant_figures/roussos_2024.adolescence.GLU/rs37035_count_position.png",4,220,900)</f>
        <v/>
      </c>
      <c r="T1437">
        <f>IMAGE("https://mitra.stanford.edu/kundaje/oak/projects/neuro-variants/variant_position/credible/roussos_2024/variant_figures/roussos_2024.adolescence.GLU/rs37035_profile_position.png",4,220,900)</f>
        <v/>
      </c>
    </row>
    <row r="1438">
      <c r="A1438" t="inlineStr">
        <is>
          <t>chr16</t>
        </is>
      </c>
      <c r="B1438" t="n">
        <v>58530960</v>
      </c>
      <c r="C1438" t="inlineStr">
        <is>
          <t>C</t>
        </is>
      </c>
      <c r="D1438" t="inlineStr">
        <is>
          <t>T</t>
        </is>
      </c>
      <c r="E1438" t="inlineStr">
        <is>
          <t>rs37059</t>
        </is>
      </c>
      <c r="F1438" t="n">
        <v>-0.06453983119999999</v>
      </c>
      <c r="G1438" t="n">
        <v>0.0342928811909065</v>
      </c>
      <c r="H1438" t="n">
        <v>0.0141570533738173</v>
      </c>
      <c r="I1438" t="n">
        <v>0.2016495303752684</v>
      </c>
      <c r="J1438" t="n">
        <v>0.1026641232826799</v>
      </c>
      <c r="K1438" t="n">
        <v>0.5641445914570028</v>
      </c>
      <c r="L1438" t="b">
        <v>0</v>
      </c>
      <c r="M1438" t="b">
        <v>0</v>
      </c>
      <c r="N1438" t="inlineStr">
        <is>
          <t>ref</t>
        </is>
      </c>
      <c r="O1438" t="n">
        <v>-55</v>
      </c>
      <c r="P1438" t="n">
        <v>0.06859999999999999</v>
      </c>
      <c r="Q1438" t="n">
        <v>45</v>
      </c>
      <c r="R1438" t="n">
        <v>0.0646</v>
      </c>
      <c r="S1438">
        <f>IMAGE("https://mitra.stanford.edu/kundaje/oak/projects/neuro-variants/variant_position/credible/roussos_2024/variant_figures/roussos_2024.adolescence.GLU/rs37059_count_position.png",4,220,900)</f>
        <v/>
      </c>
      <c r="T1438">
        <f>IMAGE("https://mitra.stanford.edu/kundaje/oak/projects/neuro-variants/variant_position/credible/roussos_2024/variant_figures/roussos_2024.adolescence.GLU/rs37059_profile_position.png",4,220,900)</f>
        <v/>
      </c>
    </row>
    <row r="1439">
      <c r="A1439" t="inlineStr">
        <is>
          <t>chr16</t>
        </is>
      </c>
      <c r="B1439" t="n">
        <v>58559618</v>
      </c>
      <c r="C1439" t="inlineStr">
        <is>
          <t>C</t>
        </is>
      </c>
      <c r="D1439" t="inlineStr">
        <is>
          <t>T</t>
        </is>
      </c>
      <c r="E1439" t="inlineStr">
        <is>
          <t>rs7201946</t>
        </is>
      </c>
      <c r="F1439" t="n">
        <v>0.0199400746</v>
      </c>
      <c r="G1439" t="n">
        <v>0.2864635645704467</v>
      </c>
      <c r="H1439" t="n">
        <v>0.017184087280361</v>
      </c>
      <c r="I1439" t="n">
        <v>0.1030704458289281</v>
      </c>
      <c r="J1439" t="n">
        <v>0.0962556529566838</v>
      </c>
      <c r="K1439" t="n">
        <v>0.5751684950628073</v>
      </c>
      <c r="L1439" t="b">
        <v>0</v>
      </c>
      <c r="M1439" t="b">
        <v>0</v>
      </c>
      <c r="N1439" t="inlineStr">
        <is>
          <t>alt</t>
        </is>
      </c>
      <c r="O1439" t="n">
        <v>-30</v>
      </c>
      <c r="P1439" t="n">
        <v>0.012375</v>
      </c>
      <c r="Q1439" t="n">
        <v>95</v>
      </c>
      <c r="R1439" t="n">
        <v>0.0789</v>
      </c>
      <c r="S1439">
        <f>IMAGE("https://mitra.stanford.edu/kundaje/oak/projects/neuro-variants/variant_position/credible/roussos_2024/variant_figures/roussos_2024.adolescence.GLU/rs7201946_count_position.png",4,220,900)</f>
        <v/>
      </c>
      <c r="T1439">
        <f>IMAGE("https://mitra.stanford.edu/kundaje/oak/projects/neuro-variants/variant_position/credible/roussos_2024/variant_figures/roussos_2024.adolescence.GLU/rs7201946_profile_position.png",4,220,900)</f>
        <v/>
      </c>
    </row>
    <row r="1440">
      <c r="A1440" t="inlineStr">
        <is>
          <t>chr16</t>
        </is>
      </c>
      <c r="B1440" t="n">
        <v>58572603</v>
      </c>
      <c r="C1440" t="inlineStr">
        <is>
          <t>A</t>
        </is>
      </c>
      <c r="D1440" t="inlineStr">
        <is>
          <t>C</t>
        </is>
      </c>
      <c r="E1440" t="inlineStr">
        <is>
          <t>rs7206744</t>
        </is>
      </c>
      <c r="F1440" t="n">
        <v>0.02025287154</v>
      </c>
      <c r="G1440" t="n">
        <v>0.3421939162087303</v>
      </c>
      <c r="H1440" t="n">
        <v>0.0102634842640651</v>
      </c>
      <c r="I1440" t="n">
        <v>0.4986577040900374</v>
      </c>
      <c r="J1440" t="n">
        <v>0.029743303970108</v>
      </c>
      <c r="K1440" t="n">
        <v>0.7806096729052733</v>
      </c>
      <c r="L1440" t="b">
        <v>0</v>
      </c>
      <c r="M1440" t="b">
        <v>0</v>
      </c>
      <c r="N1440" t="inlineStr">
        <is>
          <t>alt</t>
        </is>
      </c>
      <c r="O1440" t="n">
        <v>-80</v>
      </c>
      <c r="P1440" t="n">
        <v>0.00776</v>
      </c>
      <c r="Q1440" t="n">
        <v>-100</v>
      </c>
      <c r="R1440" t="n">
        <v>0.05377</v>
      </c>
      <c r="S1440">
        <f>IMAGE("https://mitra.stanford.edu/kundaje/oak/projects/neuro-variants/variant_position/credible/roussos_2024/variant_figures/roussos_2024.adolescence.GLU/rs7206744_count_position.png",4,220,900)</f>
        <v/>
      </c>
      <c r="T1440">
        <f>IMAGE("https://mitra.stanford.edu/kundaje/oak/projects/neuro-variants/variant_position/credible/roussos_2024/variant_figures/roussos_2024.adolescence.GLU/rs7206744_profile_position.png",4,220,900)</f>
        <v/>
      </c>
    </row>
    <row r="1441">
      <c r="A1441" t="inlineStr">
        <is>
          <t>chr16</t>
        </is>
      </c>
      <c r="B1441" t="n">
        <v>58576353</v>
      </c>
      <c r="C1441" t="inlineStr">
        <is>
          <t>C</t>
        </is>
      </c>
      <c r="D1441" t="inlineStr">
        <is>
          <t>T</t>
        </is>
      </c>
      <c r="E1441" t="inlineStr">
        <is>
          <t>rs9936144</t>
        </is>
      </c>
      <c r="F1441" t="n">
        <v>-0.0950089047999999</v>
      </c>
      <c r="G1441" t="n">
        <v>0.0095410544844945</v>
      </c>
      <c r="H1441" t="n">
        <v>0.018004926924369</v>
      </c>
      <c r="I1441" t="n">
        <v>0.0837270135676636</v>
      </c>
      <c r="J1441" t="n">
        <v>0.1074694043766208</v>
      </c>
      <c r="K1441" t="n">
        <v>0.5535594710563448</v>
      </c>
      <c r="L1441" t="b">
        <v>1</v>
      </c>
      <c r="M1441" t="b">
        <v>1</v>
      </c>
      <c r="N1441" t="inlineStr">
        <is>
          <t>ref</t>
        </is>
      </c>
      <c r="O1441" t="n">
        <v>-100</v>
      </c>
      <c r="P1441" t="n">
        <v>0.01741</v>
      </c>
      <c r="Q1441" t="n">
        <v>-30</v>
      </c>
      <c r="R1441" t="n">
        <v>0.04025</v>
      </c>
      <c r="S1441">
        <f>IMAGE("https://mitra.stanford.edu/kundaje/oak/projects/neuro-variants/variant_position/credible/roussos_2024/variant_figures/roussos_2024.adolescence.GLU/rs9936144_count_position.png",4,220,900)</f>
        <v/>
      </c>
      <c r="T1441">
        <f>IMAGE("https://mitra.stanford.edu/kundaje/oak/projects/neuro-variants/variant_position/credible/roussos_2024/variant_figures/roussos_2024.adolescence.GLU/rs9936144_profile_position.png",4,220,900)</f>
        <v/>
      </c>
    </row>
    <row r="1442">
      <c r="A1442" t="inlineStr">
        <is>
          <t>chr16</t>
        </is>
      </c>
      <c r="B1442" t="n">
        <v>58581678</v>
      </c>
      <c r="C1442" t="inlineStr">
        <is>
          <t>T</t>
        </is>
      </c>
      <c r="D1442" t="inlineStr">
        <is>
          <t>C</t>
        </is>
      </c>
      <c r="E1442" t="inlineStr">
        <is>
          <t>rs116630925</t>
        </is>
      </c>
      <c r="F1442" t="n">
        <v>0.0124159268</v>
      </c>
      <c r="G1442" t="n">
        <v>0.4250521254170799</v>
      </c>
      <c r="H1442" t="n">
        <v>0.018646359512318</v>
      </c>
      <c r="I1442" t="n">
        <v>0.0757849946025877</v>
      </c>
      <c r="J1442" t="n">
        <v>0.045590872394996</v>
      </c>
      <c r="K1442" t="n">
        <v>0.7158056952080054</v>
      </c>
      <c r="L1442" t="b">
        <v>0</v>
      </c>
      <c r="M1442" t="b">
        <v>0</v>
      </c>
      <c r="N1442" t="inlineStr">
        <is>
          <t>alt</t>
        </is>
      </c>
      <c r="O1442" t="n">
        <v>45</v>
      </c>
      <c r="P1442" t="n">
        <v>0.003342</v>
      </c>
      <c r="Q1442" t="n">
        <v>50</v>
      </c>
      <c r="R1442" t="n">
        <v>0.01929</v>
      </c>
      <c r="S1442">
        <f>IMAGE("https://mitra.stanford.edu/kundaje/oak/projects/neuro-variants/variant_position/credible/roussos_2024/variant_figures/roussos_2024.adolescence.GLU/rs116630925_count_position.png",4,220,900)</f>
        <v/>
      </c>
      <c r="T1442">
        <f>IMAGE("https://mitra.stanford.edu/kundaje/oak/projects/neuro-variants/variant_position/credible/roussos_2024/variant_figures/roussos_2024.adolescence.GLU/rs116630925_profile_position.png",4,220,900)</f>
        <v/>
      </c>
    </row>
    <row r="1443">
      <c r="A1443" t="inlineStr">
        <is>
          <t>chr16</t>
        </is>
      </c>
      <c r="B1443" t="n">
        <v>58587091</v>
      </c>
      <c r="C1443" t="inlineStr">
        <is>
          <t>A</t>
        </is>
      </c>
      <c r="D1443" t="inlineStr">
        <is>
          <t>G</t>
        </is>
      </c>
      <c r="E1443" t="inlineStr">
        <is>
          <t>rs12443835</t>
        </is>
      </c>
      <c r="F1443" t="n">
        <v>0.0026224489</v>
      </c>
      <c r="G1443" t="n">
        <v>0.7646297829997805</v>
      </c>
      <c r="H1443" t="n">
        <v>0.018917315761248</v>
      </c>
      <c r="I1443" t="n">
        <v>0.0672123277551217</v>
      </c>
      <c r="J1443" t="n">
        <v>0.1973794571732715</v>
      </c>
      <c r="K1443" t="n">
        <v>0.4083102711590535</v>
      </c>
      <c r="L1443" t="b">
        <v>0</v>
      </c>
      <c r="M1443" t="b">
        <v>0</v>
      </c>
      <c r="N1443" t="inlineStr">
        <is>
          <t>alt</t>
        </is>
      </c>
      <c r="O1443" t="n">
        <v>-25</v>
      </c>
      <c r="P1443" t="n">
        <v>0.002089</v>
      </c>
      <c r="Q1443" t="n">
        <v>-90</v>
      </c>
      <c r="R1443" t="n">
        <v>0.0202</v>
      </c>
      <c r="S1443">
        <f>IMAGE("https://mitra.stanford.edu/kundaje/oak/projects/neuro-variants/variant_position/credible/roussos_2024/variant_figures/roussos_2024.adolescence.GLU/rs12443835_count_position.png",4,220,900)</f>
        <v/>
      </c>
      <c r="T1443">
        <f>IMAGE("https://mitra.stanford.edu/kundaje/oak/projects/neuro-variants/variant_position/credible/roussos_2024/variant_figures/roussos_2024.adolescence.GLU/rs12443835_profile_position.png",4,220,900)</f>
        <v/>
      </c>
    </row>
    <row r="1444">
      <c r="A1444" t="inlineStr">
        <is>
          <t>chr16</t>
        </is>
      </c>
      <c r="B1444" t="n">
        <v>58622367</v>
      </c>
      <c r="C1444" t="inlineStr">
        <is>
          <t>G</t>
        </is>
      </c>
      <c r="D1444" t="inlineStr">
        <is>
          <t>A</t>
        </is>
      </c>
      <c r="E1444" t="inlineStr">
        <is>
          <t>rs9925537</t>
        </is>
      </c>
      <c r="F1444" t="n">
        <v>-0.00994962942</v>
      </c>
      <c r="G1444" t="n">
        <v>0.5184053995102841</v>
      </c>
      <c r="H1444" t="n">
        <v>0.0084043001207239</v>
      </c>
      <c r="I1444" t="n">
        <v>0.7217777097393857</v>
      </c>
      <c r="J1444" t="n">
        <v>0.2330697072965114</v>
      </c>
      <c r="K1444" t="n">
        <v>0.3587891283570882</v>
      </c>
      <c r="L1444" t="b">
        <v>0</v>
      </c>
      <c r="M1444" t="b">
        <v>0</v>
      </c>
      <c r="N1444" t="inlineStr">
        <is>
          <t>ref</t>
        </is>
      </c>
      <c r="O1444" t="n">
        <v>30</v>
      </c>
      <c r="P1444" t="n">
        <v>0.003567</v>
      </c>
      <c r="Q1444" t="n">
        <v>85</v>
      </c>
      <c r="R1444" t="n">
        <v>0.04102</v>
      </c>
      <c r="S1444">
        <f>IMAGE("https://mitra.stanford.edu/kundaje/oak/projects/neuro-variants/variant_position/credible/roussos_2024/variant_figures/roussos_2024.adolescence.GLU/rs9925537_count_position.png",4,220,900)</f>
        <v/>
      </c>
      <c r="T1444">
        <f>IMAGE("https://mitra.stanford.edu/kundaje/oak/projects/neuro-variants/variant_position/credible/roussos_2024/variant_figures/roussos_2024.adolescence.GLU/rs9925537_profile_position.png",4,220,900)</f>
        <v/>
      </c>
    </row>
    <row r="1445">
      <c r="A1445" t="inlineStr">
        <is>
          <t>chr16</t>
        </is>
      </c>
      <c r="B1445" t="n">
        <v>58625904</v>
      </c>
      <c r="C1445" t="inlineStr">
        <is>
          <t>G</t>
        </is>
      </c>
      <c r="D1445" t="inlineStr">
        <is>
          <t>A</t>
        </is>
      </c>
      <c r="E1445" t="inlineStr">
        <is>
          <t>rs154433</t>
        </is>
      </c>
      <c r="F1445" t="n">
        <v>0.1228195729999999</v>
      </c>
      <c r="G1445" t="n">
        <v>0.0074445953925049</v>
      </c>
      <c r="H1445" t="n">
        <v>0.0630356703179428</v>
      </c>
      <c r="I1445" t="n">
        <v>0.0010098995649059</v>
      </c>
      <c r="J1445" t="n">
        <v>0.1459859542333768</v>
      </c>
      <c r="K1445" t="n">
        <v>0.4844961736869954</v>
      </c>
      <c r="L1445" t="b">
        <v>1</v>
      </c>
      <c r="M1445" t="b">
        <v>1</v>
      </c>
      <c r="N1445" t="inlineStr">
        <is>
          <t>alt</t>
        </is>
      </c>
      <c r="O1445" t="n">
        <v>-90</v>
      </c>
      <c r="P1445" t="n">
        <v>0.02722</v>
      </c>
      <c r="Q1445" t="n">
        <v>10</v>
      </c>
      <c r="R1445" t="n">
        <v>0.008330000000000001</v>
      </c>
      <c r="S1445">
        <f>IMAGE("https://mitra.stanford.edu/kundaje/oak/projects/neuro-variants/variant_position/credible/roussos_2024/variant_figures/roussos_2024.adolescence.GLU/rs154433_count_position.png",4,220,900)</f>
        <v/>
      </c>
      <c r="T1445">
        <f>IMAGE("https://mitra.stanford.edu/kundaje/oak/projects/neuro-variants/variant_position/credible/roussos_2024/variant_figures/roussos_2024.adolescence.GLU/rs154433_profile_position.png",4,220,900)</f>
        <v/>
      </c>
    </row>
    <row r="1446">
      <c r="A1446" t="inlineStr">
        <is>
          <t>chr16</t>
        </is>
      </c>
      <c r="B1446" t="n">
        <v>63663230</v>
      </c>
      <c r="C1446" t="inlineStr">
        <is>
          <t>T</t>
        </is>
      </c>
      <c r="D1446" t="inlineStr">
        <is>
          <t>C</t>
        </is>
      </c>
      <c r="E1446" t="inlineStr">
        <is>
          <t>rs7193419</t>
        </is>
      </c>
      <c r="F1446" t="n">
        <v>-0.0045744015599999</v>
      </c>
      <c r="G1446" t="n">
        <v>0.6863313292866065</v>
      </c>
      <c r="H1446" t="n">
        <v>0.007872938534068801</v>
      </c>
      <c r="I1446" t="n">
        <v>0.7923983865228291</v>
      </c>
      <c r="J1446" t="n">
        <v>0.0183080781018924</v>
      </c>
      <c r="K1446" t="n">
        <v>0.8244453693622291</v>
      </c>
      <c r="L1446" t="b">
        <v>0</v>
      </c>
      <c r="M1446" t="b">
        <v>0</v>
      </c>
      <c r="N1446" t="inlineStr">
        <is>
          <t>ref</t>
        </is>
      </c>
      <c r="O1446" t="n">
        <v>-75</v>
      </c>
      <c r="P1446" t="n">
        <v>0.001917</v>
      </c>
      <c r="Q1446" t="n">
        <v>0</v>
      </c>
      <c r="R1446" t="n">
        <v>0</v>
      </c>
      <c r="S1446">
        <f>IMAGE("https://mitra.stanford.edu/kundaje/oak/projects/neuro-variants/variant_position/credible/roussos_2024/variant_figures/roussos_2024.adolescence.GLU/rs7193419_count_position.png",4,220,900)</f>
        <v/>
      </c>
      <c r="T1446">
        <f>IMAGE("https://mitra.stanford.edu/kundaje/oak/projects/neuro-variants/variant_position/credible/roussos_2024/variant_figures/roussos_2024.adolescence.GLU/rs7193419_profile_position.png",4,220,900)</f>
        <v/>
      </c>
    </row>
    <row r="1447">
      <c r="A1447" t="inlineStr">
        <is>
          <t>chr16</t>
        </is>
      </c>
      <c r="B1447" t="n">
        <v>63665521</v>
      </c>
      <c r="C1447" t="inlineStr">
        <is>
          <t>T</t>
        </is>
      </c>
      <c r="D1447" t="inlineStr">
        <is>
          <t>G</t>
        </is>
      </c>
      <c r="E1447" t="inlineStr">
        <is>
          <t>rs6498914</t>
        </is>
      </c>
      <c r="F1447" t="n">
        <v>-0.016841762424</v>
      </c>
      <c r="G1447" t="n">
        <v>0.3676880438478285</v>
      </c>
      <c r="H1447" t="n">
        <v>0.0230372855684987</v>
      </c>
      <c r="I1447" t="n">
        <v>0.0303214443377933</v>
      </c>
      <c r="J1447" t="n">
        <v>0.185266948153546</v>
      </c>
      <c r="K1447" t="n">
        <v>0.412748125049414</v>
      </c>
      <c r="L1447" t="b">
        <v>0</v>
      </c>
      <c r="M1447" t="b">
        <v>0</v>
      </c>
      <c r="N1447" t="inlineStr">
        <is>
          <t>ref</t>
        </is>
      </c>
      <c r="O1447" t="n">
        <v>60</v>
      </c>
      <c r="P1447" t="n">
        <v>0.01107</v>
      </c>
      <c r="Q1447" t="n">
        <v>95</v>
      </c>
      <c r="R1447" t="n">
        <v>0.1349</v>
      </c>
      <c r="S1447">
        <f>IMAGE("https://mitra.stanford.edu/kundaje/oak/projects/neuro-variants/variant_position/credible/roussos_2024/variant_figures/roussos_2024.adolescence.GLU/rs6498914_count_position.png",4,220,900)</f>
        <v/>
      </c>
      <c r="T1447">
        <f>IMAGE("https://mitra.stanford.edu/kundaje/oak/projects/neuro-variants/variant_position/credible/roussos_2024/variant_figures/roussos_2024.adolescence.GLU/rs6498914_profile_position.png",4,220,900)</f>
        <v/>
      </c>
    </row>
    <row r="1448">
      <c r="A1448" t="inlineStr">
        <is>
          <t>chr16</t>
        </is>
      </c>
      <c r="B1448" t="n">
        <v>63667853</v>
      </c>
      <c r="C1448" t="inlineStr">
        <is>
          <t>T</t>
        </is>
      </c>
      <c r="D1448" t="inlineStr">
        <is>
          <t>C</t>
        </is>
      </c>
      <c r="E1448" t="inlineStr">
        <is>
          <t>rs4353494</t>
        </is>
      </c>
      <c r="F1448" t="n">
        <v>0.0301153917999999</v>
      </c>
      <c r="G1448" t="n">
        <v>0.1700630287548551</v>
      </c>
      <c r="H1448" t="n">
        <v>0.0165054597718535</v>
      </c>
      <c r="I1448" t="n">
        <v>0.1219197970982866</v>
      </c>
      <c r="J1448" t="n">
        <v>0.043736202499089</v>
      </c>
      <c r="K1448" t="n">
        <v>0.7187765648089526</v>
      </c>
      <c r="L1448" t="b">
        <v>0</v>
      </c>
      <c r="M1448" t="b">
        <v>0</v>
      </c>
      <c r="N1448" t="inlineStr">
        <is>
          <t>alt</t>
        </is>
      </c>
      <c r="O1448" t="n">
        <v>-100</v>
      </c>
      <c r="P1448" t="n">
        <v>0.009094</v>
      </c>
      <c r="Q1448" t="n">
        <v>-100</v>
      </c>
      <c r="R1448" t="n">
        <v>0.051</v>
      </c>
      <c r="S1448">
        <f>IMAGE("https://mitra.stanford.edu/kundaje/oak/projects/neuro-variants/variant_position/credible/roussos_2024/variant_figures/roussos_2024.adolescence.GLU/rs4353494_count_position.png",4,220,900)</f>
        <v/>
      </c>
      <c r="T1448">
        <f>IMAGE("https://mitra.stanford.edu/kundaje/oak/projects/neuro-variants/variant_position/credible/roussos_2024/variant_figures/roussos_2024.adolescence.GLU/rs4353494_profile_position.png",4,220,900)</f>
        <v/>
      </c>
    </row>
    <row r="1449">
      <c r="A1449" t="inlineStr">
        <is>
          <t>chr16</t>
        </is>
      </c>
      <c r="B1449" t="n">
        <v>63674238</v>
      </c>
      <c r="C1449" t="inlineStr">
        <is>
          <t>C</t>
        </is>
      </c>
      <c r="D1449" t="inlineStr">
        <is>
          <t>T</t>
        </is>
      </c>
      <c r="E1449" t="inlineStr">
        <is>
          <t>rs10775297</t>
        </is>
      </c>
      <c r="F1449" t="n">
        <v>-0.016080112508</v>
      </c>
      <c r="G1449" t="n">
        <v>0.3687907155263881</v>
      </c>
      <c r="H1449" t="n">
        <v>0.0069656592780162</v>
      </c>
      <c r="I1449" t="n">
        <v>0.9074121323372792</v>
      </c>
      <c r="J1449" t="n">
        <v>0.08305577583928089</v>
      </c>
      <c r="K1449" t="n">
        <v>0.6169396627307179</v>
      </c>
      <c r="L1449" t="b">
        <v>0</v>
      </c>
      <c r="M1449" t="b">
        <v>0</v>
      </c>
      <c r="N1449" t="inlineStr">
        <is>
          <t>ref</t>
        </is>
      </c>
      <c r="O1449" t="n">
        <v>-85</v>
      </c>
      <c r="P1449" t="n">
        <v>0.02223</v>
      </c>
      <c r="Q1449" t="n">
        <v>70</v>
      </c>
      <c r="R1449" t="n">
        <v>0.03482</v>
      </c>
      <c r="S1449">
        <f>IMAGE("https://mitra.stanford.edu/kundaje/oak/projects/neuro-variants/variant_position/credible/roussos_2024/variant_figures/roussos_2024.adolescence.GLU/rs10775297_count_position.png",4,220,900)</f>
        <v/>
      </c>
      <c r="T1449">
        <f>IMAGE("https://mitra.stanford.edu/kundaje/oak/projects/neuro-variants/variant_position/credible/roussos_2024/variant_figures/roussos_2024.adolescence.GLU/rs10775297_profile_position.png",4,220,900)</f>
        <v/>
      </c>
    </row>
    <row r="1450">
      <c r="A1450" t="inlineStr">
        <is>
          <t>chr16</t>
        </is>
      </c>
      <c r="B1450" t="n">
        <v>63675908</v>
      </c>
      <c r="C1450" t="inlineStr">
        <is>
          <t>G</t>
        </is>
      </c>
      <c r="D1450" t="inlineStr">
        <is>
          <t>A</t>
        </is>
      </c>
      <c r="E1450" t="inlineStr">
        <is>
          <t>rs12933055</t>
        </is>
      </c>
      <c r="F1450" t="n">
        <v>-0.08674492860000001</v>
      </c>
      <c r="G1450" t="n">
        <v>0.011668077478775</v>
      </c>
      <c r="H1450" t="n">
        <v>0.0166561716892114</v>
      </c>
      <c r="I1450" t="n">
        <v>0.1108514860166657</v>
      </c>
      <c r="J1450" t="n">
        <v>0.1125804630959269</v>
      </c>
      <c r="K1450" t="n">
        <v>0.5526926339038184</v>
      </c>
      <c r="L1450" t="b">
        <v>1</v>
      </c>
      <c r="M1450" t="b">
        <v>0</v>
      </c>
      <c r="N1450" t="inlineStr">
        <is>
          <t>ref</t>
        </is>
      </c>
      <c r="O1450" t="n">
        <v>20</v>
      </c>
      <c r="P1450" t="n">
        <v>0.00415</v>
      </c>
      <c r="Q1450" t="n">
        <v>-85</v>
      </c>
      <c r="R1450" t="n">
        <v>0.08935999999999999</v>
      </c>
      <c r="S1450">
        <f>IMAGE("https://mitra.stanford.edu/kundaje/oak/projects/neuro-variants/variant_position/credible/roussos_2024/variant_figures/roussos_2024.adolescence.GLU/rs12933055_count_position.png",4,220,900)</f>
        <v/>
      </c>
      <c r="T1450">
        <f>IMAGE("https://mitra.stanford.edu/kundaje/oak/projects/neuro-variants/variant_position/credible/roussos_2024/variant_figures/roussos_2024.adolescence.GLU/rs12933055_profile_position.png",4,220,900)</f>
        <v/>
      </c>
    </row>
    <row r="1451">
      <c r="A1451" t="inlineStr">
        <is>
          <t>chr16</t>
        </is>
      </c>
      <c r="B1451" t="n">
        <v>64258586</v>
      </c>
      <c r="C1451" t="inlineStr">
        <is>
          <t>T</t>
        </is>
      </c>
      <c r="D1451" t="inlineStr">
        <is>
          <t>C</t>
        </is>
      </c>
      <c r="E1451" t="inlineStr">
        <is>
          <t>rs2926123</t>
        </is>
      </c>
      <c r="F1451" t="n">
        <v>0.0002469530259999</v>
      </c>
      <c r="G1451" t="n">
        <v>0.795427152197849</v>
      </c>
      <c r="H1451" t="n">
        <v>0.0121221365029665</v>
      </c>
      <c r="I1451" t="n">
        <v>0.3141658332291666</v>
      </c>
      <c r="J1451" t="n">
        <v>0.0458109179758663</v>
      </c>
      <c r="K1451" t="n">
        <v>0.7154488468649558</v>
      </c>
      <c r="L1451" t="b">
        <v>0</v>
      </c>
      <c r="M1451" t="b">
        <v>0</v>
      </c>
      <c r="N1451" t="inlineStr">
        <is>
          <t>alt</t>
        </is>
      </c>
      <c r="O1451" t="n">
        <v>-50</v>
      </c>
      <c r="P1451" t="n">
        <v>0.01875</v>
      </c>
      <c r="Q1451" t="n">
        <v>-20</v>
      </c>
      <c r="R1451" t="n">
        <v>0.01123</v>
      </c>
      <c r="S1451">
        <f>IMAGE("https://mitra.stanford.edu/kundaje/oak/projects/neuro-variants/variant_position/credible/roussos_2024/variant_figures/roussos_2024.adolescence.GLU/rs2926123_count_position.png",4,220,900)</f>
        <v/>
      </c>
      <c r="T1451">
        <f>IMAGE("https://mitra.stanford.edu/kundaje/oak/projects/neuro-variants/variant_position/credible/roussos_2024/variant_figures/roussos_2024.adolescence.GLU/rs2926123_profile_position.png",4,220,900)</f>
        <v/>
      </c>
    </row>
    <row r="1452">
      <c r="A1452" t="inlineStr">
        <is>
          <t>chr16</t>
        </is>
      </c>
      <c r="B1452" t="n">
        <v>64263093</v>
      </c>
      <c r="C1452" t="inlineStr">
        <is>
          <t>C</t>
        </is>
      </c>
      <c r="D1452" t="inlineStr">
        <is>
          <t>A</t>
        </is>
      </c>
      <c r="E1452" t="inlineStr">
        <is>
          <t>rs2917686</t>
        </is>
      </c>
      <c r="F1452" t="n">
        <v>-0.00839946246</v>
      </c>
      <c r="G1452" t="n">
        <v>0.6046413356575827</v>
      </c>
      <c r="H1452" t="n">
        <v>0.0078878744324077</v>
      </c>
      <c r="I1452" t="n">
        <v>0.8103535588335185</v>
      </c>
      <c r="J1452" t="n">
        <v>0.1404762415071692</v>
      </c>
      <c r="K1452" t="n">
        <v>0.4959136248491905</v>
      </c>
      <c r="L1452" t="b">
        <v>0</v>
      </c>
      <c r="M1452" t="b">
        <v>0</v>
      </c>
      <c r="N1452" t="inlineStr">
        <is>
          <t>ref</t>
        </is>
      </c>
      <c r="O1452" t="n">
        <v>50</v>
      </c>
      <c r="P1452" t="n">
        <v>0.002449</v>
      </c>
      <c r="Q1452" t="n">
        <v>-100</v>
      </c>
      <c r="R1452" t="n">
        <v>0.02844</v>
      </c>
      <c r="S1452">
        <f>IMAGE("https://mitra.stanford.edu/kundaje/oak/projects/neuro-variants/variant_position/credible/roussos_2024/variant_figures/roussos_2024.adolescence.GLU/rs2917686_count_position.png",4,220,900)</f>
        <v/>
      </c>
      <c r="T1452">
        <f>IMAGE("https://mitra.stanford.edu/kundaje/oak/projects/neuro-variants/variant_position/credible/roussos_2024/variant_figures/roussos_2024.adolescence.GLU/rs2917686_profile_position.png",4,220,900)</f>
        <v/>
      </c>
    </row>
    <row r="1453">
      <c r="A1453" t="inlineStr">
        <is>
          <t>chr16</t>
        </is>
      </c>
      <c r="B1453" t="n">
        <v>64263270</v>
      </c>
      <c r="C1453" t="inlineStr">
        <is>
          <t>G</t>
        </is>
      </c>
      <c r="D1453" t="inlineStr">
        <is>
          <t>A</t>
        </is>
      </c>
      <c r="E1453" t="inlineStr">
        <is>
          <t>rs2917688</t>
        </is>
      </c>
      <c r="F1453" t="n">
        <v>-0.0134969316</v>
      </c>
      <c r="G1453" t="n">
        <v>0.4249129627922856</v>
      </c>
      <c r="H1453" t="n">
        <v>0.0095439666835759</v>
      </c>
      <c r="I1453" t="n">
        <v>0.5760974985432575</v>
      </c>
      <c r="J1453" t="n">
        <v>0.1087768180551685</v>
      </c>
      <c r="K1453" t="n">
        <v>0.5554806704559079</v>
      </c>
      <c r="L1453" t="b">
        <v>0</v>
      </c>
      <c r="M1453" t="b">
        <v>0</v>
      </c>
      <c r="N1453" t="inlineStr">
        <is>
          <t>ref</t>
        </is>
      </c>
      <c r="O1453" t="n">
        <v>-100</v>
      </c>
      <c r="P1453" t="n">
        <v>0.002281</v>
      </c>
      <c r="Q1453" t="n">
        <v>20</v>
      </c>
      <c r="R1453" t="n">
        <v>0.02472</v>
      </c>
      <c r="S1453">
        <f>IMAGE("https://mitra.stanford.edu/kundaje/oak/projects/neuro-variants/variant_position/credible/roussos_2024/variant_figures/roussos_2024.adolescence.GLU/rs2917688_count_position.png",4,220,900)</f>
        <v/>
      </c>
      <c r="T1453">
        <f>IMAGE("https://mitra.stanford.edu/kundaje/oak/projects/neuro-variants/variant_position/credible/roussos_2024/variant_figures/roussos_2024.adolescence.GLU/rs2917688_profile_position.png",4,220,900)</f>
        <v/>
      </c>
    </row>
    <row r="1454">
      <c r="A1454" t="inlineStr">
        <is>
          <t>chr16</t>
        </is>
      </c>
      <c r="B1454" t="n">
        <v>64265570</v>
      </c>
      <c r="C1454" t="inlineStr">
        <is>
          <t>G</t>
        </is>
      </c>
      <c r="D1454" t="inlineStr">
        <is>
          <t>A</t>
        </is>
      </c>
      <c r="E1454" t="inlineStr">
        <is>
          <t>rs2917696</t>
        </is>
      </c>
      <c r="F1454" t="n">
        <v>-0.0119372555199999</v>
      </c>
      <c r="G1454" t="n">
        <v>0.471540441445393</v>
      </c>
      <c r="H1454" t="n">
        <v>0.0069110379774948</v>
      </c>
      <c r="I1454" t="n">
        <v>0.9038688943841092</v>
      </c>
      <c r="J1454" t="n">
        <v>0.0073000835887433</v>
      </c>
      <c r="K1454" t="n">
        <v>0.901761284245962</v>
      </c>
      <c r="L1454" t="b">
        <v>0</v>
      </c>
      <c r="M1454" t="b">
        <v>0</v>
      </c>
      <c r="N1454" t="inlineStr">
        <is>
          <t>ref</t>
        </is>
      </c>
      <c r="O1454" t="n">
        <v>-90</v>
      </c>
      <c r="P1454" t="n">
        <v>0.0105</v>
      </c>
      <c r="Q1454" t="n">
        <v>-70</v>
      </c>
      <c r="R1454" t="n">
        <v>0.01417</v>
      </c>
      <c r="S1454">
        <f>IMAGE("https://mitra.stanford.edu/kundaje/oak/projects/neuro-variants/variant_position/credible/roussos_2024/variant_figures/roussos_2024.adolescence.GLU/rs2917696_count_position.png",4,220,900)</f>
        <v/>
      </c>
      <c r="T1454">
        <f>IMAGE("https://mitra.stanford.edu/kundaje/oak/projects/neuro-variants/variant_position/credible/roussos_2024/variant_figures/roussos_2024.adolescence.GLU/rs2917696_profile_position.png",4,220,900)</f>
        <v/>
      </c>
    </row>
    <row r="1455">
      <c r="A1455" t="inlineStr">
        <is>
          <t>chr16</t>
        </is>
      </c>
      <c r="B1455" t="n">
        <v>64313247</v>
      </c>
      <c r="C1455" t="inlineStr">
        <is>
          <t>G</t>
        </is>
      </c>
      <c r="D1455" t="inlineStr">
        <is>
          <t>A</t>
        </is>
      </c>
      <c r="E1455" t="inlineStr">
        <is>
          <t>rs12921977</t>
        </is>
      </c>
      <c r="F1455" t="n">
        <v>-0.0178594000799999</v>
      </c>
      <c r="G1455" t="n">
        <v>0.3619210525869245</v>
      </c>
      <c r="H1455" t="n">
        <v>0.013440148557124</v>
      </c>
      <c r="I1455" t="n">
        <v>0.2331971567194111</v>
      </c>
      <c r="J1455" t="n">
        <v>0.1088982717848696</v>
      </c>
      <c r="K1455" t="n">
        <v>0.5550726732079925</v>
      </c>
      <c r="L1455" t="b">
        <v>0</v>
      </c>
      <c r="M1455" t="b">
        <v>0</v>
      </c>
      <c r="N1455" t="inlineStr">
        <is>
          <t>ref</t>
        </is>
      </c>
      <c r="O1455" t="n">
        <v>85</v>
      </c>
      <c r="P1455" t="n">
        <v>0.002407</v>
      </c>
      <c r="Q1455" t="n">
        <v>75</v>
      </c>
      <c r="R1455" t="n">
        <v>0.07434</v>
      </c>
      <c r="S1455">
        <f>IMAGE("https://mitra.stanford.edu/kundaje/oak/projects/neuro-variants/variant_position/credible/roussos_2024/variant_figures/roussos_2024.adolescence.GLU/rs12921977_count_position.png",4,220,900)</f>
        <v/>
      </c>
      <c r="T1455">
        <f>IMAGE("https://mitra.stanford.edu/kundaje/oak/projects/neuro-variants/variant_position/credible/roussos_2024/variant_figures/roussos_2024.adolescence.GLU/rs12921977_profile_position.png",4,220,900)</f>
        <v/>
      </c>
    </row>
    <row r="1456">
      <c r="A1456" t="inlineStr">
        <is>
          <t>chr16</t>
        </is>
      </c>
      <c r="B1456" t="n">
        <v>64337259</v>
      </c>
      <c r="C1456" t="inlineStr">
        <is>
          <t>G</t>
        </is>
      </c>
      <c r="D1456" t="inlineStr">
        <is>
          <t>A</t>
        </is>
      </c>
      <c r="E1456" t="inlineStr">
        <is>
          <t>rs8058130</t>
        </is>
      </c>
      <c r="F1456" t="n">
        <v>-0.006798505788</v>
      </c>
      <c r="G1456" t="n">
        <v>0.6580018076325052</v>
      </c>
      <c r="H1456" t="n">
        <v>0.0147002678521621</v>
      </c>
      <c r="I1456" t="n">
        <v>0.1833118075582124</v>
      </c>
      <c r="J1456" t="n">
        <v>0.0529152467296796</v>
      </c>
      <c r="K1456" t="n">
        <v>0.6938299083684015</v>
      </c>
      <c r="L1456" t="b">
        <v>0</v>
      </c>
      <c r="M1456" t="b">
        <v>0</v>
      </c>
      <c r="N1456" t="inlineStr">
        <is>
          <t>ref</t>
        </is>
      </c>
      <c r="O1456" t="n">
        <v>-65</v>
      </c>
      <c r="P1456" t="n">
        <v>0.001789</v>
      </c>
      <c r="Q1456" t="n">
        <v>15</v>
      </c>
      <c r="R1456" t="n">
        <v>0.015076</v>
      </c>
      <c r="S1456">
        <f>IMAGE("https://mitra.stanford.edu/kundaje/oak/projects/neuro-variants/variant_position/credible/roussos_2024/variant_figures/roussos_2024.adolescence.GLU/rs8058130_count_position.png",4,220,900)</f>
        <v/>
      </c>
      <c r="T1456">
        <f>IMAGE("https://mitra.stanford.edu/kundaje/oak/projects/neuro-variants/variant_position/credible/roussos_2024/variant_figures/roussos_2024.adolescence.GLU/rs8058130_profile_position.png",4,220,900)</f>
        <v/>
      </c>
    </row>
    <row r="1457">
      <c r="A1457" t="inlineStr">
        <is>
          <t>chr16</t>
        </is>
      </c>
      <c r="B1457" t="n">
        <v>64340633</v>
      </c>
      <c r="C1457" t="inlineStr">
        <is>
          <t>G</t>
        </is>
      </c>
      <c r="D1457" t="inlineStr">
        <is>
          <t>T</t>
        </is>
      </c>
      <c r="E1457" t="inlineStr">
        <is>
          <t>rs934655</t>
        </is>
      </c>
      <c r="F1457" t="n">
        <v>0.02271751424</v>
      </c>
      <c r="G1457" t="n">
        <v>0.2543415413539363</v>
      </c>
      <c r="H1457" t="n">
        <v>0.0289955343773834</v>
      </c>
      <c r="I1457" t="n">
        <v>0.0102776910853463</v>
      </c>
      <c r="J1457" t="n">
        <v>0.0205228225846781</v>
      </c>
      <c r="K1457" t="n">
        <v>0.814719235873537</v>
      </c>
      <c r="L1457" t="b">
        <v>1</v>
      </c>
      <c r="M1457" t="b">
        <v>0</v>
      </c>
      <c r="N1457" t="inlineStr">
        <is>
          <t>alt</t>
        </is>
      </c>
      <c r="O1457" t="n">
        <v>70</v>
      </c>
      <c r="P1457" t="n">
        <v>0.006927</v>
      </c>
      <c r="Q1457" t="n">
        <v>5</v>
      </c>
      <c r="R1457" t="n">
        <v>0.010864</v>
      </c>
      <c r="S1457">
        <f>IMAGE("https://mitra.stanford.edu/kundaje/oak/projects/neuro-variants/variant_position/credible/roussos_2024/variant_figures/roussos_2024.adolescence.GLU/rs934655_count_position.png",4,220,900)</f>
        <v/>
      </c>
      <c r="T1457">
        <f>IMAGE("https://mitra.stanford.edu/kundaje/oak/projects/neuro-variants/variant_position/credible/roussos_2024/variant_figures/roussos_2024.adolescence.GLU/rs934655_profile_position.png",4,220,900)</f>
        <v/>
      </c>
    </row>
    <row r="1458">
      <c r="A1458" t="inlineStr">
        <is>
          <t>chr16</t>
        </is>
      </c>
      <c r="B1458" t="n">
        <v>65343295</v>
      </c>
      <c r="C1458" t="inlineStr">
        <is>
          <t>C</t>
        </is>
      </c>
      <c r="D1458" t="inlineStr">
        <is>
          <t>T</t>
        </is>
      </c>
      <c r="E1458" t="inlineStr">
        <is>
          <t>rs4785823</t>
        </is>
      </c>
      <c r="F1458" t="n">
        <v>-0.0595944134</v>
      </c>
      <c r="G1458" t="n">
        <v>0.0422625068359168</v>
      </c>
      <c r="H1458" t="n">
        <v>0.0114466079465898</v>
      </c>
      <c r="I1458" t="n">
        <v>0.3515823976684655</v>
      </c>
      <c r="J1458" t="n">
        <v>0.1777553921883818</v>
      </c>
      <c r="K1458" t="n">
        <v>0.4284945498228966</v>
      </c>
      <c r="L1458" t="b">
        <v>0</v>
      </c>
      <c r="M1458" t="b">
        <v>0</v>
      </c>
      <c r="N1458" t="inlineStr">
        <is>
          <t>ref</t>
        </is>
      </c>
      <c r="O1458" t="n">
        <v>-100</v>
      </c>
      <c r="P1458" t="n">
        <v>0.00874</v>
      </c>
      <c r="Q1458" t="n">
        <v>100</v>
      </c>
      <c r="R1458" t="n">
        <v>0.05276</v>
      </c>
      <c r="S1458">
        <f>IMAGE("https://mitra.stanford.edu/kundaje/oak/projects/neuro-variants/variant_position/credible/roussos_2024/variant_figures/roussos_2024.adolescence.GLU/rs4785823_count_position.png",4,220,900)</f>
        <v/>
      </c>
      <c r="T1458">
        <f>IMAGE("https://mitra.stanford.edu/kundaje/oak/projects/neuro-variants/variant_position/credible/roussos_2024/variant_figures/roussos_2024.adolescence.GLU/rs4785823_profile_position.png",4,220,900)</f>
        <v/>
      </c>
    </row>
    <row r="1459">
      <c r="A1459" t="inlineStr">
        <is>
          <t>chr16</t>
        </is>
      </c>
      <c r="B1459" t="n">
        <v>66718992</v>
      </c>
      <c r="C1459" t="inlineStr">
        <is>
          <t>A</t>
        </is>
      </c>
      <c r="D1459" t="inlineStr">
        <is>
          <t>G</t>
        </is>
      </c>
      <c r="E1459" t="inlineStr">
        <is>
          <t>rs7196496</t>
        </is>
      </c>
      <c r="F1459" t="n">
        <v>0.0115779542599999</v>
      </c>
      <c r="G1459" t="n">
        <v>0.4594268885356035</v>
      </c>
      <c r="H1459" t="n">
        <v>0.0176384952995218</v>
      </c>
      <c r="I1459" t="n">
        <v>0.093176202489291</v>
      </c>
      <c r="J1459" t="n">
        <v>0.092914960956198</v>
      </c>
      <c r="K1459" t="n">
        <v>0.5985686033708419</v>
      </c>
      <c r="L1459" t="b">
        <v>0</v>
      </c>
      <c r="M1459" t="b">
        <v>0</v>
      </c>
      <c r="N1459" t="inlineStr">
        <is>
          <t>alt</t>
        </is>
      </c>
      <c r="O1459" t="n">
        <v>65</v>
      </c>
      <c r="P1459" t="n">
        <v>0.08373999999999999</v>
      </c>
      <c r="Q1459" t="n">
        <v>35</v>
      </c>
      <c r="R1459" t="n">
        <v>0.0224</v>
      </c>
      <c r="S1459">
        <f>IMAGE("https://mitra.stanford.edu/kundaje/oak/projects/neuro-variants/variant_position/credible/roussos_2024/variant_figures/roussos_2024.adolescence.GLU/rs7196496_count_position.png",4,220,900)</f>
        <v/>
      </c>
      <c r="T1459">
        <f>IMAGE("https://mitra.stanford.edu/kundaje/oak/projects/neuro-variants/variant_position/credible/roussos_2024/variant_figures/roussos_2024.adolescence.GLU/rs7196496_profile_position.png",4,220,900)</f>
        <v/>
      </c>
    </row>
    <row r="1460">
      <c r="A1460" t="inlineStr">
        <is>
          <t>chr16</t>
        </is>
      </c>
      <c r="B1460" t="n">
        <v>66724067</v>
      </c>
      <c r="C1460" t="inlineStr">
        <is>
          <t>G</t>
        </is>
      </c>
      <c r="D1460" t="inlineStr">
        <is>
          <t>A</t>
        </is>
      </c>
      <c r="E1460" t="inlineStr">
        <is>
          <t>rs11862377</t>
        </is>
      </c>
      <c r="F1460" t="n">
        <v>-0.07206826199999999</v>
      </c>
      <c r="G1460" t="n">
        <v>0.022724957895782</v>
      </c>
      <c r="H1460" t="n">
        <v>0.017860755279012</v>
      </c>
      <c r="I1460" t="n">
        <v>0.0897310943328077</v>
      </c>
      <c r="J1460" t="n">
        <v>0.2191053861156953</v>
      </c>
      <c r="K1460" t="n">
        <v>0.3742405360223936</v>
      </c>
      <c r="L1460" t="b">
        <v>0</v>
      </c>
      <c r="M1460" t="b">
        <v>0</v>
      </c>
      <c r="N1460" t="inlineStr">
        <is>
          <t>ref</t>
        </is>
      </c>
      <c r="O1460" t="n">
        <v>-100</v>
      </c>
      <c r="P1460" t="n">
        <v>0.05112</v>
      </c>
      <c r="Q1460" t="n">
        <v>-75</v>
      </c>
      <c r="R1460" t="n">
        <v>0.02126</v>
      </c>
      <c r="S1460">
        <f>IMAGE("https://mitra.stanford.edu/kundaje/oak/projects/neuro-variants/variant_position/credible/roussos_2024/variant_figures/roussos_2024.adolescence.GLU/rs11862377_count_position.png",4,220,900)</f>
        <v/>
      </c>
      <c r="T1460">
        <f>IMAGE("https://mitra.stanford.edu/kundaje/oak/projects/neuro-variants/variant_position/credible/roussos_2024/variant_figures/roussos_2024.adolescence.GLU/rs11862377_profile_position.png",4,220,900)</f>
        <v/>
      </c>
    </row>
    <row r="1461">
      <c r="A1461" t="inlineStr">
        <is>
          <t>chr16</t>
        </is>
      </c>
      <c r="B1461" t="n">
        <v>66749462</v>
      </c>
      <c r="C1461" t="inlineStr">
        <is>
          <t>C</t>
        </is>
      </c>
      <c r="D1461" t="inlineStr">
        <is>
          <t>T</t>
        </is>
      </c>
      <c r="E1461" t="inlineStr">
        <is>
          <t>rs13329803</t>
        </is>
      </c>
      <c r="F1461" t="n">
        <v>-0.0164801768</v>
      </c>
      <c r="G1461" t="n">
        <v>0.3676268764761319</v>
      </c>
      <c r="H1461" t="n">
        <v>0.0076919748183312</v>
      </c>
      <c r="I1461" t="n">
        <v>0.8333023517886023</v>
      </c>
      <c r="J1461" t="n">
        <v>0.1761136235363039</v>
      </c>
      <c r="K1461" t="n">
        <v>0.4380805829018225</v>
      </c>
      <c r="L1461" t="b">
        <v>0</v>
      </c>
      <c r="M1461" t="b">
        <v>0</v>
      </c>
      <c r="N1461" t="inlineStr">
        <is>
          <t>ref</t>
        </is>
      </c>
      <c r="O1461" t="n">
        <v>100</v>
      </c>
      <c r="P1461" t="n">
        <v>0.01023</v>
      </c>
      <c r="Q1461" t="n">
        <v>-80</v>
      </c>
      <c r="R1461" t="n">
        <v>0.01782</v>
      </c>
      <c r="S1461">
        <f>IMAGE("https://mitra.stanford.edu/kundaje/oak/projects/neuro-variants/variant_position/credible/roussos_2024/variant_figures/roussos_2024.adolescence.GLU/rs13329803_count_position.png",4,220,900)</f>
        <v/>
      </c>
      <c r="T1461">
        <f>IMAGE("https://mitra.stanford.edu/kundaje/oak/projects/neuro-variants/variant_position/credible/roussos_2024/variant_figures/roussos_2024.adolescence.GLU/rs13329803_profile_position.png",4,220,900)</f>
        <v/>
      </c>
    </row>
    <row r="1462">
      <c r="A1462" t="inlineStr">
        <is>
          <t>chr16</t>
        </is>
      </c>
      <c r="B1462" t="n">
        <v>66751701</v>
      </c>
      <c r="C1462" t="inlineStr">
        <is>
          <t>C</t>
        </is>
      </c>
      <c r="D1462" t="inlineStr">
        <is>
          <t>A</t>
        </is>
      </c>
      <c r="E1462" t="inlineStr">
        <is>
          <t>rs9929143</t>
        </is>
      </c>
      <c r="F1462" t="n">
        <v>0.00374680538</v>
      </c>
      <c r="G1462" t="n">
        <v>0.6083720621899974</v>
      </c>
      <c r="H1462" t="n">
        <v>0.0313225256420301</v>
      </c>
      <c r="I1462" t="n">
        <v>0.009102144906668899</v>
      </c>
      <c r="J1462" t="n">
        <v>0.7824577948289289</v>
      </c>
      <c r="K1462" t="n">
        <v>0.008607279895543401</v>
      </c>
      <c r="L1462" t="b">
        <v>1</v>
      </c>
      <c r="M1462" t="b">
        <v>1</v>
      </c>
      <c r="N1462" t="inlineStr">
        <is>
          <t>alt</t>
        </is>
      </c>
      <c r="O1462" t="n">
        <v>55</v>
      </c>
      <c r="P1462" t="n">
        <v>0.04108</v>
      </c>
      <c r="Q1462" t="n">
        <v>95</v>
      </c>
      <c r="R1462" t="n">
        <v>0.17</v>
      </c>
      <c r="S1462">
        <f>IMAGE("https://mitra.stanford.edu/kundaje/oak/projects/neuro-variants/variant_position/credible/roussos_2024/variant_figures/roussos_2024.adolescence.GLU/rs9929143_count_position.png",4,220,900)</f>
        <v/>
      </c>
      <c r="T1462">
        <f>IMAGE("https://mitra.stanford.edu/kundaje/oak/projects/neuro-variants/variant_position/credible/roussos_2024/variant_figures/roussos_2024.adolescence.GLU/rs9929143_profile_position.png",4,220,900)</f>
        <v/>
      </c>
    </row>
    <row r="1463">
      <c r="A1463" t="inlineStr">
        <is>
          <t>chr16</t>
        </is>
      </c>
      <c r="B1463" t="n">
        <v>66772160</v>
      </c>
      <c r="C1463" t="inlineStr">
        <is>
          <t>A</t>
        </is>
      </c>
      <c r="D1463" t="inlineStr">
        <is>
          <t>C</t>
        </is>
      </c>
      <c r="E1463" t="inlineStr">
        <is>
          <t>rs75228693</t>
        </is>
      </c>
      <c r="F1463" t="n">
        <v>1.28336879999999e-05</v>
      </c>
      <c r="G1463" t="n">
        <v>0.8213173614615864</v>
      </c>
      <c r="H1463" t="n">
        <v>0.0381138532388296</v>
      </c>
      <c r="I1463" t="n">
        <v>0.0031790932657259</v>
      </c>
      <c r="J1463" t="n">
        <v>0.0072014917375741</v>
      </c>
      <c r="K1463" t="n">
        <v>0.8981677798992153</v>
      </c>
      <c r="L1463" t="b">
        <v>0</v>
      </c>
      <c r="M1463" t="b">
        <v>0</v>
      </c>
      <c r="N1463" t="inlineStr">
        <is>
          <t>alt</t>
        </is>
      </c>
      <c r="O1463" t="n">
        <v>-85</v>
      </c>
      <c r="P1463" t="n">
        <v>0.006035</v>
      </c>
      <c r="Q1463" t="n">
        <v>60</v>
      </c>
      <c r="R1463" t="n">
        <v>0.02652</v>
      </c>
      <c r="S1463">
        <f>IMAGE("https://mitra.stanford.edu/kundaje/oak/projects/neuro-variants/variant_position/credible/roussos_2024/variant_figures/roussos_2024.adolescence.GLU/rs75228693_count_position.png",4,220,900)</f>
        <v/>
      </c>
      <c r="T1463">
        <f>IMAGE("https://mitra.stanford.edu/kundaje/oak/projects/neuro-variants/variant_position/credible/roussos_2024/variant_figures/roussos_2024.adolescence.GLU/rs75228693_profile_position.png",4,220,900)</f>
        <v/>
      </c>
    </row>
    <row r="1464">
      <c r="A1464" t="inlineStr">
        <is>
          <t>chr16</t>
        </is>
      </c>
      <c r="B1464" t="n">
        <v>66857678</v>
      </c>
      <c r="C1464" t="inlineStr">
        <is>
          <t>C</t>
        </is>
      </c>
      <c r="D1464" t="inlineStr">
        <is>
          <t>T</t>
        </is>
      </c>
      <c r="E1464" t="inlineStr">
        <is>
          <t>rs16957058</t>
        </is>
      </c>
      <c r="F1464" t="n">
        <v>-0.0306563978</v>
      </c>
      <c r="G1464" t="n">
        <v>0.1752930738167736</v>
      </c>
      <c r="H1464" t="n">
        <v>0.0109506750641838</v>
      </c>
      <c r="I1464" t="n">
        <v>0.4296034361611637</v>
      </c>
      <c r="J1464" t="n">
        <v>0.1915325317387172</v>
      </c>
      <c r="K1464" t="n">
        <v>0.4180990201431998</v>
      </c>
      <c r="L1464" t="b">
        <v>0</v>
      </c>
      <c r="M1464" t="b">
        <v>0</v>
      </c>
      <c r="N1464" t="inlineStr">
        <is>
          <t>ref</t>
        </is>
      </c>
      <c r="O1464" t="n">
        <v>95</v>
      </c>
      <c r="P1464" t="n">
        <v>0.00328</v>
      </c>
      <c r="Q1464" t="n">
        <v>-25</v>
      </c>
      <c r="R1464" t="n">
        <v>0.02615</v>
      </c>
      <c r="S1464">
        <f>IMAGE("https://mitra.stanford.edu/kundaje/oak/projects/neuro-variants/variant_position/credible/roussos_2024/variant_figures/roussos_2024.adolescence.GLU/rs16957058_count_position.png",4,220,900)</f>
        <v/>
      </c>
      <c r="T1464">
        <f>IMAGE("https://mitra.stanford.edu/kundaje/oak/projects/neuro-variants/variant_position/credible/roussos_2024/variant_figures/roussos_2024.adolescence.GLU/rs16957058_profile_position.png",4,220,900)</f>
        <v/>
      </c>
    </row>
    <row r="1465">
      <c r="A1465" t="inlineStr">
        <is>
          <t>chr16</t>
        </is>
      </c>
      <c r="B1465" t="n">
        <v>66860753</v>
      </c>
      <c r="C1465" t="inlineStr">
        <is>
          <t>T</t>
        </is>
      </c>
      <c r="D1465" t="inlineStr">
        <is>
          <t>C</t>
        </is>
      </c>
      <c r="E1465" t="inlineStr">
        <is>
          <t>rs3026093</t>
        </is>
      </c>
      <c r="F1465" t="n">
        <v>0.0583511782</v>
      </c>
      <c r="G1465" t="n">
        <v>0.0709878687760003</v>
      </c>
      <c r="H1465" t="n">
        <v>0.0182295581682893</v>
      </c>
      <c r="I1465" t="n">
        <v>0.1526225536435139</v>
      </c>
      <c r="J1465" t="n">
        <v>0.08355016396253501</v>
      </c>
      <c r="K1465" t="n">
        <v>0.6109189914385245</v>
      </c>
      <c r="L1465" t="b">
        <v>0</v>
      </c>
      <c r="M1465" t="b">
        <v>0</v>
      </c>
      <c r="N1465" t="inlineStr">
        <is>
          <t>alt</t>
        </is>
      </c>
      <c r="O1465" t="n">
        <v>65</v>
      </c>
      <c r="P1465" t="n">
        <v>0.04132</v>
      </c>
      <c r="Q1465" t="n">
        <v>70</v>
      </c>
      <c r="R1465" t="n">
        <v>0.01041</v>
      </c>
      <c r="S1465">
        <f>IMAGE("https://mitra.stanford.edu/kundaje/oak/projects/neuro-variants/variant_position/credible/roussos_2024/variant_figures/roussos_2024.adolescence.GLU/rs3026093_count_position.png",4,220,900)</f>
        <v/>
      </c>
      <c r="T1465">
        <f>IMAGE("https://mitra.stanford.edu/kundaje/oak/projects/neuro-variants/variant_position/credible/roussos_2024/variant_figures/roussos_2024.adolescence.GLU/rs3026093_profile_position.png",4,220,900)</f>
        <v/>
      </c>
    </row>
    <row r="1466">
      <c r="A1466" t="inlineStr">
        <is>
          <t>chr16</t>
        </is>
      </c>
      <c r="B1466" t="n">
        <v>66871267</v>
      </c>
      <c r="C1466" t="inlineStr">
        <is>
          <t>A</t>
        </is>
      </c>
      <c r="D1466" t="inlineStr">
        <is>
          <t>G</t>
        </is>
      </c>
      <c r="E1466" t="inlineStr">
        <is>
          <t>rs9932517</t>
        </is>
      </c>
      <c r="F1466" t="n">
        <v>0.0025502011499999</v>
      </c>
      <c r="G1466" t="n">
        <v>0.7842113908559351</v>
      </c>
      <c r="H1466" t="n">
        <v>0.0299808663469858</v>
      </c>
      <c r="I1466" t="n">
        <v>0.0085654338968264</v>
      </c>
      <c r="J1466" t="n">
        <v>0.1320316351244185</v>
      </c>
      <c r="K1466" t="n">
        <v>0.5194881178916515</v>
      </c>
      <c r="L1466" t="b">
        <v>1</v>
      </c>
      <c r="M1466" t="b">
        <v>1</v>
      </c>
      <c r="N1466" t="inlineStr">
        <is>
          <t>alt</t>
        </is>
      </c>
      <c r="O1466" t="n">
        <v>-95</v>
      </c>
      <c r="P1466" t="n">
        <v>0.04984</v>
      </c>
      <c r="Q1466" t="n">
        <v>-45</v>
      </c>
      <c r="R1466" t="n">
        <v>0.03503</v>
      </c>
      <c r="S1466">
        <f>IMAGE("https://mitra.stanford.edu/kundaje/oak/projects/neuro-variants/variant_position/credible/roussos_2024/variant_figures/roussos_2024.adolescence.GLU/rs9932517_count_position.png",4,220,900)</f>
        <v/>
      </c>
      <c r="T1466">
        <f>IMAGE("https://mitra.stanford.edu/kundaje/oak/projects/neuro-variants/variant_position/credible/roussos_2024/variant_figures/roussos_2024.adolescence.GLU/rs9932517_profile_position.png",4,220,900)</f>
        <v/>
      </c>
    </row>
    <row r="1467">
      <c r="A1467" t="inlineStr">
        <is>
          <t>chr16</t>
        </is>
      </c>
      <c r="B1467" t="n">
        <v>66886549</v>
      </c>
      <c r="C1467" t="inlineStr">
        <is>
          <t>G</t>
        </is>
      </c>
      <c r="D1467" t="inlineStr">
        <is>
          <t>A</t>
        </is>
      </c>
      <c r="E1467" t="inlineStr">
        <is>
          <t>rs11861556</t>
        </is>
      </c>
      <c r="F1467" t="n">
        <v>-0.0005463577799999</v>
      </c>
      <c r="G1467" t="n">
        <v>0.6910336080136162</v>
      </c>
      <c r="H1467" t="n">
        <v>0.009104837724818101</v>
      </c>
      <c r="I1467" t="n">
        <v>0.6502570936275553</v>
      </c>
      <c r="J1467" t="n">
        <v>0.1675675675675675</v>
      </c>
      <c r="K1467" t="n">
        <v>0.4510328268193899</v>
      </c>
      <c r="L1467" t="b">
        <v>0</v>
      </c>
      <c r="M1467" t="b">
        <v>0</v>
      </c>
      <c r="N1467" t="inlineStr">
        <is>
          <t>ref</t>
        </is>
      </c>
      <c r="O1467" t="n">
        <v>-10</v>
      </c>
      <c r="P1467" t="n">
        <v>0.005287</v>
      </c>
      <c r="Q1467" t="n">
        <v>50</v>
      </c>
      <c r="R1467" t="n">
        <v>0.04306</v>
      </c>
      <c r="S1467">
        <f>IMAGE("https://mitra.stanford.edu/kundaje/oak/projects/neuro-variants/variant_position/credible/roussos_2024/variant_figures/roussos_2024.adolescence.GLU/rs11861556_count_position.png",4,220,900)</f>
        <v/>
      </c>
      <c r="T1467">
        <f>IMAGE("https://mitra.stanford.edu/kundaje/oak/projects/neuro-variants/variant_position/credible/roussos_2024/variant_figures/roussos_2024.adolescence.GLU/rs11861556_profile_position.png",4,220,900)</f>
        <v/>
      </c>
    </row>
    <row r="1468">
      <c r="A1468" t="inlineStr">
        <is>
          <t>chr16</t>
        </is>
      </c>
      <c r="B1468" t="n">
        <v>66902190</v>
      </c>
      <c r="C1468" t="inlineStr">
        <is>
          <t>C</t>
        </is>
      </c>
      <c r="D1468" t="inlineStr">
        <is>
          <t>T</t>
        </is>
      </c>
      <c r="E1468" t="inlineStr">
        <is>
          <t>rs28442574</t>
        </is>
      </c>
      <c r="F1468" t="n">
        <v>-0.0831961408</v>
      </c>
      <c r="G1468" t="n">
        <v>0.0133748543576051</v>
      </c>
      <c r="H1468" t="n">
        <v>0.0134328585225493</v>
      </c>
      <c r="I1468" t="n">
        <v>0.2375039580441484</v>
      </c>
      <c r="J1468" t="n">
        <v>0.3658629287495266</v>
      </c>
      <c r="K1468" t="n">
        <v>0.1994015791211451</v>
      </c>
      <c r="L1468" t="b">
        <v>1</v>
      </c>
      <c r="M1468" t="b">
        <v>0</v>
      </c>
      <c r="N1468" t="inlineStr">
        <is>
          <t>ref</t>
        </is>
      </c>
      <c r="O1468" t="n">
        <v>-95</v>
      </c>
      <c r="P1468" t="n">
        <v>0.002075</v>
      </c>
      <c r="Q1468" t="n">
        <v>-40</v>
      </c>
      <c r="R1468" t="n">
        <v>0.06793</v>
      </c>
      <c r="S1468">
        <f>IMAGE("https://mitra.stanford.edu/kundaje/oak/projects/neuro-variants/variant_position/credible/roussos_2024/variant_figures/roussos_2024.adolescence.GLU/rs28442574_count_position.png",4,220,900)</f>
        <v/>
      </c>
      <c r="T1468">
        <f>IMAGE("https://mitra.stanford.edu/kundaje/oak/projects/neuro-variants/variant_position/credible/roussos_2024/variant_figures/roussos_2024.adolescence.GLU/rs28442574_profile_position.png",4,220,900)</f>
        <v/>
      </c>
    </row>
    <row r="1469">
      <c r="A1469" t="inlineStr">
        <is>
          <t>chr16</t>
        </is>
      </c>
      <c r="B1469" t="n">
        <v>66920342</v>
      </c>
      <c r="C1469" t="inlineStr">
        <is>
          <t>C</t>
        </is>
      </c>
      <c r="D1469" t="inlineStr">
        <is>
          <t>T</t>
        </is>
      </c>
      <c r="E1469" t="inlineStr">
        <is>
          <t>rs73586830</t>
        </is>
      </c>
      <c r="F1469" t="n">
        <v>-0.0055047125999999</v>
      </c>
      <c r="G1469" t="n">
        <v>0.6649776699148899</v>
      </c>
      <c r="H1469" t="n">
        <v>0.008079004598524</v>
      </c>
      <c r="I1469" t="n">
        <v>0.7807637111171265</v>
      </c>
      <c r="J1469" t="n">
        <v>0.3738160047438398</v>
      </c>
      <c r="K1469" t="n">
        <v>0.1924585353494619</v>
      </c>
      <c r="L1469" t="b">
        <v>0</v>
      </c>
      <c r="M1469" t="b">
        <v>0</v>
      </c>
      <c r="N1469" t="inlineStr">
        <is>
          <t>ref</t>
        </is>
      </c>
      <c r="O1469" t="n">
        <v>30</v>
      </c>
      <c r="P1469" t="n">
        <v>0.002811</v>
      </c>
      <c r="Q1469" t="n">
        <v>5</v>
      </c>
      <c r="R1469" t="n">
        <v>0.0017395</v>
      </c>
      <c r="S1469">
        <f>IMAGE("https://mitra.stanford.edu/kundaje/oak/projects/neuro-variants/variant_position/credible/roussos_2024/variant_figures/roussos_2024.adolescence.GLU/rs73586830_count_position.png",4,220,900)</f>
        <v/>
      </c>
      <c r="T1469">
        <f>IMAGE("https://mitra.stanford.edu/kundaje/oak/projects/neuro-variants/variant_position/credible/roussos_2024/variant_figures/roussos_2024.adolescence.GLU/rs73586830_profile_position.png",4,220,900)</f>
        <v/>
      </c>
    </row>
    <row r="1470">
      <c r="A1470" t="inlineStr">
        <is>
          <t>chr16</t>
        </is>
      </c>
      <c r="B1470" t="n">
        <v>66920898</v>
      </c>
      <c r="C1470" t="inlineStr">
        <is>
          <t>A</t>
        </is>
      </c>
      <c r="D1470" t="inlineStr">
        <is>
          <t>G</t>
        </is>
      </c>
      <c r="E1470" t="inlineStr">
        <is>
          <t>rs59454517</t>
        </is>
      </c>
      <c r="F1470" t="n">
        <v>-0.0144132856799999</v>
      </c>
      <c r="G1470" t="n">
        <v>0.3918563673156415</v>
      </c>
      <c r="H1470" t="n">
        <v>0.0121542779024103</v>
      </c>
      <c r="I1470" t="n">
        <v>0.3342498485809715</v>
      </c>
      <c r="J1470" t="n">
        <v>0.4198412528309435</v>
      </c>
      <c r="K1470" t="n">
        <v>0.1497532538141813</v>
      </c>
      <c r="L1470" t="b">
        <v>0</v>
      </c>
      <c r="M1470" t="b">
        <v>0</v>
      </c>
      <c r="N1470" t="inlineStr">
        <is>
          <t>ref</t>
        </is>
      </c>
      <c r="O1470" t="n">
        <v>65</v>
      </c>
      <c r="P1470" t="n">
        <v>0.01643</v>
      </c>
      <c r="Q1470" t="n">
        <v>65</v>
      </c>
      <c r="R1470" t="n">
        <v>0.07367</v>
      </c>
      <c r="S1470">
        <f>IMAGE("https://mitra.stanford.edu/kundaje/oak/projects/neuro-variants/variant_position/credible/roussos_2024/variant_figures/roussos_2024.adolescence.GLU/rs59454517_count_position.png",4,220,900)</f>
        <v/>
      </c>
      <c r="T1470">
        <f>IMAGE("https://mitra.stanford.edu/kundaje/oak/projects/neuro-variants/variant_position/credible/roussos_2024/variant_figures/roussos_2024.adolescence.GLU/rs59454517_profile_position.png",4,220,900)</f>
        <v/>
      </c>
    </row>
    <row r="1471">
      <c r="A1471" t="inlineStr">
        <is>
          <t>chr16</t>
        </is>
      </c>
      <c r="B1471" t="n">
        <v>66930288</v>
      </c>
      <c r="C1471" t="inlineStr">
        <is>
          <t>G</t>
        </is>
      </c>
      <c r="D1471" t="inlineStr">
        <is>
          <t>A</t>
        </is>
      </c>
      <c r="E1471" t="inlineStr">
        <is>
          <t>rs17767961</t>
        </is>
      </c>
      <c r="F1471" t="n">
        <v>-0.0048265620912</v>
      </c>
      <c r="G1471" t="n">
        <v>0.7314770128723126</v>
      </c>
      <c r="H1471" t="n">
        <v>0.007395908484894</v>
      </c>
      <c r="I1471" t="n">
        <v>0.8658411355915145</v>
      </c>
      <c r="J1471" t="n">
        <v>0.2479599345578727</v>
      </c>
      <c r="K1471" t="n">
        <v>0.3376693448523576</v>
      </c>
      <c r="L1471" t="b">
        <v>0</v>
      </c>
      <c r="M1471" t="b">
        <v>0</v>
      </c>
      <c r="N1471" t="inlineStr">
        <is>
          <t>ref</t>
        </is>
      </c>
      <c r="O1471" t="n">
        <v>80</v>
      </c>
      <c r="P1471" t="n">
        <v>0.005013</v>
      </c>
      <c r="Q1471" t="n">
        <v>100</v>
      </c>
      <c r="R1471" t="n">
        <v>0.006714</v>
      </c>
      <c r="S1471">
        <f>IMAGE("https://mitra.stanford.edu/kundaje/oak/projects/neuro-variants/variant_position/credible/roussos_2024/variant_figures/roussos_2024.adolescence.GLU/rs17767961_count_position.png",4,220,900)</f>
        <v/>
      </c>
      <c r="T1471">
        <f>IMAGE("https://mitra.stanford.edu/kundaje/oak/projects/neuro-variants/variant_position/credible/roussos_2024/variant_figures/roussos_2024.adolescence.GLU/rs17767961_profile_position.png",4,220,900)</f>
        <v/>
      </c>
    </row>
    <row r="1472">
      <c r="A1472" t="inlineStr">
        <is>
          <t>chr16</t>
        </is>
      </c>
      <c r="B1472" t="n">
        <v>67045166</v>
      </c>
      <c r="C1472" t="inlineStr">
        <is>
          <t>T</t>
        </is>
      </c>
      <c r="D1472" t="inlineStr">
        <is>
          <t>G</t>
        </is>
      </c>
      <c r="E1472" t="inlineStr">
        <is>
          <t>rs150710353</t>
        </is>
      </c>
      <c r="F1472" t="n">
        <v>0.008431798319999999</v>
      </c>
      <c r="G1472" t="n">
        <v>0.5533003363509469</v>
      </c>
      <c r="H1472" t="n">
        <v>0.025952271555963</v>
      </c>
      <c r="I1472" t="n">
        <v>0.0167129111970564</v>
      </c>
      <c r="J1472" t="n">
        <v>0.0368161976409398</v>
      </c>
      <c r="K1472" t="n">
        <v>0.7446510286428554</v>
      </c>
      <c r="L1472" t="b">
        <v>1</v>
      </c>
      <c r="M1472" t="b">
        <v>0</v>
      </c>
      <c r="N1472" t="inlineStr">
        <is>
          <t>alt</t>
        </is>
      </c>
      <c r="O1472" t="n">
        <v>95</v>
      </c>
      <c r="P1472" t="n">
        <v>0.00792</v>
      </c>
      <c r="Q1472" t="n">
        <v>95</v>
      </c>
      <c r="R1472" t="n">
        <v>0.02118</v>
      </c>
      <c r="S1472">
        <f>IMAGE("https://mitra.stanford.edu/kundaje/oak/projects/neuro-variants/variant_position/credible/roussos_2024/variant_figures/roussos_2024.adolescence.GLU/rs150710353_count_position.png",4,220,900)</f>
        <v/>
      </c>
      <c r="T1472">
        <f>IMAGE("https://mitra.stanford.edu/kundaje/oak/projects/neuro-variants/variant_position/credible/roussos_2024/variant_figures/roussos_2024.adolescence.GLU/rs150710353_profile_position.png",4,220,900)</f>
        <v/>
      </c>
    </row>
    <row r="1473">
      <c r="A1473" t="inlineStr">
        <is>
          <t>chr16</t>
        </is>
      </c>
      <c r="B1473" t="n">
        <v>67087027</v>
      </c>
      <c r="C1473" t="inlineStr">
        <is>
          <t>A</t>
        </is>
      </c>
      <c r="D1473" t="inlineStr">
        <is>
          <t>G</t>
        </is>
      </c>
      <c r="E1473" t="inlineStr">
        <is>
          <t>rs77801206</t>
        </is>
      </c>
      <c r="F1473" t="n">
        <v>-0.0103892513999999</v>
      </c>
      <c r="G1473" t="n">
        <v>0.5256701429473727</v>
      </c>
      <c r="H1473" t="n">
        <v>0.0065407217638091</v>
      </c>
      <c r="I1473" t="n">
        <v>0.946699659207253</v>
      </c>
      <c r="J1473" t="n">
        <v>0.0686970872537882</v>
      </c>
      <c r="K1473" t="n">
        <v>0.6420643773640976</v>
      </c>
      <c r="L1473" t="b">
        <v>0</v>
      </c>
      <c r="M1473" t="b">
        <v>0</v>
      </c>
      <c r="N1473" t="inlineStr">
        <is>
          <t>ref</t>
        </is>
      </c>
      <c r="O1473" t="n">
        <v>-10</v>
      </c>
      <c r="P1473" t="n">
        <v>0.0001221</v>
      </c>
      <c r="Q1473" t="n">
        <v>-5</v>
      </c>
      <c r="R1473" t="n">
        <v>0.001465</v>
      </c>
      <c r="S1473">
        <f>IMAGE("https://mitra.stanford.edu/kundaje/oak/projects/neuro-variants/variant_position/credible/roussos_2024/variant_figures/roussos_2024.adolescence.GLU/rs77801206_count_position.png",4,220,900)</f>
        <v/>
      </c>
      <c r="T1473">
        <f>IMAGE("https://mitra.stanford.edu/kundaje/oak/projects/neuro-variants/variant_position/credible/roussos_2024/variant_figures/roussos_2024.adolescence.GLU/rs77801206_profile_position.png",4,220,900)</f>
        <v/>
      </c>
    </row>
    <row r="1474">
      <c r="A1474" t="inlineStr">
        <is>
          <t>chr16</t>
        </is>
      </c>
      <c r="B1474" t="n">
        <v>67096883</v>
      </c>
      <c r="C1474" t="inlineStr">
        <is>
          <t>G</t>
        </is>
      </c>
      <c r="D1474" t="inlineStr">
        <is>
          <t>A</t>
        </is>
      </c>
      <c r="E1474" t="inlineStr">
        <is>
          <t>rs148571332</t>
        </is>
      </c>
      <c r="F1474" t="n">
        <v>-0.07402568280000001</v>
      </c>
      <c r="G1474" t="n">
        <v>0.0216366943213038</v>
      </c>
      <c r="H1474" t="n">
        <v>0.0155694608668096</v>
      </c>
      <c r="I1474" t="n">
        <v>0.1542706329443116</v>
      </c>
      <c r="J1474" t="n">
        <v>0.1643526158990075</v>
      </c>
      <c r="K1474" t="n">
        <v>0.4554614144577996</v>
      </c>
      <c r="L1474" t="b">
        <v>0</v>
      </c>
      <c r="M1474" t="b">
        <v>0</v>
      </c>
      <c r="N1474" t="inlineStr">
        <is>
          <t>ref</t>
        </is>
      </c>
      <c r="O1474" t="n">
        <v>-65</v>
      </c>
      <c r="P1474" t="n">
        <v>0.00116</v>
      </c>
      <c r="Q1474" t="n">
        <v>-60</v>
      </c>
      <c r="R1474" t="n">
        <v>0.0395</v>
      </c>
      <c r="S1474">
        <f>IMAGE("https://mitra.stanford.edu/kundaje/oak/projects/neuro-variants/variant_position/credible/roussos_2024/variant_figures/roussos_2024.adolescence.GLU/rs148571332_count_position.png",4,220,900)</f>
        <v/>
      </c>
      <c r="T1474">
        <f>IMAGE("https://mitra.stanford.edu/kundaje/oak/projects/neuro-variants/variant_position/credible/roussos_2024/variant_figures/roussos_2024.adolescence.GLU/rs148571332_profile_position.png",4,220,900)</f>
        <v/>
      </c>
    </row>
    <row r="1475">
      <c r="A1475" t="inlineStr">
        <is>
          <t>chr16</t>
        </is>
      </c>
      <c r="B1475" t="n">
        <v>67140459</v>
      </c>
      <c r="C1475" t="inlineStr">
        <is>
          <t>A</t>
        </is>
      </c>
      <c r="D1475" t="inlineStr">
        <is>
          <t>G</t>
        </is>
      </c>
      <c r="E1475" t="inlineStr">
        <is>
          <t>rs8047207</t>
        </is>
      </c>
      <c r="F1475" t="n">
        <v>0.0844188402</v>
      </c>
      <c r="G1475" t="n">
        <v>0.0133416625497707</v>
      </c>
      <c r="H1475" t="n">
        <v>0.015688649597138</v>
      </c>
      <c r="I1475" t="n">
        <v>0.1503906581614158</v>
      </c>
      <c r="J1475" t="n">
        <v>0.202119010366433</v>
      </c>
      <c r="K1475" t="n">
        <v>0.3987854886258872</v>
      </c>
      <c r="L1475" t="b">
        <v>1</v>
      </c>
      <c r="M1475" t="b">
        <v>0</v>
      </c>
      <c r="N1475" t="inlineStr">
        <is>
          <t>alt</t>
        </is>
      </c>
      <c r="O1475" t="n">
        <v>70</v>
      </c>
      <c r="P1475" t="n">
        <v>0.002625</v>
      </c>
      <c r="Q1475" t="n">
        <v>-40</v>
      </c>
      <c r="R1475" t="n">
        <v>0.02173</v>
      </c>
      <c r="S1475">
        <f>IMAGE("https://mitra.stanford.edu/kundaje/oak/projects/neuro-variants/variant_position/credible/roussos_2024/variant_figures/roussos_2024.adolescence.GLU/rs8047207_count_position.png",4,220,900)</f>
        <v/>
      </c>
      <c r="T1475">
        <f>IMAGE("https://mitra.stanford.edu/kundaje/oak/projects/neuro-variants/variant_position/credible/roussos_2024/variant_figures/roussos_2024.adolescence.GLU/rs8047207_profile_position.png",4,220,900)</f>
        <v/>
      </c>
    </row>
    <row r="1476">
      <c r="A1476" t="inlineStr">
        <is>
          <t>chr16</t>
        </is>
      </c>
      <c r="B1476" t="n">
        <v>67146210</v>
      </c>
      <c r="C1476" t="inlineStr">
        <is>
          <t>G</t>
        </is>
      </c>
      <c r="D1476" t="inlineStr">
        <is>
          <t>C</t>
        </is>
      </c>
      <c r="E1476" t="inlineStr">
        <is>
          <t>rs76171566</t>
        </is>
      </c>
      <c r="F1476" t="n">
        <v>0.00444856318</v>
      </c>
      <c r="G1476" t="n">
        <v>0.7363323085182838</v>
      </c>
      <c r="H1476" t="n">
        <v>0.0074570906641841</v>
      </c>
      <c r="I1476" t="n">
        <v>0.8583403676433801</v>
      </c>
      <c r="J1476" t="n">
        <v>0.3262018560987633</v>
      </c>
      <c r="K1476" t="n">
        <v>0.2412078109297087</v>
      </c>
      <c r="L1476" t="b">
        <v>0</v>
      </c>
      <c r="M1476" t="b">
        <v>0</v>
      </c>
      <c r="N1476" t="inlineStr">
        <is>
          <t>alt</t>
        </is>
      </c>
      <c r="O1476" t="n">
        <v>-100</v>
      </c>
      <c r="P1476" t="n">
        <v>0.01648</v>
      </c>
      <c r="Q1476" t="n">
        <v>-100</v>
      </c>
      <c r="R1476" t="n">
        <v>0.1381</v>
      </c>
      <c r="S1476">
        <f>IMAGE("https://mitra.stanford.edu/kundaje/oak/projects/neuro-variants/variant_position/credible/roussos_2024/variant_figures/roussos_2024.adolescence.GLU/rs76171566_count_position.png",4,220,900)</f>
        <v/>
      </c>
      <c r="T1476">
        <f>IMAGE("https://mitra.stanford.edu/kundaje/oak/projects/neuro-variants/variant_position/credible/roussos_2024/variant_figures/roussos_2024.adolescence.GLU/rs76171566_profile_position.png",4,220,900)</f>
        <v/>
      </c>
    </row>
    <row r="1477">
      <c r="A1477" t="inlineStr">
        <is>
          <t>chr16</t>
        </is>
      </c>
      <c r="B1477" t="n">
        <v>68182836</v>
      </c>
      <c r="C1477" t="inlineStr">
        <is>
          <t>G</t>
        </is>
      </c>
      <c r="D1477" t="inlineStr">
        <is>
          <t>T</t>
        </is>
      </c>
      <c r="E1477" t="inlineStr">
        <is>
          <t>rs78587942</t>
        </is>
      </c>
      <c r="F1477" t="n">
        <v>0.00057980016</v>
      </c>
      <c r="G1477" t="n">
        <v>0.9116097618484428</v>
      </c>
      <c r="H1477" t="n">
        <v>0.0152999030703826</v>
      </c>
      <c r="I1477" t="n">
        <v>0.1585124792358278</v>
      </c>
      <c r="J1477" t="n">
        <v>0.0378878481971265</v>
      </c>
      <c r="K1477" t="n">
        <v>0.7461414606162453</v>
      </c>
      <c r="L1477" t="b">
        <v>0</v>
      </c>
      <c r="M1477" t="b">
        <v>0</v>
      </c>
      <c r="N1477" t="inlineStr">
        <is>
          <t>alt</t>
        </is>
      </c>
      <c r="O1477" t="n">
        <v>100</v>
      </c>
      <c r="P1477" t="n">
        <v>0.009310000000000001</v>
      </c>
      <c r="Q1477" t="n">
        <v>55</v>
      </c>
      <c r="R1477" t="n">
        <v>0.09130000000000001</v>
      </c>
      <c r="S1477">
        <f>IMAGE("https://mitra.stanford.edu/kundaje/oak/projects/neuro-variants/variant_position/credible/roussos_2024/variant_figures/roussos_2024.adolescence.GLU/rs78587942_count_position.png",4,220,900)</f>
        <v/>
      </c>
      <c r="T1477">
        <f>IMAGE("https://mitra.stanford.edu/kundaje/oak/projects/neuro-variants/variant_position/credible/roussos_2024/variant_figures/roussos_2024.adolescence.GLU/rs78587942_profile_position.png",4,220,900)</f>
        <v/>
      </c>
    </row>
    <row r="1478">
      <c r="A1478" t="inlineStr">
        <is>
          <t>chr16</t>
        </is>
      </c>
      <c r="B1478" t="n">
        <v>68255156</v>
      </c>
      <c r="C1478" t="inlineStr">
        <is>
          <t>C</t>
        </is>
      </c>
      <c r="D1478" t="inlineStr">
        <is>
          <t>T</t>
        </is>
      </c>
      <c r="E1478" t="inlineStr">
        <is>
          <t>rs2290699</t>
        </is>
      </c>
      <c r="F1478" t="n">
        <v>-0.0330515629999999</v>
      </c>
      <c r="G1478" t="n">
        <v>0.1602227465511919</v>
      </c>
      <c r="H1478" t="n">
        <v>0.0124040214545244</v>
      </c>
      <c r="I1478" t="n">
        <v>0.299147035451851</v>
      </c>
      <c r="J1478" t="n">
        <v>0.3790013645683749</v>
      </c>
      <c r="K1478" t="n">
        <v>0.1867204648972604</v>
      </c>
      <c r="L1478" t="b">
        <v>0</v>
      </c>
      <c r="M1478" t="b">
        <v>0</v>
      </c>
      <c r="N1478" t="inlineStr">
        <is>
          <t>ref</t>
        </is>
      </c>
      <c r="O1478" t="n">
        <v>-100</v>
      </c>
      <c r="P1478" t="n">
        <v>0.004562</v>
      </c>
      <c r="Q1478" t="n">
        <v>5</v>
      </c>
      <c r="R1478" t="n">
        <v>0.002289</v>
      </c>
      <c r="S1478">
        <f>IMAGE("https://mitra.stanford.edu/kundaje/oak/projects/neuro-variants/variant_position/credible/roussos_2024/variant_figures/roussos_2024.adolescence.GLU/rs2290699_count_position.png",4,220,900)</f>
        <v/>
      </c>
      <c r="T1478">
        <f>IMAGE("https://mitra.stanford.edu/kundaje/oak/projects/neuro-variants/variant_position/credible/roussos_2024/variant_figures/roussos_2024.adolescence.GLU/rs2290699_profile_position.png",4,220,900)</f>
        <v/>
      </c>
    </row>
    <row r="1479">
      <c r="A1479" t="inlineStr">
        <is>
          <t>chr16</t>
        </is>
      </c>
      <c r="B1479" t="n">
        <v>68265599</v>
      </c>
      <c r="C1479" t="inlineStr">
        <is>
          <t>G</t>
        </is>
      </c>
      <c r="D1479" t="inlineStr">
        <is>
          <t>A</t>
        </is>
      </c>
      <c r="E1479" t="inlineStr">
        <is>
          <t>rs116580887</t>
        </is>
      </c>
      <c r="F1479" t="n">
        <v>-0.00430095744</v>
      </c>
      <c r="G1479" t="n">
        <v>0.6971975846015555</v>
      </c>
      <c r="H1479" t="n">
        <v>0.0085317824773501</v>
      </c>
      <c r="I1479" t="n">
        <v>0.7296778134352739</v>
      </c>
      <c r="J1479" t="n">
        <v>0.5561994984675398</v>
      </c>
      <c r="K1479" t="n">
        <v>0.0570571769174407</v>
      </c>
      <c r="L1479" t="b">
        <v>0</v>
      </c>
      <c r="M1479" t="b">
        <v>0</v>
      </c>
      <c r="N1479" t="inlineStr">
        <is>
          <t>ref</t>
        </is>
      </c>
      <c r="O1479" t="n">
        <v>100</v>
      </c>
      <c r="P1479" t="n">
        <v>0.00539</v>
      </c>
      <c r="Q1479" t="n">
        <v>-20</v>
      </c>
      <c r="R1479" t="n">
        <v>0.0216</v>
      </c>
      <c r="S1479">
        <f>IMAGE("https://mitra.stanford.edu/kundaje/oak/projects/neuro-variants/variant_position/credible/roussos_2024/variant_figures/roussos_2024.adolescence.GLU/rs116580887_count_position.png",4,220,900)</f>
        <v/>
      </c>
      <c r="T1479">
        <f>IMAGE("https://mitra.stanford.edu/kundaje/oak/projects/neuro-variants/variant_position/credible/roussos_2024/variant_figures/roussos_2024.adolescence.GLU/rs116580887_profile_position.png",4,220,900)</f>
        <v/>
      </c>
    </row>
    <row r="1480">
      <c r="A1480" t="inlineStr">
        <is>
          <t>chr16</t>
        </is>
      </c>
      <c r="B1480" t="n">
        <v>68286641</v>
      </c>
      <c r="C1480" t="inlineStr">
        <is>
          <t>T</t>
        </is>
      </c>
      <c r="D1480" t="inlineStr">
        <is>
          <t>G</t>
        </is>
      </c>
      <c r="E1480" t="inlineStr">
        <is>
          <t>rs78805615</t>
        </is>
      </c>
      <c r="F1480" t="n">
        <v>0.0210619287999999</v>
      </c>
      <c r="G1480" t="n">
        <v>0.2712317978223876</v>
      </c>
      <c r="H1480" t="n">
        <v>0.0105804504968991</v>
      </c>
      <c r="I1480" t="n">
        <v>0.4596306430454993</v>
      </c>
      <c r="J1480" t="n">
        <v>0.2905273235170142</v>
      </c>
      <c r="K1480" t="n">
        <v>0.2809589296413963</v>
      </c>
      <c r="L1480" t="b">
        <v>0</v>
      </c>
      <c r="M1480" t="b">
        <v>0</v>
      </c>
      <c r="N1480" t="inlineStr">
        <is>
          <t>alt</t>
        </is>
      </c>
      <c r="O1480" t="n">
        <v>-100</v>
      </c>
      <c r="P1480" t="n">
        <v>0.00428</v>
      </c>
      <c r="Q1480" t="n">
        <v>-100</v>
      </c>
      <c r="R1480" t="n">
        <v>0.0432</v>
      </c>
      <c r="S1480">
        <f>IMAGE("https://mitra.stanford.edu/kundaje/oak/projects/neuro-variants/variant_position/credible/roussos_2024/variant_figures/roussos_2024.adolescence.GLU/rs78805615_count_position.png",4,220,900)</f>
        <v/>
      </c>
      <c r="T1480">
        <f>IMAGE("https://mitra.stanford.edu/kundaje/oak/projects/neuro-variants/variant_position/credible/roussos_2024/variant_figures/roussos_2024.adolescence.GLU/rs78805615_profile_position.png",4,220,900)</f>
        <v/>
      </c>
    </row>
    <row r="1481">
      <c r="A1481" t="inlineStr">
        <is>
          <t>chr16</t>
        </is>
      </c>
      <c r="B1481" t="n">
        <v>68338869</v>
      </c>
      <c r="C1481" t="inlineStr">
        <is>
          <t>C</t>
        </is>
      </c>
      <c r="D1481" t="inlineStr">
        <is>
          <t>T</t>
        </is>
      </c>
      <c r="E1481" t="inlineStr">
        <is>
          <t>rs12925938</t>
        </is>
      </c>
      <c r="F1481" t="n">
        <v>-0.0519205758</v>
      </c>
      <c r="G1481" t="n">
        <v>0.0613423108727988</v>
      </c>
      <c r="H1481" t="n">
        <v>0.0094442186370813</v>
      </c>
      <c r="I1481" t="n">
        <v>0.6077031437486098</v>
      </c>
      <c r="J1481" t="n">
        <v>0.4853433925598874</v>
      </c>
      <c r="K1481" t="n">
        <v>0.0994792917647024</v>
      </c>
      <c r="L1481" t="b">
        <v>0</v>
      </c>
      <c r="M1481" t="b">
        <v>0</v>
      </c>
      <c r="N1481" t="inlineStr">
        <is>
          <t>ref</t>
        </is>
      </c>
      <c r="O1481" t="n">
        <v>95</v>
      </c>
      <c r="P1481" t="n">
        <v>0.004196</v>
      </c>
      <c r="Q1481" t="n">
        <v>50</v>
      </c>
      <c r="R1481" t="n">
        <v>0.02618</v>
      </c>
      <c r="S1481">
        <f>IMAGE("https://mitra.stanford.edu/kundaje/oak/projects/neuro-variants/variant_position/credible/roussos_2024/variant_figures/roussos_2024.adolescence.GLU/rs12925938_count_position.png",4,220,900)</f>
        <v/>
      </c>
      <c r="T1481">
        <f>IMAGE("https://mitra.stanford.edu/kundaje/oak/projects/neuro-variants/variant_position/credible/roussos_2024/variant_figures/roussos_2024.adolescence.GLU/rs12925938_profile_position.png",4,220,900)</f>
        <v/>
      </c>
    </row>
    <row r="1482">
      <c r="A1482" t="inlineStr">
        <is>
          <t>chr16</t>
        </is>
      </c>
      <c r="B1482" t="n">
        <v>68361619</v>
      </c>
      <c r="C1482" t="inlineStr">
        <is>
          <t>C</t>
        </is>
      </c>
      <c r="D1482" t="inlineStr">
        <is>
          <t>T</t>
        </is>
      </c>
      <c r="E1482" t="inlineStr">
        <is>
          <t>rs71395853</t>
        </is>
      </c>
      <c r="F1482" t="n">
        <v>-0.00637622928</v>
      </c>
      <c r="G1482" t="n">
        <v>0.6824261669802195</v>
      </c>
      <c r="H1482" t="n">
        <v>0.0095653343575478</v>
      </c>
      <c r="I1482" t="n">
        <v>0.5740017313063489</v>
      </c>
      <c r="J1482" t="n">
        <v>0.639331004279458</v>
      </c>
      <c r="K1482" t="n">
        <v>0.0261852563346604</v>
      </c>
      <c r="L1482" t="b">
        <v>0</v>
      </c>
      <c r="M1482" t="b">
        <v>0</v>
      </c>
      <c r="N1482" t="inlineStr">
        <is>
          <t>ref</t>
        </is>
      </c>
      <c r="O1482" t="n">
        <v>-100</v>
      </c>
      <c r="P1482" t="n">
        <v>0.001572</v>
      </c>
      <c r="Q1482" t="n">
        <v>0</v>
      </c>
      <c r="R1482" t="n">
        <v>0</v>
      </c>
      <c r="S1482">
        <f>IMAGE("https://mitra.stanford.edu/kundaje/oak/projects/neuro-variants/variant_position/credible/roussos_2024/variant_figures/roussos_2024.adolescence.GLU/rs71395853_count_position.png",4,220,900)</f>
        <v/>
      </c>
      <c r="T1482">
        <f>IMAGE("https://mitra.stanford.edu/kundaje/oak/projects/neuro-variants/variant_position/credible/roussos_2024/variant_figures/roussos_2024.adolescence.GLU/rs71395853_profile_position.png",4,220,900)</f>
        <v/>
      </c>
    </row>
    <row r="1483">
      <c r="A1483" t="inlineStr">
        <is>
          <t>chr16</t>
        </is>
      </c>
      <c r="B1483" t="n">
        <v>68381072</v>
      </c>
      <c r="C1483" t="inlineStr">
        <is>
          <t>C</t>
        </is>
      </c>
      <c r="D1483" t="inlineStr">
        <is>
          <t>G</t>
        </is>
      </c>
      <c r="E1483" t="inlineStr">
        <is>
          <t>rs11862968</t>
        </is>
      </c>
      <c r="F1483" t="n">
        <v>0.0516314544</v>
      </c>
      <c r="G1483" t="n">
        <v>0.0589342994432268</v>
      </c>
      <c r="H1483" t="n">
        <v>0.0270163050808029</v>
      </c>
      <c r="I1483" t="n">
        <v>0.0149323099743261</v>
      </c>
      <c r="J1483" t="n">
        <v>0.5774996249223053</v>
      </c>
      <c r="K1483" t="n">
        <v>0.0474495771708152</v>
      </c>
      <c r="L1483" t="b">
        <v>1</v>
      </c>
      <c r="M1483" t="b">
        <v>0</v>
      </c>
      <c r="N1483" t="inlineStr">
        <is>
          <t>alt</t>
        </is>
      </c>
      <c r="O1483" t="n">
        <v>-95</v>
      </c>
      <c r="P1483" t="n">
        <v>0.01865</v>
      </c>
      <c r="Q1483" t="n">
        <v>-95</v>
      </c>
      <c r="R1483" t="n">
        <v>0.1499</v>
      </c>
      <c r="S1483">
        <f>IMAGE("https://mitra.stanford.edu/kundaje/oak/projects/neuro-variants/variant_position/credible/roussos_2024/variant_figures/roussos_2024.adolescence.GLU/rs11862968_count_position.png",4,220,900)</f>
        <v/>
      </c>
      <c r="T1483">
        <f>IMAGE("https://mitra.stanford.edu/kundaje/oak/projects/neuro-variants/variant_position/credible/roussos_2024/variant_figures/roussos_2024.adolescence.GLU/rs11862968_profile_position.png",4,220,900)</f>
        <v/>
      </c>
    </row>
    <row r="1484">
      <c r="A1484" t="inlineStr">
        <is>
          <t>chr16</t>
        </is>
      </c>
      <c r="B1484" t="n">
        <v>69246420</v>
      </c>
      <c r="C1484" t="inlineStr">
        <is>
          <t>T</t>
        </is>
      </c>
      <c r="D1484" t="inlineStr">
        <is>
          <t>C</t>
        </is>
      </c>
      <c r="E1484" t="inlineStr">
        <is>
          <t>rs34669336</t>
        </is>
      </c>
      <c r="F1484" t="n">
        <v>-0.0201528003999999</v>
      </c>
      <c r="G1484" t="n">
        <v>0.2939340562312196</v>
      </c>
      <c r="H1484" t="n">
        <v>0.0112481542339644</v>
      </c>
      <c r="I1484" t="n">
        <v>0.3988092442949779</v>
      </c>
      <c r="J1484" t="n">
        <v>0.0439762522236748</v>
      </c>
      <c r="K1484" t="n">
        <v>0.7262572643380908</v>
      </c>
      <c r="L1484" t="b">
        <v>0</v>
      </c>
      <c r="M1484" t="b">
        <v>0</v>
      </c>
      <c r="N1484" t="inlineStr">
        <is>
          <t>ref</t>
        </is>
      </c>
      <c r="O1484" t="n">
        <v>90</v>
      </c>
      <c r="P1484" t="n">
        <v>0.00776</v>
      </c>
      <c r="Q1484" t="n">
        <v>85</v>
      </c>
      <c r="R1484" t="n">
        <v>0.01178</v>
      </c>
      <c r="S1484">
        <f>IMAGE("https://mitra.stanford.edu/kundaje/oak/projects/neuro-variants/variant_position/credible/roussos_2024/variant_figures/roussos_2024.adolescence.GLU/rs34669336_count_position.png",4,220,900)</f>
        <v/>
      </c>
      <c r="T1484">
        <f>IMAGE("https://mitra.stanford.edu/kundaje/oak/projects/neuro-variants/variant_position/credible/roussos_2024/variant_figures/roussos_2024.adolescence.GLU/rs34669336_profile_position.png",4,220,900)</f>
        <v/>
      </c>
    </row>
    <row r="1485">
      <c r="A1485" t="inlineStr">
        <is>
          <t>chr16</t>
        </is>
      </c>
      <c r="B1485" t="n">
        <v>69251934</v>
      </c>
      <c r="C1485" t="inlineStr">
        <is>
          <t>C</t>
        </is>
      </c>
      <c r="D1485" t="inlineStr">
        <is>
          <t>A</t>
        </is>
      </c>
      <c r="E1485" t="inlineStr">
        <is>
          <t>rs11641316</t>
        </is>
      </c>
      <c r="F1485" t="n">
        <v>0.0031446578399999</v>
      </c>
      <c r="G1485" t="n">
        <v>0.7228152830819463</v>
      </c>
      <c r="H1485" t="n">
        <v>0.0409683934511888</v>
      </c>
      <c r="I1485" t="n">
        <v>0.0027402229646442</v>
      </c>
      <c r="J1485" t="n">
        <v>0.2188896271370498</v>
      </c>
      <c r="K1485" t="n">
        <v>0.3687584397837639</v>
      </c>
      <c r="L1485" t="b">
        <v>1</v>
      </c>
      <c r="M1485" t="b">
        <v>1</v>
      </c>
      <c r="N1485" t="inlineStr">
        <is>
          <t>alt</t>
        </is>
      </c>
      <c r="O1485" t="n">
        <v>100</v>
      </c>
      <c r="P1485" t="n">
        <v>0.006714</v>
      </c>
      <c r="Q1485" t="n">
        <v>95</v>
      </c>
      <c r="R1485" t="n">
        <v>0.07043000000000001</v>
      </c>
      <c r="S1485">
        <f>IMAGE("https://mitra.stanford.edu/kundaje/oak/projects/neuro-variants/variant_position/credible/roussos_2024/variant_figures/roussos_2024.adolescence.GLU/rs11641316_count_position.png",4,220,900)</f>
        <v/>
      </c>
      <c r="T1485">
        <f>IMAGE("https://mitra.stanford.edu/kundaje/oak/projects/neuro-variants/variant_position/credible/roussos_2024/variant_figures/roussos_2024.adolescence.GLU/rs11641316_profile_position.png",4,220,900)</f>
        <v/>
      </c>
    </row>
    <row r="1486">
      <c r="A1486" t="inlineStr">
        <is>
          <t>chr16</t>
        </is>
      </c>
      <c r="B1486" t="n">
        <v>69255754</v>
      </c>
      <c r="C1486" t="inlineStr">
        <is>
          <t>C</t>
        </is>
      </c>
      <c r="D1486" t="inlineStr">
        <is>
          <t>G</t>
        </is>
      </c>
      <c r="E1486" t="inlineStr">
        <is>
          <t>rs13339524</t>
        </is>
      </c>
      <c r="F1486" t="n">
        <v>-0.00445255108</v>
      </c>
      <c r="G1486" t="n">
        <v>0.7787530210007413</v>
      </c>
      <c r="H1486" t="n">
        <v>0.007871166670814901</v>
      </c>
      <c r="I1486" t="n">
        <v>0.8098148090657048</v>
      </c>
      <c r="J1486" t="n">
        <v>0.2258139185974236</v>
      </c>
      <c r="K1486" t="n">
        <v>0.3665991150368065</v>
      </c>
      <c r="L1486" t="b">
        <v>0</v>
      </c>
      <c r="M1486" t="b">
        <v>0</v>
      </c>
      <c r="N1486" t="inlineStr">
        <is>
          <t>ref</t>
        </is>
      </c>
      <c r="O1486" t="n">
        <v>-85</v>
      </c>
      <c r="P1486" t="n">
        <v>0.02994</v>
      </c>
      <c r="Q1486" t="n">
        <v>80</v>
      </c>
      <c r="R1486" t="n">
        <v>0.1256</v>
      </c>
      <c r="S1486">
        <f>IMAGE("https://mitra.stanford.edu/kundaje/oak/projects/neuro-variants/variant_position/credible/roussos_2024/variant_figures/roussos_2024.adolescence.GLU/rs13339524_count_position.png",4,220,900)</f>
        <v/>
      </c>
      <c r="T1486">
        <f>IMAGE("https://mitra.stanford.edu/kundaje/oak/projects/neuro-variants/variant_position/credible/roussos_2024/variant_figures/roussos_2024.adolescence.GLU/rs13339524_profile_position.png",4,220,900)</f>
        <v/>
      </c>
    </row>
    <row r="1487">
      <c r="A1487" t="inlineStr">
        <is>
          <t>chr16</t>
        </is>
      </c>
      <c r="B1487" t="n">
        <v>69328549</v>
      </c>
      <c r="C1487" t="inlineStr">
        <is>
          <t>C</t>
        </is>
      </c>
      <c r="D1487" t="inlineStr">
        <is>
          <t>G</t>
        </is>
      </c>
      <c r="E1487" t="inlineStr">
        <is>
          <t>rs2242413</t>
        </is>
      </c>
      <c r="F1487" t="n">
        <v>0.00564009518</v>
      </c>
      <c r="G1487" t="n">
        <v>0.6280958444670008</v>
      </c>
      <c r="H1487" t="n">
        <v>0.0069869387951845</v>
      </c>
      <c r="I1487" t="n">
        <v>0.911787277574882</v>
      </c>
      <c r="J1487" t="n">
        <v>0.3490637346307449</v>
      </c>
      <c r="K1487" t="n">
        <v>0.216523892672499</v>
      </c>
      <c r="L1487" t="b">
        <v>0</v>
      </c>
      <c r="M1487" t="b">
        <v>0</v>
      </c>
      <c r="N1487" t="inlineStr">
        <is>
          <t>alt</t>
        </is>
      </c>
      <c r="O1487" t="n">
        <v>100</v>
      </c>
      <c r="P1487" t="n">
        <v>0.00425</v>
      </c>
      <c r="Q1487" t="n">
        <v>-25</v>
      </c>
      <c r="R1487" t="n">
        <v>0.04642</v>
      </c>
      <c r="S1487">
        <f>IMAGE("https://mitra.stanford.edu/kundaje/oak/projects/neuro-variants/variant_position/credible/roussos_2024/variant_figures/roussos_2024.adolescence.GLU/rs2242413_count_position.png",4,220,900)</f>
        <v/>
      </c>
      <c r="T1487">
        <f>IMAGE("https://mitra.stanford.edu/kundaje/oak/projects/neuro-variants/variant_position/credible/roussos_2024/variant_figures/roussos_2024.adolescence.GLU/rs2242413_profile_position.png",4,220,900)</f>
        <v/>
      </c>
    </row>
    <row r="1488">
      <c r="A1488" t="inlineStr">
        <is>
          <t>chr16</t>
        </is>
      </c>
      <c r="B1488" t="n">
        <v>69362682</v>
      </c>
      <c r="C1488" t="inlineStr">
        <is>
          <t>C</t>
        </is>
      </c>
      <c r="D1488" t="inlineStr">
        <is>
          <t>T</t>
        </is>
      </c>
      <c r="E1488" t="inlineStr">
        <is>
          <t>rs9939870</t>
        </is>
      </c>
      <c r="F1488" t="n">
        <v>-0.0041552246</v>
      </c>
      <c r="G1488" t="n">
        <v>0.7475113096445417</v>
      </c>
      <c r="H1488" t="n">
        <v>0.0176547239017446</v>
      </c>
      <c r="I1488" t="n">
        <v>0.0891582720931262</v>
      </c>
      <c r="J1488" t="n">
        <v>0.1525487422394638</v>
      </c>
      <c r="K1488" t="n">
        <v>0.4775741012989739</v>
      </c>
      <c r="L1488" t="b">
        <v>0</v>
      </c>
      <c r="M1488" t="b">
        <v>0</v>
      </c>
      <c r="N1488" t="inlineStr">
        <is>
          <t>ref</t>
        </is>
      </c>
      <c r="O1488" t="n">
        <v>-95</v>
      </c>
      <c r="P1488" t="n">
        <v>0.003635</v>
      </c>
      <c r="Q1488" t="n">
        <v>-100</v>
      </c>
      <c r="R1488" t="n">
        <v>0.04187</v>
      </c>
      <c r="S1488">
        <f>IMAGE("https://mitra.stanford.edu/kundaje/oak/projects/neuro-variants/variant_position/credible/roussos_2024/variant_figures/roussos_2024.adolescence.GLU/rs9939870_count_position.png",4,220,900)</f>
        <v/>
      </c>
      <c r="T1488">
        <f>IMAGE("https://mitra.stanford.edu/kundaje/oak/projects/neuro-variants/variant_position/credible/roussos_2024/variant_figures/roussos_2024.adolescence.GLU/rs9939870_profile_position.png",4,220,900)</f>
        <v/>
      </c>
    </row>
    <row r="1489">
      <c r="A1489" t="inlineStr">
        <is>
          <t>chr16</t>
        </is>
      </c>
      <c r="B1489" t="n">
        <v>69366304</v>
      </c>
      <c r="C1489" t="inlineStr">
        <is>
          <t>T</t>
        </is>
      </c>
      <c r="D1489" t="inlineStr">
        <is>
          <t>G</t>
        </is>
      </c>
      <c r="E1489" t="inlineStr">
        <is>
          <t>rs35124791</t>
        </is>
      </c>
      <c r="F1489" t="n">
        <v>0.1996303628</v>
      </c>
      <c r="G1489" t="n">
        <v>0.0012708759985585</v>
      </c>
      <c r="H1489" t="n">
        <v>0.0710164674597225</v>
      </c>
      <c r="I1489" t="n">
        <v>0.0007460453741662</v>
      </c>
      <c r="J1489" t="n">
        <v>0.4029934772202813</v>
      </c>
      <c r="K1489" t="n">
        <v>0.164872807320952</v>
      </c>
      <c r="L1489" t="b">
        <v>1</v>
      </c>
      <c r="M1489" t="b">
        <v>1</v>
      </c>
      <c r="N1489" t="inlineStr">
        <is>
          <t>alt</t>
        </is>
      </c>
      <c r="O1489" t="n">
        <v>-100</v>
      </c>
      <c r="P1489" t="n">
        <v>0.003378</v>
      </c>
      <c r="Q1489" t="n">
        <v>-100</v>
      </c>
      <c r="R1489" t="n">
        <v>0.06744</v>
      </c>
      <c r="S1489">
        <f>IMAGE("https://mitra.stanford.edu/kundaje/oak/projects/neuro-variants/variant_position/credible/roussos_2024/variant_figures/roussos_2024.adolescence.GLU/rs35124791_count_position.png",4,220,900)</f>
        <v/>
      </c>
      <c r="T1489">
        <f>IMAGE("https://mitra.stanford.edu/kundaje/oak/projects/neuro-variants/variant_position/credible/roussos_2024/variant_figures/roussos_2024.adolescence.GLU/rs35124791_profile_position.png",4,220,900)</f>
        <v/>
      </c>
    </row>
    <row r="1490">
      <c r="A1490" t="inlineStr">
        <is>
          <t>chr16</t>
        </is>
      </c>
      <c r="B1490" t="n">
        <v>69373083</v>
      </c>
      <c r="C1490" t="inlineStr">
        <is>
          <t>A</t>
        </is>
      </c>
      <c r="D1490" t="inlineStr">
        <is>
          <t>G</t>
        </is>
      </c>
      <c r="E1490" t="inlineStr">
        <is>
          <t>rs3785074</t>
        </is>
      </c>
      <c r="F1490" t="n">
        <v>6.51716099999998e-05</v>
      </c>
      <c r="G1490" t="n">
        <v>0.7012784397233727</v>
      </c>
      <c r="H1490" t="n">
        <v>0.0082954316959803</v>
      </c>
      <c r="I1490" t="n">
        <v>0.7398804694561329</v>
      </c>
      <c r="J1490" t="n">
        <v>0.1347450543326831</v>
      </c>
      <c r="K1490" t="n">
        <v>0.5071231636502318</v>
      </c>
      <c r="L1490" t="b">
        <v>0</v>
      </c>
      <c r="M1490" t="b">
        <v>0</v>
      </c>
      <c r="N1490" t="inlineStr">
        <is>
          <t>alt</t>
        </is>
      </c>
      <c r="O1490" t="n">
        <v>75</v>
      </c>
      <c r="P1490" t="n">
        <v>0.003014</v>
      </c>
      <c r="Q1490" t="n">
        <v>10</v>
      </c>
      <c r="R1490" t="n">
        <v>0.009520000000000001</v>
      </c>
      <c r="S1490">
        <f>IMAGE("https://mitra.stanford.edu/kundaje/oak/projects/neuro-variants/variant_position/credible/roussos_2024/variant_figures/roussos_2024.adolescence.GLU/rs3785074_count_position.png",4,220,900)</f>
        <v/>
      </c>
      <c r="T1490">
        <f>IMAGE("https://mitra.stanford.edu/kundaje/oak/projects/neuro-variants/variant_position/credible/roussos_2024/variant_figures/roussos_2024.adolescence.GLU/rs3785074_profile_position.png",4,220,900)</f>
        <v/>
      </c>
    </row>
    <row r="1491">
      <c r="A1491" t="inlineStr">
        <is>
          <t>chr16</t>
        </is>
      </c>
      <c r="B1491" t="n">
        <v>82418914</v>
      </c>
      <c r="C1491" t="inlineStr">
        <is>
          <t>C</t>
        </is>
      </c>
      <c r="D1491" t="inlineStr">
        <is>
          <t>A</t>
        </is>
      </c>
      <c r="E1491" t="inlineStr">
        <is>
          <t>rs11150463</t>
        </is>
      </c>
      <c r="F1491" t="n">
        <v>-0.0990657204</v>
      </c>
      <c r="G1491" t="n">
        <v>0.0170976125041563</v>
      </c>
      <c r="H1491" t="n">
        <v>0.0297065028432589</v>
      </c>
      <c r="I1491" t="n">
        <v>0.0209287679088983</v>
      </c>
      <c r="J1491" t="n">
        <v>0.2469568696372819</v>
      </c>
      <c r="K1491" t="n">
        <v>0.3359109297563226</v>
      </c>
      <c r="L1491" t="b">
        <v>1</v>
      </c>
      <c r="M1491" t="b">
        <v>0</v>
      </c>
      <c r="N1491" t="inlineStr">
        <is>
          <t>ref</t>
        </is>
      </c>
      <c r="O1491" t="n">
        <v>10</v>
      </c>
      <c r="P1491" t="n">
        <v>0.0006943</v>
      </c>
      <c r="Q1491" t="n">
        <v>95</v>
      </c>
      <c r="R1491" t="n">
        <v>0.096</v>
      </c>
      <c r="S1491">
        <f>IMAGE("https://mitra.stanford.edu/kundaje/oak/projects/neuro-variants/variant_position/credible/roussos_2024/variant_figures/roussos_2024.adolescence.GLU/rs11150463_count_position.png",4,220,900)</f>
        <v/>
      </c>
      <c r="T1491">
        <f>IMAGE("https://mitra.stanford.edu/kundaje/oak/projects/neuro-variants/variant_position/credible/roussos_2024/variant_figures/roussos_2024.adolescence.GLU/rs11150463_profile_position.png",4,220,900)</f>
        <v/>
      </c>
    </row>
    <row r="1492">
      <c r="A1492" t="inlineStr">
        <is>
          <t>chr16</t>
        </is>
      </c>
      <c r="B1492" t="n">
        <v>82619943</v>
      </c>
      <c r="C1492" t="inlineStr">
        <is>
          <t>C</t>
        </is>
      </c>
      <c r="D1492" t="inlineStr">
        <is>
          <t>T</t>
        </is>
      </c>
      <c r="E1492" t="inlineStr">
        <is>
          <t>rs9940266</t>
        </is>
      </c>
      <c r="F1492" t="n">
        <v>0.001895452986</v>
      </c>
      <c r="G1492" t="n">
        <v>0.7381413487691835</v>
      </c>
      <c r="H1492" t="n">
        <v>0.0073814590339762</v>
      </c>
      <c r="I1492" t="n">
        <v>0.8405003185289905</v>
      </c>
      <c r="J1492" t="n">
        <v>0.1331204320895042</v>
      </c>
      <c r="K1492" t="n">
        <v>0.512350110760355</v>
      </c>
      <c r="L1492" t="b">
        <v>0</v>
      </c>
      <c r="M1492" t="b">
        <v>0</v>
      </c>
      <c r="N1492" t="inlineStr">
        <is>
          <t>alt</t>
        </is>
      </c>
      <c r="O1492" t="n">
        <v>100</v>
      </c>
      <c r="P1492" t="n">
        <v>0.003563</v>
      </c>
      <c r="Q1492" t="n">
        <v>55</v>
      </c>
      <c r="R1492" t="n">
        <v>0.0363</v>
      </c>
      <c r="S1492">
        <f>IMAGE("https://mitra.stanford.edu/kundaje/oak/projects/neuro-variants/variant_position/credible/roussos_2024/variant_figures/roussos_2024.adolescence.GLU/rs9940266_count_position.png",4,220,900)</f>
        <v/>
      </c>
      <c r="T1492">
        <f>IMAGE("https://mitra.stanford.edu/kundaje/oak/projects/neuro-variants/variant_position/credible/roussos_2024/variant_figures/roussos_2024.adolescence.GLU/rs9940266_profile_position.png",4,220,900)</f>
        <v/>
      </c>
    </row>
    <row r="1493">
      <c r="A1493" t="inlineStr">
        <is>
          <t>chr16</t>
        </is>
      </c>
      <c r="B1493" t="n">
        <v>82623390</v>
      </c>
      <c r="C1493" t="inlineStr">
        <is>
          <t>C</t>
        </is>
      </c>
      <c r="D1493" t="inlineStr">
        <is>
          <t>T</t>
        </is>
      </c>
      <c r="E1493" t="inlineStr">
        <is>
          <t>rs4782721</t>
        </is>
      </c>
      <c r="F1493" t="n">
        <v>-0.0668336702</v>
      </c>
      <c r="G1493" t="n">
        <v>0.0287603063521961</v>
      </c>
      <c r="H1493" t="n">
        <v>0.0173273553486919</v>
      </c>
      <c r="I1493" t="n">
        <v>0.09826164303362531</v>
      </c>
      <c r="J1493" t="n">
        <v>0.4285844925020182</v>
      </c>
      <c r="K1493" t="n">
        <v>0.1422991799880485</v>
      </c>
      <c r="L1493" t="b">
        <v>0</v>
      </c>
      <c r="M1493" t="b">
        <v>0</v>
      </c>
      <c r="N1493" t="inlineStr">
        <is>
          <t>ref</t>
        </is>
      </c>
      <c r="O1493" t="n">
        <v>75</v>
      </c>
      <c r="P1493" t="n">
        <v>0.003387</v>
      </c>
      <c r="Q1493" t="n">
        <v>100</v>
      </c>
      <c r="R1493" t="n">
        <v>0.0481</v>
      </c>
      <c r="S1493">
        <f>IMAGE("https://mitra.stanford.edu/kundaje/oak/projects/neuro-variants/variant_position/credible/roussos_2024/variant_figures/roussos_2024.adolescence.GLU/rs4782721_count_position.png",4,220,900)</f>
        <v/>
      </c>
      <c r="T1493">
        <f>IMAGE("https://mitra.stanford.edu/kundaje/oak/projects/neuro-variants/variant_position/credible/roussos_2024/variant_figures/roussos_2024.adolescence.GLU/rs4782721_profile_position.png",4,220,900)</f>
        <v/>
      </c>
    </row>
    <row r="1494">
      <c r="A1494" t="inlineStr">
        <is>
          <t>chr16</t>
        </is>
      </c>
      <c r="B1494" t="n">
        <v>82628858</v>
      </c>
      <c r="C1494" t="inlineStr">
        <is>
          <t>C</t>
        </is>
      </c>
      <c r="D1494" t="inlineStr">
        <is>
          <t>T</t>
        </is>
      </c>
      <c r="E1494" t="inlineStr">
        <is>
          <t>rs7202931</t>
        </is>
      </c>
      <c r="F1494" t="n">
        <v>-0.0560944625999999</v>
      </c>
      <c r="G1494" t="n">
        <v>0.0505327236069366</v>
      </c>
      <c r="H1494" t="n">
        <v>0.0143654882583889</v>
      </c>
      <c r="I1494" t="n">
        <v>0.1943716580051093</v>
      </c>
      <c r="J1494" t="n">
        <v>0.4238992362703702</v>
      </c>
      <c r="K1494" t="n">
        <v>0.1464089451702274</v>
      </c>
      <c r="L1494" t="b">
        <v>0</v>
      </c>
      <c r="M1494" t="b">
        <v>0</v>
      </c>
      <c r="N1494" t="inlineStr">
        <is>
          <t>ref</t>
        </is>
      </c>
      <c r="O1494" t="n">
        <v>-75</v>
      </c>
      <c r="P1494" t="n">
        <v>0.00169</v>
      </c>
      <c r="Q1494" t="n">
        <v>55</v>
      </c>
      <c r="R1494" t="n">
        <v>0.0458</v>
      </c>
      <c r="S1494">
        <f>IMAGE("https://mitra.stanford.edu/kundaje/oak/projects/neuro-variants/variant_position/credible/roussos_2024/variant_figures/roussos_2024.adolescence.GLU/rs7202931_count_position.png",4,220,900)</f>
        <v/>
      </c>
      <c r="T1494">
        <f>IMAGE("https://mitra.stanford.edu/kundaje/oak/projects/neuro-variants/variant_position/credible/roussos_2024/variant_figures/roussos_2024.adolescence.GLU/rs7202931_profile_position.png",4,220,900)</f>
        <v/>
      </c>
    </row>
    <row r="1495">
      <c r="A1495" t="inlineStr">
        <is>
          <t>chr16</t>
        </is>
      </c>
      <c r="B1495" t="n">
        <v>82637526</v>
      </c>
      <c r="C1495" t="inlineStr">
        <is>
          <t>G</t>
        </is>
      </c>
      <c r="D1495" t="inlineStr">
        <is>
          <t>A</t>
        </is>
      </c>
      <c r="E1495" t="inlineStr">
        <is>
          <t>rs12930379</t>
        </is>
      </c>
      <c r="F1495" t="n">
        <v>0.0640381064</v>
      </c>
      <c r="G1495" t="n">
        <v>0.0293805937463158</v>
      </c>
      <c r="H1495" t="n">
        <v>0.0142525052355259</v>
      </c>
      <c r="I1495" t="n">
        <v>0.1950074940631935</v>
      </c>
      <c r="J1495" t="n">
        <v>0.3441384286745111</v>
      </c>
      <c r="K1495" t="n">
        <v>0.2223360410026293</v>
      </c>
      <c r="L1495" t="b">
        <v>0</v>
      </c>
      <c r="M1495" t="b">
        <v>0</v>
      </c>
      <c r="N1495" t="inlineStr">
        <is>
          <t>alt</t>
        </is>
      </c>
      <c r="O1495" t="n">
        <v>30</v>
      </c>
      <c r="P1495" t="n">
        <v>0.0006104</v>
      </c>
      <c r="Q1495" t="n">
        <v>85</v>
      </c>
      <c r="R1495" t="n">
        <v>0.05792</v>
      </c>
      <c r="S1495">
        <f>IMAGE("https://mitra.stanford.edu/kundaje/oak/projects/neuro-variants/variant_position/credible/roussos_2024/variant_figures/roussos_2024.adolescence.GLU/rs12930379_count_position.png",4,220,900)</f>
        <v/>
      </c>
      <c r="T1495">
        <f>IMAGE("https://mitra.stanford.edu/kundaje/oak/projects/neuro-variants/variant_position/credible/roussos_2024/variant_figures/roussos_2024.adolescence.GLU/rs12930379_profile_position.png",4,220,900)</f>
        <v/>
      </c>
    </row>
    <row r="1496">
      <c r="A1496" t="inlineStr">
        <is>
          <t>chr16</t>
        </is>
      </c>
      <c r="B1496" t="n">
        <v>89327154</v>
      </c>
      <c r="C1496" t="inlineStr">
        <is>
          <t>T</t>
        </is>
      </c>
      <c r="D1496" t="inlineStr">
        <is>
          <t>C</t>
        </is>
      </c>
      <c r="E1496" t="inlineStr">
        <is>
          <t>rs3114896</t>
        </is>
      </c>
      <c r="F1496" t="n">
        <v>0.076646297</v>
      </c>
      <c r="G1496" t="n">
        <v>0.0158999711373884</v>
      </c>
      <c r="H1496" t="n">
        <v>0.0111874563957898</v>
      </c>
      <c r="I1496" t="n">
        <v>0.3974999573201053</v>
      </c>
      <c r="J1496" t="n">
        <v>0.2889269920197754</v>
      </c>
      <c r="K1496" t="n">
        <v>0.282897780915507</v>
      </c>
      <c r="L1496" t="b">
        <v>1</v>
      </c>
      <c r="M1496" t="b">
        <v>0</v>
      </c>
      <c r="N1496" t="inlineStr">
        <is>
          <t>alt</t>
        </is>
      </c>
      <c r="O1496" t="n">
        <v>20</v>
      </c>
      <c r="P1496" t="n">
        <v>0.003021</v>
      </c>
      <c r="Q1496" t="n">
        <v>-90</v>
      </c>
      <c r="R1496" t="n">
        <v>0.08307</v>
      </c>
      <c r="S1496">
        <f>IMAGE("https://mitra.stanford.edu/kundaje/oak/projects/neuro-variants/variant_position/credible/roussos_2024/variant_figures/roussos_2024.adolescence.GLU/rs3114896_count_position.png",4,220,900)</f>
        <v/>
      </c>
      <c r="T1496">
        <f>IMAGE("https://mitra.stanford.edu/kundaje/oak/projects/neuro-variants/variant_position/credible/roussos_2024/variant_figures/roussos_2024.adolescence.GLU/rs3114896_profile_position.png",4,220,900)</f>
        <v/>
      </c>
    </row>
    <row r="1497">
      <c r="A1497" t="inlineStr">
        <is>
          <t>chr16</t>
        </is>
      </c>
      <c r="B1497" t="n">
        <v>89356224</v>
      </c>
      <c r="C1497" t="inlineStr">
        <is>
          <t>T</t>
        </is>
      </c>
      <c r="D1497" t="inlineStr">
        <is>
          <t>C</t>
        </is>
      </c>
      <c r="E1497" t="inlineStr">
        <is>
          <t>rs3114881</t>
        </is>
      </c>
      <c r="F1497" t="n">
        <v>0.0404169636</v>
      </c>
      <c r="G1497" t="n">
        <v>0.0987996461806476</v>
      </c>
      <c r="H1497" t="n">
        <v>0.0099643168324471</v>
      </c>
      <c r="I1497" t="n">
        <v>0.5376152953580334</v>
      </c>
      <c r="J1497" t="n">
        <v>0.4722835444484928</v>
      </c>
      <c r="K1497" t="n">
        <v>0.1078498122558633</v>
      </c>
      <c r="L1497" t="b">
        <v>0</v>
      </c>
      <c r="M1497" t="b">
        <v>0</v>
      </c>
      <c r="N1497" t="inlineStr">
        <is>
          <t>alt</t>
        </is>
      </c>
      <c r="O1497" t="n">
        <v>-70</v>
      </c>
      <c r="P1497" t="n">
        <v>0.005318</v>
      </c>
      <c r="Q1497" t="n">
        <v>100</v>
      </c>
      <c r="R1497" t="n">
        <v>0.1412</v>
      </c>
      <c r="S1497">
        <f>IMAGE("https://mitra.stanford.edu/kundaje/oak/projects/neuro-variants/variant_position/credible/roussos_2024/variant_figures/roussos_2024.adolescence.GLU/rs3114881_count_position.png",4,220,900)</f>
        <v/>
      </c>
      <c r="T1497">
        <f>IMAGE("https://mitra.stanford.edu/kundaje/oak/projects/neuro-variants/variant_position/credible/roussos_2024/variant_figures/roussos_2024.adolescence.GLU/rs3114881_profile_position.png",4,220,900)</f>
        <v/>
      </c>
    </row>
    <row r="1498">
      <c r="A1498" t="inlineStr">
        <is>
          <t>chr16</t>
        </is>
      </c>
      <c r="B1498" t="n">
        <v>89463115</v>
      </c>
      <c r="C1498" t="inlineStr">
        <is>
          <t>C</t>
        </is>
      </c>
      <c r="D1498" t="inlineStr">
        <is>
          <t>T</t>
        </is>
      </c>
      <c r="E1498" t="inlineStr">
        <is>
          <t>rs369449674</t>
        </is>
      </c>
      <c r="F1498" t="n">
        <v>-0.01160462704</v>
      </c>
      <c r="G1498" t="n">
        <v>0.4388746144445065</v>
      </c>
      <c r="H1498" t="n">
        <v>0.0147291345465788</v>
      </c>
      <c r="I1498" t="n">
        <v>0.1777338952138827</v>
      </c>
      <c r="J1498" t="n">
        <v>0.5568882125583157</v>
      </c>
      <c r="K1498" t="n">
        <v>0.0550370656228514</v>
      </c>
      <c r="L1498" t="b">
        <v>0</v>
      </c>
      <c r="M1498" t="b">
        <v>0</v>
      </c>
      <c r="N1498" t="inlineStr">
        <is>
          <t>ref</t>
        </is>
      </c>
      <c r="O1498" t="n">
        <v>-100</v>
      </c>
      <c r="P1498" t="n">
        <v>0.05774</v>
      </c>
      <c r="Q1498" t="n">
        <v>-100</v>
      </c>
      <c r="R1498" t="n">
        <v>0.0029</v>
      </c>
      <c r="S1498">
        <f>IMAGE("https://mitra.stanford.edu/kundaje/oak/projects/neuro-variants/variant_position/credible/roussos_2024/variant_figures/roussos_2024.adolescence.GLU/rs369449674_count_position.png",4,220,900)</f>
        <v/>
      </c>
      <c r="T1498">
        <f>IMAGE("https://mitra.stanford.edu/kundaje/oak/projects/neuro-variants/variant_position/credible/roussos_2024/variant_figures/roussos_2024.adolescence.GLU/rs369449674_profile_position.png",4,220,900)</f>
        <v/>
      </c>
    </row>
    <row r="1499">
      <c r="A1499" t="inlineStr">
        <is>
          <t>chr16</t>
        </is>
      </c>
      <c r="B1499" t="n">
        <v>89498995</v>
      </c>
      <c r="C1499" t="inlineStr">
        <is>
          <t>A</t>
        </is>
      </c>
      <c r="D1499" t="inlineStr">
        <is>
          <t>G</t>
        </is>
      </c>
      <c r="E1499" t="inlineStr">
        <is>
          <t>rs4785573</t>
        </is>
      </c>
      <c r="F1499" t="n">
        <v>0.07460593259999999</v>
      </c>
      <c r="G1499" t="n">
        <v>0.0233518546140156</v>
      </c>
      <c r="H1499" t="n">
        <v>0.0134696322051177</v>
      </c>
      <c r="I1499" t="n">
        <v>0.2403437820754395</v>
      </c>
      <c r="J1499" t="n">
        <v>0.4267126761972123</v>
      </c>
      <c r="K1499" t="n">
        <v>0.1444202890246541</v>
      </c>
      <c r="L1499" t="b">
        <v>0</v>
      </c>
      <c r="M1499" t="b">
        <v>0</v>
      </c>
      <c r="N1499" t="inlineStr">
        <is>
          <t>alt</t>
        </is>
      </c>
      <c r="O1499" t="n">
        <v>-100</v>
      </c>
      <c r="P1499" t="n">
        <v>0.0238</v>
      </c>
      <c r="Q1499" t="n">
        <v>35</v>
      </c>
      <c r="R1499" t="n">
        <v>0.01855</v>
      </c>
      <c r="S1499">
        <f>IMAGE("https://mitra.stanford.edu/kundaje/oak/projects/neuro-variants/variant_position/credible/roussos_2024/variant_figures/roussos_2024.adolescence.GLU/rs4785573_count_position.png",4,220,900)</f>
        <v/>
      </c>
      <c r="T1499">
        <f>IMAGE("https://mitra.stanford.edu/kundaje/oak/projects/neuro-variants/variant_position/credible/roussos_2024/variant_figures/roussos_2024.adolescence.GLU/rs4785573_profile_position.png",4,220,900)</f>
        <v/>
      </c>
    </row>
    <row r="1500">
      <c r="A1500" t="inlineStr">
        <is>
          <t>chr16</t>
        </is>
      </c>
      <c r="B1500" t="n">
        <v>89526790</v>
      </c>
      <c r="C1500" t="inlineStr">
        <is>
          <t>C</t>
        </is>
      </c>
      <c r="D1500" t="inlineStr">
        <is>
          <t>T</t>
        </is>
      </c>
      <c r="E1500" t="inlineStr">
        <is>
          <t>rs34607811</t>
        </is>
      </c>
      <c r="F1500" t="n">
        <v>-0.0548731124</v>
      </c>
      <c r="G1500" t="n">
        <v>0.0559097995398209</v>
      </c>
      <c r="H1500" t="n">
        <v>0.0150528035973894</v>
      </c>
      <c r="I1500" t="n">
        <v>0.1598161161412671</v>
      </c>
      <c r="J1500" t="n">
        <v>0.61158668581349</v>
      </c>
      <c r="K1500" t="n">
        <v>0.0343987240741264</v>
      </c>
      <c r="L1500" t="b">
        <v>0</v>
      </c>
      <c r="M1500" t="b">
        <v>0</v>
      </c>
      <c r="N1500" t="inlineStr">
        <is>
          <t>ref</t>
        </is>
      </c>
      <c r="O1500" t="n">
        <v>100</v>
      </c>
      <c r="P1500" t="n">
        <v>0.001513</v>
      </c>
      <c r="Q1500" t="n">
        <v>100</v>
      </c>
      <c r="R1500" t="n">
        <v>0.2654</v>
      </c>
      <c r="S1500">
        <f>IMAGE("https://mitra.stanford.edu/kundaje/oak/projects/neuro-variants/variant_position/credible/roussos_2024/variant_figures/roussos_2024.adolescence.GLU/rs34607811_count_position.png",4,220,900)</f>
        <v/>
      </c>
      <c r="T1500">
        <f>IMAGE("https://mitra.stanford.edu/kundaje/oak/projects/neuro-variants/variant_position/credible/roussos_2024/variant_figures/roussos_2024.adolescence.GLU/rs34607811_profile_position.png",4,220,900)</f>
        <v/>
      </c>
    </row>
    <row r="1501">
      <c r="A1501" t="inlineStr">
        <is>
          <t>chr16</t>
        </is>
      </c>
      <c r="B1501" t="n">
        <v>89649256</v>
      </c>
      <c r="C1501" t="inlineStr">
        <is>
          <t>C</t>
        </is>
      </c>
      <c r="D1501" t="inlineStr">
        <is>
          <t>T</t>
        </is>
      </c>
      <c r="E1501" t="inlineStr">
        <is>
          <t>rs72805595</t>
        </is>
      </c>
      <c r="F1501" t="n">
        <v>-0.0447392758</v>
      </c>
      <c r="G1501" t="n">
        <v>0.0895687097728995</v>
      </c>
      <c r="H1501" t="n">
        <v>0.0130598732653514</v>
      </c>
      <c r="I1501" t="n">
        <v>0.2460085786815493</v>
      </c>
      <c r="J1501" t="n">
        <v>0.5503511441655771</v>
      </c>
      <c r="K1501" t="n">
        <v>0.0587303769538769</v>
      </c>
      <c r="L1501" t="b">
        <v>0</v>
      </c>
      <c r="M1501" t="b">
        <v>0</v>
      </c>
      <c r="N1501" t="inlineStr">
        <is>
          <t>ref</t>
        </is>
      </c>
      <c r="O1501" t="n">
        <v>-100</v>
      </c>
      <c r="P1501" t="n">
        <v>0.02823</v>
      </c>
      <c r="Q1501" t="n">
        <v>80</v>
      </c>
      <c r="R1501" t="n">
        <v>0.1184</v>
      </c>
      <c r="S1501">
        <f>IMAGE("https://mitra.stanford.edu/kundaje/oak/projects/neuro-variants/variant_position/credible/roussos_2024/variant_figures/roussos_2024.adolescence.GLU/rs72805595_count_position.png",4,220,900)</f>
        <v/>
      </c>
      <c r="T1501">
        <f>IMAGE("https://mitra.stanford.edu/kundaje/oak/projects/neuro-variants/variant_position/credible/roussos_2024/variant_figures/roussos_2024.adolescence.GLU/rs72805595_profile_position.png",4,220,900)</f>
        <v/>
      </c>
    </row>
    <row r="1502">
      <c r="A1502" t="inlineStr">
        <is>
          <t>chr16</t>
        </is>
      </c>
      <c r="B1502" t="n">
        <v>89650989</v>
      </c>
      <c r="C1502" t="inlineStr">
        <is>
          <t>A</t>
        </is>
      </c>
      <c r="D1502" t="inlineStr">
        <is>
          <t>G</t>
        </is>
      </c>
      <c r="E1502" t="inlineStr">
        <is>
          <t>rs467357</t>
        </is>
      </c>
      <c r="F1502" t="n">
        <v>0.0496734846</v>
      </c>
      <c r="G1502" t="n">
        <v>0.0635460363057703</v>
      </c>
      <c r="H1502" t="n">
        <v>0.009540466967479001</v>
      </c>
      <c r="I1502" t="n">
        <v>0.5999967654902076</v>
      </c>
      <c r="J1502" t="n">
        <v>0.3674361117660086</v>
      </c>
      <c r="K1502" t="n">
        <v>0.1977410819628172</v>
      </c>
      <c r="L1502" t="b">
        <v>0</v>
      </c>
      <c r="M1502" t="b">
        <v>0</v>
      </c>
      <c r="N1502" t="inlineStr">
        <is>
          <t>alt</t>
        </is>
      </c>
      <c r="O1502" t="n">
        <v>-75</v>
      </c>
      <c r="P1502" t="n">
        <v>0.03915</v>
      </c>
      <c r="Q1502" t="n">
        <v>-65</v>
      </c>
      <c r="R1502" t="n">
        <v>0.06238</v>
      </c>
      <c r="S1502">
        <f>IMAGE("https://mitra.stanford.edu/kundaje/oak/projects/neuro-variants/variant_position/credible/roussos_2024/variant_figures/roussos_2024.adolescence.GLU/rs467357_count_position.png",4,220,900)</f>
        <v/>
      </c>
      <c r="T1502">
        <f>IMAGE("https://mitra.stanford.edu/kundaje/oak/projects/neuro-variants/variant_position/credible/roussos_2024/variant_figures/roussos_2024.adolescence.GLU/rs467357_profile_position.png",4,220,900)</f>
        <v/>
      </c>
    </row>
    <row r="1503">
      <c r="A1503" t="inlineStr">
        <is>
          <t>chr16</t>
        </is>
      </c>
      <c r="B1503" t="n">
        <v>89738447</v>
      </c>
      <c r="C1503" t="inlineStr">
        <is>
          <t>C</t>
        </is>
      </c>
      <c r="D1503" t="inlineStr">
        <is>
          <t>T</t>
        </is>
      </c>
      <c r="E1503" t="inlineStr">
        <is>
          <t>rs1230</t>
        </is>
      </c>
      <c r="F1503" t="n">
        <v>-0.0424124724</v>
      </c>
      <c r="G1503" t="n">
        <v>0.0971925733919492</v>
      </c>
      <c r="H1503" t="n">
        <v>0.0134146463437017</v>
      </c>
      <c r="I1503" t="n">
        <v>0.2310620069296498</v>
      </c>
      <c r="J1503" t="n">
        <v>0.5891806159847397</v>
      </c>
      <c r="K1503" t="n">
        <v>0.0419203054367846</v>
      </c>
      <c r="L1503" t="b">
        <v>0</v>
      </c>
      <c r="M1503" t="b">
        <v>0</v>
      </c>
      <c r="N1503" t="inlineStr">
        <is>
          <t>ref</t>
        </is>
      </c>
      <c r="O1503" t="n">
        <v>10</v>
      </c>
      <c r="P1503" t="n">
        <v>0.0004501</v>
      </c>
      <c r="Q1503" t="n">
        <v>-80</v>
      </c>
      <c r="R1503" t="n">
        <v>0.0631</v>
      </c>
      <c r="S1503">
        <f>IMAGE("https://mitra.stanford.edu/kundaje/oak/projects/neuro-variants/variant_position/credible/roussos_2024/variant_figures/roussos_2024.adolescence.GLU/rs1230_count_position.png",4,220,900)</f>
        <v/>
      </c>
      <c r="T1503">
        <f>IMAGE("https://mitra.stanford.edu/kundaje/oak/projects/neuro-variants/variant_position/credible/roussos_2024/variant_figures/roussos_2024.adolescence.GLU/rs1230_profile_position.png",4,220,900)</f>
        <v/>
      </c>
    </row>
    <row r="1504">
      <c r="A1504" t="inlineStr">
        <is>
          <t>chr16</t>
        </is>
      </c>
      <c r="B1504" t="n">
        <v>89746354</v>
      </c>
      <c r="C1504" t="inlineStr">
        <is>
          <t>C</t>
        </is>
      </c>
      <c r="D1504" t="inlineStr">
        <is>
          <t>A</t>
        </is>
      </c>
      <c r="E1504" t="inlineStr">
        <is>
          <t>rs12102297</t>
        </is>
      </c>
      <c r="F1504" t="n">
        <v>-0.0712530352</v>
      </c>
      <c r="G1504" t="n">
        <v>0.0241127029629264</v>
      </c>
      <c r="H1504" t="n">
        <v>0.0201333437716974</v>
      </c>
      <c r="I1504" t="n">
        <v>0.0569731825312087</v>
      </c>
      <c r="J1504" t="n">
        <v>0.5730344142715277</v>
      </c>
      <c r="K1504" t="n">
        <v>0.0490731111176628</v>
      </c>
      <c r="L1504" t="b">
        <v>0</v>
      </c>
      <c r="M1504" t="b">
        <v>0</v>
      </c>
      <c r="N1504" t="inlineStr">
        <is>
          <t>ref</t>
        </is>
      </c>
      <c r="O1504" t="n">
        <v>95</v>
      </c>
      <c r="P1504" t="n">
        <v>0.00611</v>
      </c>
      <c r="Q1504" t="n">
        <v>-90</v>
      </c>
      <c r="R1504" t="n">
        <v>0.0745</v>
      </c>
      <c r="S1504">
        <f>IMAGE("https://mitra.stanford.edu/kundaje/oak/projects/neuro-variants/variant_position/credible/roussos_2024/variant_figures/roussos_2024.adolescence.GLU/rs12102297_count_position.png",4,220,900)</f>
        <v/>
      </c>
      <c r="T1504">
        <f>IMAGE("https://mitra.stanford.edu/kundaje/oak/projects/neuro-variants/variant_position/credible/roussos_2024/variant_figures/roussos_2024.adolescence.GLU/rs12102297_profile_position.png",4,220,900)</f>
        <v/>
      </c>
    </row>
    <row r="1505">
      <c r="A1505" t="inlineStr">
        <is>
          <t>chr16</t>
        </is>
      </c>
      <c r="B1505" t="n">
        <v>89763487</v>
      </c>
      <c r="C1505" t="inlineStr">
        <is>
          <t>C</t>
        </is>
      </c>
      <c r="D1505" t="inlineStr">
        <is>
          <t>T</t>
        </is>
      </c>
      <c r="E1505" t="inlineStr">
        <is>
          <t>rs12447465</t>
        </is>
      </c>
      <c r="F1505" t="n">
        <v>0.008908879200000001</v>
      </c>
      <c r="G1505" t="n">
        <v>0.5493127207746195</v>
      </c>
      <c r="H1505" t="n">
        <v>0.031992955028212</v>
      </c>
      <c r="I1505" t="n">
        <v>0.0064850773153999</v>
      </c>
      <c r="J1505" t="n">
        <v>0.0497688806967157</v>
      </c>
      <c r="K1505" t="n">
        <v>0.7141357503646074</v>
      </c>
      <c r="L1505" t="b">
        <v>1</v>
      </c>
      <c r="M1505" t="b">
        <v>0</v>
      </c>
      <c r="N1505" t="inlineStr">
        <is>
          <t>alt</t>
        </is>
      </c>
      <c r="O1505" t="n">
        <v>-100</v>
      </c>
      <c r="P1505" t="n">
        <v>0.05356</v>
      </c>
      <c r="Q1505" t="n">
        <v>100</v>
      </c>
      <c r="R1505" t="n">
        <v>0.09753000000000001</v>
      </c>
      <c r="S1505">
        <f>IMAGE("https://mitra.stanford.edu/kundaje/oak/projects/neuro-variants/variant_position/credible/roussos_2024/variant_figures/roussos_2024.adolescence.GLU/rs12447465_count_position.png",4,220,900)</f>
        <v/>
      </c>
      <c r="T1505">
        <f>IMAGE("https://mitra.stanford.edu/kundaje/oak/projects/neuro-variants/variant_position/credible/roussos_2024/variant_figures/roussos_2024.adolescence.GLU/rs12447465_profile_position.png",4,220,900)</f>
        <v/>
      </c>
    </row>
    <row r="1506">
      <c r="A1506" t="inlineStr">
        <is>
          <t>chr16</t>
        </is>
      </c>
      <c r="B1506" t="n">
        <v>89769113</v>
      </c>
      <c r="C1506" t="inlineStr">
        <is>
          <t>A</t>
        </is>
      </c>
      <c r="D1506" t="inlineStr">
        <is>
          <t>G</t>
        </is>
      </c>
      <c r="E1506" t="inlineStr">
        <is>
          <t>rs4785595</t>
        </is>
      </c>
      <c r="F1506" t="n">
        <v>-0.00505408078</v>
      </c>
      <c r="G1506" t="n">
        <v>0.6855036187250391</v>
      </c>
      <c r="H1506" t="n">
        <v>0.0092812554799406</v>
      </c>
      <c r="I1506" t="n">
        <v>0.6335804178243067</v>
      </c>
      <c r="J1506" t="n">
        <v>0.4203927956505276</v>
      </c>
      <c r="K1506" t="n">
        <v>0.149154632142576</v>
      </c>
      <c r="L1506" t="b">
        <v>0</v>
      </c>
      <c r="M1506" t="b">
        <v>0</v>
      </c>
      <c r="N1506" t="inlineStr">
        <is>
          <t>ref</t>
        </is>
      </c>
      <c r="O1506" t="n">
        <v>-30</v>
      </c>
      <c r="P1506" t="n">
        <v>0.002419</v>
      </c>
      <c r="Q1506" t="n">
        <v>100</v>
      </c>
      <c r="R1506" t="n">
        <v>0.08359999999999999</v>
      </c>
      <c r="S1506">
        <f>IMAGE("https://mitra.stanford.edu/kundaje/oak/projects/neuro-variants/variant_position/credible/roussos_2024/variant_figures/roussos_2024.adolescence.GLU/rs4785595_count_position.png",4,220,900)</f>
        <v/>
      </c>
      <c r="T1506">
        <f>IMAGE("https://mitra.stanford.edu/kundaje/oak/projects/neuro-variants/variant_position/credible/roussos_2024/variant_figures/roussos_2024.adolescence.GLU/rs4785595_profile_position.png",4,220,900)</f>
        <v/>
      </c>
    </row>
    <row r="1507">
      <c r="A1507" t="inlineStr">
        <is>
          <t>chr16</t>
        </is>
      </c>
      <c r="B1507" t="n">
        <v>89770373</v>
      </c>
      <c r="C1507" t="inlineStr">
        <is>
          <t>G</t>
        </is>
      </c>
      <c r="D1507" t="inlineStr">
        <is>
          <t>A</t>
        </is>
      </c>
      <c r="E1507" t="inlineStr">
        <is>
          <t>rs886952</t>
        </is>
      </c>
      <c r="F1507" t="n">
        <v>-0.0184112384</v>
      </c>
      <c r="G1507" t="n">
        <v>0.3505591204217882</v>
      </c>
      <c r="H1507" t="n">
        <v>0.0116058777458394</v>
      </c>
      <c r="I1507" t="n">
        <v>0.3603476357174166</v>
      </c>
      <c r="J1507" t="n">
        <v>0.5380543112501875</v>
      </c>
      <c r="K1507" t="n">
        <v>0.0647949673604736</v>
      </c>
      <c r="L1507" t="b">
        <v>0</v>
      </c>
      <c r="M1507" t="b">
        <v>0</v>
      </c>
      <c r="N1507" t="inlineStr">
        <is>
          <t>ref</t>
        </is>
      </c>
      <c r="O1507" t="n">
        <v>100</v>
      </c>
      <c r="P1507" t="n">
        <v>0.003124</v>
      </c>
      <c r="Q1507" t="n">
        <v>85</v>
      </c>
      <c r="R1507" t="n">
        <v>0.05417</v>
      </c>
      <c r="S1507">
        <f>IMAGE("https://mitra.stanford.edu/kundaje/oak/projects/neuro-variants/variant_position/credible/roussos_2024/variant_figures/roussos_2024.adolescence.GLU/rs886952_count_position.png",4,220,900)</f>
        <v/>
      </c>
      <c r="T1507">
        <f>IMAGE("https://mitra.stanford.edu/kundaje/oak/projects/neuro-variants/variant_position/credible/roussos_2024/variant_figures/roussos_2024.adolescence.GLU/rs886952_profile_position.png",4,220,900)</f>
        <v/>
      </c>
    </row>
    <row r="1508">
      <c r="A1508" t="inlineStr">
        <is>
          <t>chr16</t>
        </is>
      </c>
      <c r="B1508" t="n">
        <v>89773589</v>
      </c>
      <c r="C1508" t="inlineStr">
        <is>
          <t>G</t>
        </is>
      </c>
      <c r="D1508" t="inlineStr">
        <is>
          <t>A</t>
        </is>
      </c>
      <c r="E1508" t="inlineStr">
        <is>
          <t>rs4785721</t>
        </is>
      </c>
      <c r="F1508" t="n">
        <v>-0.025229981</v>
      </c>
      <c r="G1508" t="n">
        <v>0.2290765596747974</v>
      </c>
      <c r="H1508" t="n">
        <v>0.0114701418929319</v>
      </c>
      <c r="I1508" t="n">
        <v>0.3662050447124402</v>
      </c>
      <c r="J1508" t="n">
        <v>0.3837694951097012</v>
      </c>
      <c r="K1508" t="n">
        <v>0.1824663748314661</v>
      </c>
      <c r="L1508" t="b">
        <v>0</v>
      </c>
      <c r="M1508" t="b">
        <v>0</v>
      </c>
      <c r="N1508" t="inlineStr">
        <is>
          <t>ref</t>
        </is>
      </c>
      <c r="O1508" t="n">
        <v>100</v>
      </c>
      <c r="P1508" t="n">
        <v>0.0101</v>
      </c>
      <c r="Q1508" t="n">
        <v>15</v>
      </c>
      <c r="R1508" t="n">
        <v>0.02585</v>
      </c>
      <c r="S1508">
        <f>IMAGE("https://mitra.stanford.edu/kundaje/oak/projects/neuro-variants/variant_position/credible/roussos_2024/variant_figures/roussos_2024.adolescence.GLU/rs4785721_count_position.png",4,220,900)</f>
        <v/>
      </c>
      <c r="T1508">
        <f>IMAGE("https://mitra.stanford.edu/kundaje/oak/projects/neuro-variants/variant_position/credible/roussos_2024/variant_figures/roussos_2024.adolescence.GLU/rs4785721_profile_position.png",4,220,900)</f>
        <v/>
      </c>
    </row>
    <row r="1509">
      <c r="A1509" t="inlineStr">
        <is>
          <t>chr16</t>
        </is>
      </c>
      <c r="B1509" t="n">
        <v>89775966</v>
      </c>
      <c r="C1509" t="inlineStr">
        <is>
          <t>T</t>
        </is>
      </c>
      <c r="D1509" t="inlineStr">
        <is>
          <t>G</t>
        </is>
      </c>
      <c r="E1509" t="inlineStr">
        <is>
          <t>rs1558184</t>
        </is>
      </c>
      <c r="F1509" t="n">
        <v>0.00555875588</v>
      </c>
      <c r="G1509" t="n">
        <v>0.6851386525371955</v>
      </c>
      <c r="H1509" t="n">
        <v>0.0137563461690917</v>
      </c>
      <c r="I1509" t="n">
        <v>0.2362752585046985</v>
      </c>
      <c r="J1509" t="n">
        <v>0.3125418836759042</v>
      </c>
      <c r="K1509" t="n">
        <v>0.2539996616355893</v>
      </c>
      <c r="L1509" t="b">
        <v>0</v>
      </c>
      <c r="M1509" t="b">
        <v>0</v>
      </c>
      <c r="N1509" t="inlineStr">
        <is>
          <t>alt</t>
        </is>
      </c>
      <c r="O1509" t="n">
        <v>85</v>
      </c>
      <c r="P1509" t="n">
        <v>0.0384</v>
      </c>
      <c r="Q1509" t="n">
        <v>-85</v>
      </c>
      <c r="R1509" t="n">
        <v>0.1282</v>
      </c>
      <c r="S1509">
        <f>IMAGE("https://mitra.stanford.edu/kundaje/oak/projects/neuro-variants/variant_position/credible/roussos_2024/variant_figures/roussos_2024.adolescence.GLU/rs1558184_count_position.png",4,220,900)</f>
        <v/>
      </c>
      <c r="T1509">
        <f>IMAGE("https://mitra.stanford.edu/kundaje/oak/projects/neuro-variants/variant_position/credible/roussos_2024/variant_figures/roussos_2024.adolescence.GLU/rs1558184_profile_position.png",4,220,900)</f>
        <v/>
      </c>
    </row>
    <row r="1510">
      <c r="A1510" t="inlineStr">
        <is>
          <t>chr16</t>
        </is>
      </c>
      <c r="B1510" t="n">
        <v>89783907</v>
      </c>
      <c r="C1510" t="inlineStr">
        <is>
          <t>G</t>
        </is>
      </c>
      <c r="D1510" t="inlineStr">
        <is>
          <t>A</t>
        </is>
      </c>
      <c r="E1510" t="inlineStr">
        <is>
          <t>rs17232672</t>
        </is>
      </c>
      <c r="F1510" t="n">
        <v>0.106491386</v>
      </c>
      <c r="G1510" t="n">
        <v>0.0072093046691068</v>
      </c>
      <c r="H1510" t="n">
        <v>0.032857240238166</v>
      </c>
      <c r="I1510" t="n">
        <v>0.0062599938263012</v>
      </c>
      <c r="J1510" t="n">
        <v>0.3921769509398375</v>
      </c>
      <c r="K1510" t="n">
        <v>0.1748056401648986</v>
      </c>
      <c r="L1510" t="b">
        <v>1</v>
      </c>
      <c r="M1510" t="b">
        <v>1</v>
      </c>
      <c r="N1510" t="inlineStr">
        <is>
          <t>alt</t>
        </is>
      </c>
      <c r="O1510" t="n">
        <v>-45</v>
      </c>
      <c r="P1510" t="n">
        <v>0.004707</v>
      </c>
      <c r="Q1510" t="n">
        <v>-100</v>
      </c>
      <c r="R1510" t="n">
        <v>0.1522</v>
      </c>
      <c r="S1510">
        <f>IMAGE("https://mitra.stanford.edu/kundaje/oak/projects/neuro-variants/variant_position/credible/roussos_2024/variant_figures/roussos_2024.adolescence.GLU/rs17232672_count_position.png",4,220,900)</f>
        <v/>
      </c>
      <c r="T1510">
        <f>IMAGE("https://mitra.stanford.edu/kundaje/oak/projects/neuro-variants/variant_position/credible/roussos_2024/variant_figures/roussos_2024.adolescence.GLU/rs17232672_profile_position.png",4,220,900)</f>
        <v/>
      </c>
    </row>
    <row r="1511">
      <c r="A1511" t="inlineStr">
        <is>
          <t>chr16</t>
        </is>
      </c>
      <c r="B1511" t="n">
        <v>89791140</v>
      </c>
      <c r="C1511" t="inlineStr">
        <is>
          <t>A</t>
        </is>
      </c>
      <c r="D1511" t="inlineStr">
        <is>
          <t>G</t>
        </is>
      </c>
      <c r="E1511" t="inlineStr">
        <is>
          <t>rs8045232</t>
        </is>
      </c>
      <c r="F1511" t="n">
        <v>0.0560476218</v>
      </c>
      <c r="G1511" t="n">
        <v>0.0452023613277376</v>
      </c>
      <c r="H1511" t="n">
        <v>0.0098803828893967</v>
      </c>
      <c r="I1511" t="n">
        <v>0.5459153249315349</v>
      </c>
      <c r="J1511" t="n">
        <v>0.4003629323216951</v>
      </c>
      <c r="K1511" t="n">
        <v>0.1674412381942119</v>
      </c>
      <c r="L1511" t="b">
        <v>0</v>
      </c>
      <c r="M1511" t="b">
        <v>0</v>
      </c>
      <c r="N1511" t="inlineStr">
        <is>
          <t>alt</t>
        </is>
      </c>
      <c r="O1511" t="n">
        <v>-30</v>
      </c>
      <c r="P1511" t="n">
        <v>0.00598</v>
      </c>
      <c r="Q1511" t="n">
        <v>75</v>
      </c>
      <c r="R1511" t="n">
        <v>0.04037</v>
      </c>
      <c r="S1511">
        <f>IMAGE("https://mitra.stanford.edu/kundaje/oak/projects/neuro-variants/variant_position/credible/roussos_2024/variant_figures/roussos_2024.adolescence.GLU/rs8045232_count_position.png",4,220,900)</f>
        <v/>
      </c>
      <c r="T1511">
        <f>IMAGE("https://mitra.stanford.edu/kundaje/oak/projects/neuro-variants/variant_position/credible/roussos_2024/variant_figures/roussos_2024.adolescence.GLU/rs8045232_profile_position.png",4,220,900)</f>
        <v/>
      </c>
    </row>
    <row r="1512">
      <c r="A1512" t="inlineStr">
        <is>
          <t>chr16</t>
        </is>
      </c>
      <c r="B1512" t="n">
        <v>89801389</v>
      </c>
      <c r="C1512" t="inlineStr">
        <is>
          <t>A</t>
        </is>
      </c>
      <c r="D1512" t="inlineStr">
        <is>
          <t>G</t>
        </is>
      </c>
      <c r="E1512" t="inlineStr">
        <is>
          <t>rs9938865</t>
        </is>
      </c>
      <c r="F1512" t="n">
        <v>0.0193475786</v>
      </c>
      <c r="G1512" t="n">
        <v>0.2908574032607982</v>
      </c>
      <c r="H1512" t="n">
        <v>0.0123009458122637</v>
      </c>
      <c r="I1512" t="n">
        <v>0.3023659724316768</v>
      </c>
      <c r="J1512" t="n">
        <v>0.2178994220231333</v>
      </c>
      <c r="K1512" t="n">
        <v>0.3782467296185443</v>
      </c>
      <c r="L1512" t="b">
        <v>0</v>
      </c>
      <c r="M1512" t="b">
        <v>0</v>
      </c>
      <c r="N1512" t="inlineStr">
        <is>
          <t>alt</t>
        </is>
      </c>
      <c r="O1512" t="n">
        <v>10</v>
      </c>
      <c r="P1512" t="n">
        <v>0.0008545</v>
      </c>
      <c r="Q1512" t="n">
        <v>-95</v>
      </c>
      <c r="R1512" t="n">
        <v>0.04068</v>
      </c>
      <c r="S1512">
        <f>IMAGE("https://mitra.stanford.edu/kundaje/oak/projects/neuro-variants/variant_position/credible/roussos_2024/variant_figures/roussos_2024.adolescence.GLU/rs9938865_count_position.png",4,220,900)</f>
        <v/>
      </c>
      <c r="T1512">
        <f>IMAGE("https://mitra.stanford.edu/kundaje/oak/projects/neuro-variants/variant_position/credible/roussos_2024/variant_figures/roussos_2024.adolescence.GLU/rs9938865_profile_position.png",4,220,900)</f>
        <v/>
      </c>
    </row>
    <row r="1513">
      <c r="A1513" t="inlineStr">
        <is>
          <t>chr16</t>
        </is>
      </c>
      <c r="B1513" t="n">
        <v>89806819</v>
      </c>
      <c r="C1513" t="inlineStr">
        <is>
          <t>T</t>
        </is>
      </c>
      <c r="D1513" t="inlineStr">
        <is>
          <t>C</t>
        </is>
      </c>
      <c r="E1513" t="inlineStr">
        <is>
          <t>rs9940552</t>
        </is>
      </c>
      <c r="F1513" t="n">
        <v>0.0079812181</v>
      </c>
      <c r="G1513" t="n">
        <v>0.5506270137287353</v>
      </c>
      <c r="H1513" t="n">
        <v>0.0095134087909826</v>
      </c>
      <c r="I1513" t="n">
        <v>0.5492785609001537</v>
      </c>
      <c r="J1513" t="n">
        <v>0.3265576440834172</v>
      </c>
      <c r="K1513" t="n">
        <v>0.2419962591599984</v>
      </c>
      <c r="L1513" t="b">
        <v>0</v>
      </c>
      <c r="M1513" t="b">
        <v>0</v>
      </c>
      <c r="N1513" t="inlineStr">
        <is>
          <t>alt</t>
        </is>
      </c>
      <c r="O1513" t="n">
        <v>60</v>
      </c>
      <c r="P1513" t="n">
        <v>0.014145</v>
      </c>
      <c r="Q1513" t="n">
        <v>65</v>
      </c>
      <c r="R1513" t="n">
        <v>0.1212</v>
      </c>
      <c r="S1513">
        <f>IMAGE("https://mitra.stanford.edu/kundaje/oak/projects/neuro-variants/variant_position/credible/roussos_2024/variant_figures/roussos_2024.adolescence.GLU/rs9940552_count_position.png",4,220,900)</f>
        <v/>
      </c>
      <c r="T1513">
        <f>IMAGE("https://mitra.stanford.edu/kundaje/oak/projects/neuro-variants/variant_position/credible/roussos_2024/variant_figures/roussos_2024.adolescence.GLU/rs9940552_profile_position.png",4,220,900)</f>
        <v/>
      </c>
    </row>
    <row r="1514">
      <c r="A1514" t="inlineStr">
        <is>
          <t>chr16</t>
        </is>
      </c>
      <c r="B1514" t="n">
        <v>89806969</v>
      </c>
      <c r="C1514" t="inlineStr">
        <is>
          <t>G</t>
        </is>
      </c>
      <c r="D1514" t="inlineStr">
        <is>
          <t>A</t>
        </is>
      </c>
      <c r="E1514" t="inlineStr">
        <is>
          <t>rs9927381</t>
        </is>
      </c>
      <c r="F1514" t="n">
        <v>-0.0167010198</v>
      </c>
      <c r="G1514" t="n">
        <v>0.3559056400763727</v>
      </c>
      <c r="H1514" t="n">
        <v>0.0180282455150537</v>
      </c>
      <c r="I1514" t="n">
        <v>0.0833721237101577</v>
      </c>
      <c r="J1514" t="n">
        <v>0.3529602560530395</v>
      </c>
      <c r="K1514" t="n">
        <v>0.2138870760966526</v>
      </c>
      <c r="L1514" t="b">
        <v>0</v>
      </c>
      <c r="M1514" t="b">
        <v>0</v>
      </c>
      <c r="N1514" t="inlineStr">
        <is>
          <t>ref</t>
        </is>
      </c>
      <c r="O1514" t="n">
        <v>100</v>
      </c>
      <c r="P1514" t="n">
        <v>0.0469</v>
      </c>
      <c r="Q1514" t="n">
        <v>-85</v>
      </c>
      <c r="R1514" t="n">
        <v>0.1251</v>
      </c>
      <c r="S1514">
        <f>IMAGE("https://mitra.stanford.edu/kundaje/oak/projects/neuro-variants/variant_position/credible/roussos_2024/variant_figures/roussos_2024.adolescence.GLU/rs9927381_count_position.png",4,220,900)</f>
        <v/>
      </c>
      <c r="T1514">
        <f>IMAGE("https://mitra.stanford.edu/kundaje/oak/projects/neuro-variants/variant_position/credible/roussos_2024/variant_figures/roussos_2024.adolescence.GLU/rs9927381_profile_position.png",4,220,900)</f>
        <v/>
      </c>
    </row>
    <row r="1515">
      <c r="A1515" t="inlineStr">
        <is>
          <t>chr17</t>
        </is>
      </c>
      <c r="B1515" t="n">
        <v>1342148</v>
      </c>
      <c r="C1515" t="inlineStr">
        <is>
          <t>T</t>
        </is>
      </c>
      <c r="D1515" t="inlineStr">
        <is>
          <t>G</t>
        </is>
      </c>
      <c r="E1515" t="inlineStr">
        <is>
          <t>rs75329315</t>
        </is>
      </c>
      <c r="F1515" t="n">
        <v>-0.008734591205999899</v>
      </c>
      <c r="G1515" t="n">
        <v>0.589745644764486</v>
      </c>
      <c r="H1515" t="n">
        <v>0.0137724358522677</v>
      </c>
      <c r="I1515" t="n">
        <v>0.2206183431404144</v>
      </c>
      <c r="J1515" t="n">
        <v>0.4221331561537747</v>
      </c>
      <c r="K1515" t="n">
        <v>0.1477937081969242</v>
      </c>
      <c r="L1515" t="b">
        <v>0</v>
      </c>
      <c r="M1515" t="b">
        <v>0</v>
      </c>
      <c r="N1515" t="inlineStr">
        <is>
          <t>ref</t>
        </is>
      </c>
      <c r="O1515" t="n">
        <v>-100</v>
      </c>
      <c r="P1515" t="n">
        <v>0.01396</v>
      </c>
      <c r="Q1515" t="n">
        <v>-100</v>
      </c>
      <c r="R1515" t="n">
        <v>0.0456</v>
      </c>
      <c r="S1515">
        <f>IMAGE("https://mitra.stanford.edu/kundaje/oak/projects/neuro-variants/variant_position/credible/roussos_2024/variant_figures/roussos_2024.adolescence.GLU/rs75329315_count_position.png",4,220,900)</f>
        <v/>
      </c>
      <c r="T1515">
        <f>IMAGE("https://mitra.stanford.edu/kundaje/oak/projects/neuro-variants/variant_position/credible/roussos_2024/variant_figures/roussos_2024.adolescence.GLU/rs75329315_profile_position.png",4,220,900)</f>
        <v/>
      </c>
    </row>
    <row r="1516">
      <c r="A1516" t="inlineStr">
        <is>
          <t>chr17</t>
        </is>
      </c>
      <c r="B1516" t="n">
        <v>2008591</v>
      </c>
      <c r="C1516" t="inlineStr">
        <is>
          <t>G</t>
        </is>
      </c>
      <c r="D1516" t="inlineStr">
        <is>
          <t>A</t>
        </is>
      </c>
      <c r="E1516" t="inlineStr">
        <is>
          <t>rs7225625</t>
        </is>
      </c>
      <c r="F1516" t="n">
        <v>0.01325198504</v>
      </c>
      <c r="G1516" t="n">
        <v>0.461818977305481</v>
      </c>
      <c r="H1516" t="n">
        <v>0.0283038323069543</v>
      </c>
      <c r="I1516" t="n">
        <v>0.0124442284711938</v>
      </c>
      <c r="J1516" t="n">
        <v>0.4243064634817212</v>
      </c>
      <c r="K1516" t="n">
        <v>0.143901233808029</v>
      </c>
      <c r="L1516" t="b">
        <v>1</v>
      </c>
      <c r="M1516" t="b">
        <v>0</v>
      </c>
      <c r="N1516" t="inlineStr">
        <is>
          <t>alt</t>
        </is>
      </c>
      <c r="O1516" t="n">
        <v>-100</v>
      </c>
      <c r="P1516" t="n">
        <v>0.01276</v>
      </c>
      <c r="Q1516" t="n">
        <v>-40</v>
      </c>
      <c r="R1516" t="n">
        <v>0.1134</v>
      </c>
      <c r="S1516">
        <f>IMAGE("https://mitra.stanford.edu/kundaje/oak/projects/neuro-variants/variant_position/credible/roussos_2024/variant_figures/roussos_2024.adolescence.GLU/rs7225625_count_position.png",4,220,900)</f>
        <v/>
      </c>
      <c r="T1516">
        <f>IMAGE("https://mitra.stanford.edu/kundaje/oak/projects/neuro-variants/variant_position/credible/roussos_2024/variant_figures/roussos_2024.adolescence.GLU/rs7225625_profile_position.png",4,220,900)</f>
        <v/>
      </c>
    </row>
    <row r="1517">
      <c r="A1517" t="inlineStr">
        <is>
          <t>chr17</t>
        </is>
      </c>
      <c r="B1517" t="n">
        <v>2008698</v>
      </c>
      <c r="C1517" t="inlineStr">
        <is>
          <t>T</t>
        </is>
      </c>
      <c r="D1517" t="inlineStr">
        <is>
          <t>C</t>
        </is>
      </c>
      <c r="E1517" t="inlineStr">
        <is>
          <t>rs9906314</t>
        </is>
      </c>
      <c r="F1517" t="n">
        <v>0.08329338479999999</v>
      </c>
      <c r="G1517" t="n">
        <v>0.0137014087269075</v>
      </c>
      <c r="H1517" t="n">
        <v>0.0124027788985636</v>
      </c>
      <c r="I1517" t="n">
        <v>0.2864286593197906</v>
      </c>
      <c r="J1517" t="n">
        <v>0.4349743875517071</v>
      </c>
      <c r="K1517" t="n">
        <v>0.1344065276293896</v>
      </c>
      <c r="L1517" t="b">
        <v>1</v>
      </c>
      <c r="M1517" t="b">
        <v>0</v>
      </c>
      <c r="N1517" t="inlineStr">
        <is>
          <t>alt</t>
        </is>
      </c>
      <c r="O1517" t="n">
        <v>-40</v>
      </c>
      <c r="P1517" t="n">
        <v>0.001572</v>
      </c>
      <c r="Q1517" t="n">
        <v>-80</v>
      </c>
      <c r="R1517" t="n">
        <v>0.02502</v>
      </c>
      <c r="S1517">
        <f>IMAGE("https://mitra.stanford.edu/kundaje/oak/projects/neuro-variants/variant_position/credible/roussos_2024/variant_figures/roussos_2024.adolescence.GLU/rs9906314_count_position.png",4,220,900)</f>
        <v/>
      </c>
      <c r="T1517">
        <f>IMAGE("https://mitra.stanford.edu/kundaje/oak/projects/neuro-variants/variant_position/credible/roussos_2024/variant_figures/roussos_2024.adolescence.GLU/rs9906314_profile_position.png",4,220,900)</f>
        <v/>
      </c>
    </row>
    <row r="1518">
      <c r="A1518" t="inlineStr">
        <is>
          <t>chr17</t>
        </is>
      </c>
      <c r="B1518" t="n">
        <v>2008993</v>
      </c>
      <c r="C1518" t="inlineStr">
        <is>
          <t>C</t>
        </is>
      </c>
      <c r="D1518" t="inlineStr">
        <is>
          <t>T</t>
        </is>
      </c>
      <c r="E1518" t="inlineStr">
        <is>
          <t>rs59539549</t>
        </is>
      </c>
      <c r="F1518" t="n">
        <v>-0.01262367488</v>
      </c>
      <c r="G1518" t="n">
        <v>0.4714062072501958</v>
      </c>
      <c r="H1518" t="n">
        <v>0.010204766314434</v>
      </c>
      <c r="I1518" t="n">
        <v>0.5062839099118364</v>
      </c>
      <c r="J1518" t="n">
        <v>0.3273092283401561</v>
      </c>
      <c r="K1518" t="n">
        <v>0.2395380490916322</v>
      </c>
      <c r="L1518" t="b">
        <v>0</v>
      </c>
      <c r="M1518" t="b">
        <v>0</v>
      </c>
      <c r="N1518" t="inlineStr">
        <is>
          <t>ref</t>
        </is>
      </c>
      <c r="O1518" t="n">
        <v>-80</v>
      </c>
      <c r="P1518" t="n">
        <v>0.00182</v>
      </c>
      <c r="Q1518" t="n">
        <v>55</v>
      </c>
      <c r="R1518" t="n">
        <v>0.05023</v>
      </c>
      <c r="S1518">
        <f>IMAGE("https://mitra.stanford.edu/kundaje/oak/projects/neuro-variants/variant_position/credible/roussos_2024/variant_figures/roussos_2024.adolescence.GLU/rs59539549_count_position.png",4,220,900)</f>
        <v/>
      </c>
      <c r="T1518">
        <f>IMAGE("https://mitra.stanford.edu/kundaje/oak/projects/neuro-variants/variant_position/credible/roussos_2024/variant_figures/roussos_2024.adolescence.GLU/rs59539549_profile_position.png",4,220,900)</f>
        <v/>
      </c>
    </row>
    <row r="1519">
      <c r="A1519" t="inlineStr">
        <is>
          <t>chr17</t>
        </is>
      </c>
      <c r="B1519" t="n">
        <v>2011265</v>
      </c>
      <c r="C1519" t="inlineStr">
        <is>
          <t>G</t>
        </is>
      </c>
      <c r="D1519" t="inlineStr">
        <is>
          <t>A</t>
        </is>
      </c>
      <c r="E1519" t="inlineStr">
        <is>
          <t>rs73292184</t>
        </is>
      </c>
      <c r="F1519" t="n">
        <v>-0.00476495024</v>
      </c>
      <c r="G1519" t="n">
        <v>0.7099035033189908</v>
      </c>
      <c r="H1519" t="n">
        <v>0.0146324452368301</v>
      </c>
      <c r="I1519" t="n">
        <v>0.1761007644423191</v>
      </c>
      <c r="J1519" t="n">
        <v>0.4187410249265919</v>
      </c>
      <c r="K1519" t="n">
        <v>0.1486602502517444</v>
      </c>
      <c r="L1519" t="b">
        <v>0</v>
      </c>
      <c r="M1519" t="b">
        <v>0</v>
      </c>
      <c r="N1519" t="inlineStr">
        <is>
          <t>ref</t>
        </is>
      </c>
      <c r="O1519" t="n">
        <v>-85</v>
      </c>
      <c r="P1519" t="n">
        <v>0.00522</v>
      </c>
      <c r="Q1519" t="n">
        <v>-50</v>
      </c>
      <c r="R1519" t="n">
        <v>0.09174</v>
      </c>
      <c r="S1519">
        <f>IMAGE("https://mitra.stanford.edu/kundaje/oak/projects/neuro-variants/variant_position/credible/roussos_2024/variant_figures/roussos_2024.adolescence.GLU/rs73292184_count_position.png",4,220,900)</f>
        <v/>
      </c>
      <c r="T1519">
        <f>IMAGE("https://mitra.stanford.edu/kundaje/oak/projects/neuro-variants/variant_position/credible/roussos_2024/variant_figures/roussos_2024.adolescence.GLU/rs73292184_profile_position.png",4,220,900)</f>
        <v/>
      </c>
    </row>
    <row r="1520">
      <c r="A1520" t="inlineStr">
        <is>
          <t>chr17</t>
        </is>
      </c>
      <c r="B1520" t="n">
        <v>2011464</v>
      </c>
      <c r="C1520" t="inlineStr">
        <is>
          <t>C</t>
        </is>
      </c>
      <c r="D1520" t="inlineStr">
        <is>
          <t>T</t>
        </is>
      </c>
      <c r="E1520" t="inlineStr">
        <is>
          <t>rs12449566</t>
        </is>
      </c>
      <c r="F1520" t="n">
        <v>0.0196152372</v>
      </c>
      <c r="G1520" t="n">
        <v>0.3003263812884685</v>
      </c>
      <c r="H1520" t="n">
        <v>0.0104215066868186</v>
      </c>
      <c r="I1520" t="n">
        <v>0.48973130987452</v>
      </c>
      <c r="J1520" t="n">
        <v>0.5121103657186131</v>
      </c>
      <c r="K1520" t="n">
        <v>0.0800410087265836</v>
      </c>
      <c r="L1520" t="b">
        <v>0</v>
      </c>
      <c r="M1520" t="b">
        <v>0</v>
      </c>
      <c r="N1520" t="inlineStr">
        <is>
          <t>alt</t>
        </is>
      </c>
      <c r="O1520" t="n">
        <v>-90</v>
      </c>
      <c r="P1520" t="n">
        <v>0.03738</v>
      </c>
      <c r="Q1520" t="n">
        <v>50</v>
      </c>
      <c r="R1520" t="n">
        <v>0.04858</v>
      </c>
      <c r="S1520">
        <f>IMAGE("https://mitra.stanford.edu/kundaje/oak/projects/neuro-variants/variant_position/credible/roussos_2024/variant_figures/roussos_2024.adolescence.GLU/rs12449566_count_position.png",4,220,900)</f>
        <v/>
      </c>
      <c r="T1520">
        <f>IMAGE("https://mitra.stanford.edu/kundaje/oak/projects/neuro-variants/variant_position/credible/roussos_2024/variant_figures/roussos_2024.adolescence.GLU/rs12449566_profile_position.png",4,220,900)</f>
        <v/>
      </c>
    </row>
    <row r="1521">
      <c r="A1521" t="inlineStr">
        <is>
          <t>chr17</t>
        </is>
      </c>
      <c r="B1521" t="n">
        <v>2011483</v>
      </c>
      <c r="C1521" t="inlineStr">
        <is>
          <t>A</t>
        </is>
      </c>
      <c r="D1521" t="inlineStr">
        <is>
          <t>G</t>
        </is>
      </c>
      <c r="E1521" t="inlineStr">
        <is>
          <t>rs12450430</t>
        </is>
      </c>
      <c r="F1521" t="n">
        <v>-0.0478032134</v>
      </c>
      <c r="G1521" t="n">
        <v>0.0765463442167964</v>
      </c>
      <c r="H1521" t="n">
        <v>0.0185318786831234</v>
      </c>
      <c r="I1521" t="n">
        <v>0.0807822605926931</v>
      </c>
      <c r="J1521" t="n">
        <v>0.5146165991526815</v>
      </c>
      <c r="K1521" t="n">
        <v>0.07835826890059649</v>
      </c>
      <c r="L1521" t="b">
        <v>0</v>
      </c>
      <c r="M1521" t="b">
        <v>0</v>
      </c>
      <c r="N1521" t="inlineStr">
        <is>
          <t>ref</t>
        </is>
      </c>
      <c r="O1521" t="n">
        <v>-100</v>
      </c>
      <c r="P1521" t="n">
        <v>0.0345</v>
      </c>
      <c r="Q1521" t="n">
        <v>35</v>
      </c>
      <c r="R1521" t="n">
        <v>0.04428</v>
      </c>
      <c r="S1521">
        <f>IMAGE("https://mitra.stanford.edu/kundaje/oak/projects/neuro-variants/variant_position/credible/roussos_2024/variant_figures/roussos_2024.adolescence.GLU/rs12450430_count_position.png",4,220,900)</f>
        <v/>
      </c>
      <c r="T1521">
        <f>IMAGE("https://mitra.stanford.edu/kundaje/oak/projects/neuro-variants/variant_position/credible/roussos_2024/variant_figures/roussos_2024.adolescence.GLU/rs12450430_profile_position.png",4,220,900)</f>
        <v/>
      </c>
    </row>
    <row r="1522">
      <c r="A1522" t="inlineStr">
        <is>
          <t>chr17</t>
        </is>
      </c>
      <c r="B1522" t="n">
        <v>2011813</v>
      </c>
      <c r="C1522" t="inlineStr">
        <is>
          <t>C</t>
        </is>
      </c>
      <c r="D1522" t="inlineStr">
        <is>
          <t>T</t>
        </is>
      </c>
      <c r="E1522" t="inlineStr">
        <is>
          <t>rs11078769</t>
        </is>
      </c>
      <c r="F1522" t="n">
        <v>0.00199312308</v>
      </c>
      <c r="G1522" t="n">
        <v>0.6085726449628028</v>
      </c>
      <c r="H1522" t="n">
        <v>0.0101532767271302</v>
      </c>
      <c r="I1522" t="n">
        <v>0.5191714716998975</v>
      </c>
      <c r="J1522" t="n">
        <v>0.5953418922491087</v>
      </c>
      <c r="K1522" t="n">
        <v>0.0398555416542188</v>
      </c>
      <c r="L1522" t="b">
        <v>0</v>
      </c>
      <c r="M1522" t="b">
        <v>0</v>
      </c>
      <c r="N1522" t="inlineStr">
        <is>
          <t>alt</t>
        </is>
      </c>
      <c r="O1522" t="n">
        <v>15</v>
      </c>
      <c r="P1522" t="n">
        <v>0.001465</v>
      </c>
      <c r="Q1522" t="n">
        <v>100</v>
      </c>
      <c r="R1522" t="n">
        <v>0.131</v>
      </c>
      <c r="S1522">
        <f>IMAGE("https://mitra.stanford.edu/kundaje/oak/projects/neuro-variants/variant_position/credible/roussos_2024/variant_figures/roussos_2024.adolescence.GLU/rs11078769_count_position.png",4,220,900)</f>
        <v/>
      </c>
      <c r="T1522">
        <f>IMAGE("https://mitra.stanford.edu/kundaje/oak/projects/neuro-variants/variant_position/credible/roussos_2024/variant_figures/roussos_2024.adolescence.GLU/rs11078769_profile_position.png",4,220,900)</f>
        <v/>
      </c>
    </row>
    <row r="1523">
      <c r="A1523" t="inlineStr">
        <is>
          <t>chr17</t>
        </is>
      </c>
      <c r="B1523" t="n">
        <v>2014316</v>
      </c>
      <c r="C1523" t="inlineStr">
        <is>
          <t>A</t>
        </is>
      </c>
      <c r="D1523" t="inlineStr">
        <is>
          <t>G</t>
        </is>
      </c>
      <c r="E1523" t="inlineStr">
        <is>
          <t>rs4239070</t>
        </is>
      </c>
      <c r="F1523" t="n">
        <v>0.0883943774</v>
      </c>
      <c r="G1523" t="n">
        <v>0.0121956840473947</v>
      </c>
      <c r="H1523" t="n">
        <v>0.0142221836682228</v>
      </c>
      <c r="I1523" t="n">
        <v>0.1951125895629301</v>
      </c>
      <c r="J1523" t="n">
        <v>0.3080309492680626</v>
      </c>
      <c r="K1523" t="n">
        <v>0.2628161634623691</v>
      </c>
      <c r="L1523" t="b">
        <v>1</v>
      </c>
      <c r="M1523" t="b">
        <v>0</v>
      </c>
      <c r="N1523" t="inlineStr">
        <is>
          <t>alt</t>
        </is>
      </c>
      <c r="O1523" t="n">
        <v>-100</v>
      </c>
      <c r="P1523" t="n">
        <v>0.005356</v>
      </c>
      <c r="Q1523" t="n">
        <v>80</v>
      </c>
      <c r="R1523" t="n">
        <v>0.0825</v>
      </c>
      <c r="S1523">
        <f>IMAGE("https://mitra.stanford.edu/kundaje/oak/projects/neuro-variants/variant_position/credible/roussos_2024/variant_figures/roussos_2024.adolescence.GLU/rs4239070_count_position.png",4,220,900)</f>
        <v/>
      </c>
      <c r="T1523">
        <f>IMAGE("https://mitra.stanford.edu/kundaje/oak/projects/neuro-variants/variant_position/credible/roussos_2024/variant_figures/roussos_2024.adolescence.GLU/rs4239070_profile_position.png",4,220,900)</f>
        <v/>
      </c>
    </row>
    <row r="1524">
      <c r="A1524" t="inlineStr">
        <is>
          <t>chr17</t>
        </is>
      </c>
      <c r="B1524" t="n">
        <v>2016777</v>
      </c>
      <c r="C1524" t="inlineStr">
        <is>
          <t>G</t>
        </is>
      </c>
      <c r="D1524" t="inlineStr">
        <is>
          <t>A</t>
        </is>
      </c>
      <c r="E1524" t="inlineStr">
        <is>
          <t>rs4467122</t>
        </is>
      </c>
      <c r="F1524" t="n">
        <v>0.020205086</v>
      </c>
      <c r="G1524" t="n">
        <v>0.2727316832871895</v>
      </c>
      <c r="H1524" t="n">
        <v>0.0113460314326228</v>
      </c>
      <c r="I1524" t="n">
        <v>0.387684234164366</v>
      </c>
      <c r="J1524" t="n">
        <v>0.5127947932071645</v>
      </c>
      <c r="K1524" t="n">
        <v>0.0806459055802202</v>
      </c>
      <c r="L1524" t="b">
        <v>0</v>
      </c>
      <c r="M1524" t="b">
        <v>0</v>
      </c>
      <c r="N1524" t="inlineStr">
        <is>
          <t>alt</t>
        </is>
      </c>
      <c r="O1524" t="n">
        <v>30</v>
      </c>
      <c r="P1524" t="n">
        <v>0.00474</v>
      </c>
      <c r="Q1524" t="n">
        <v>-100</v>
      </c>
      <c r="R1524" t="n">
        <v>0.1101</v>
      </c>
      <c r="S1524">
        <f>IMAGE("https://mitra.stanford.edu/kundaje/oak/projects/neuro-variants/variant_position/credible/roussos_2024/variant_figures/roussos_2024.adolescence.GLU/rs4467122_count_position.png",4,220,900)</f>
        <v/>
      </c>
      <c r="T1524">
        <f>IMAGE("https://mitra.stanford.edu/kundaje/oak/projects/neuro-variants/variant_position/credible/roussos_2024/variant_figures/roussos_2024.adolescence.GLU/rs4467122_profile_position.png",4,220,900)</f>
        <v/>
      </c>
    </row>
    <row r="1525">
      <c r="A1525" t="inlineStr">
        <is>
          <t>chr17</t>
        </is>
      </c>
      <c r="B1525" t="n">
        <v>2023847</v>
      </c>
      <c r="C1525" t="inlineStr">
        <is>
          <t>C</t>
        </is>
      </c>
      <c r="D1525" t="inlineStr">
        <is>
          <t>T</t>
        </is>
      </c>
      <c r="E1525" t="inlineStr">
        <is>
          <t>rs4530175</t>
        </is>
      </c>
      <c r="F1525" t="n">
        <v>-0.0007923082</v>
      </c>
      <c r="G1525" t="n">
        <v>0.7772624895184271</v>
      </c>
      <c r="H1525" t="n">
        <v>0.0127854030019058</v>
      </c>
      <c r="I1525" t="n">
        <v>0.2913213594126038</v>
      </c>
      <c r="J1525" t="n">
        <v>0.8839845396546429</v>
      </c>
      <c r="K1525" t="n">
        <v>0.0042590938217952</v>
      </c>
      <c r="L1525" t="b">
        <v>0</v>
      </c>
      <c r="M1525" t="b">
        <v>0</v>
      </c>
      <c r="N1525" t="inlineStr">
        <is>
          <t>ref</t>
        </is>
      </c>
      <c r="O1525" t="n">
        <v>-55</v>
      </c>
      <c r="P1525" t="n">
        <v>0.009509999999999999</v>
      </c>
      <c r="Q1525" t="n">
        <v>-80</v>
      </c>
      <c r="R1525" t="n">
        <v>0.07666000000000001</v>
      </c>
      <c r="S1525">
        <f>IMAGE("https://mitra.stanford.edu/kundaje/oak/projects/neuro-variants/variant_position/credible/roussos_2024/variant_figures/roussos_2024.adolescence.GLU/rs4530175_count_position.png",4,220,900)</f>
        <v/>
      </c>
      <c r="T1525">
        <f>IMAGE("https://mitra.stanford.edu/kundaje/oak/projects/neuro-variants/variant_position/credible/roussos_2024/variant_figures/roussos_2024.adolescence.GLU/rs4530175_profile_position.png",4,220,900)</f>
        <v/>
      </c>
    </row>
    <row r="1526">
      <c r="A1526" t="inlineStr">
        <is>
          <t>chr17</t>
        </is>
      </c>
      <c r="B1526" t="n">
        <v>2028408</v>
      </c>
      <c r="C1526" t="inlineStr">
        <is>
          <t>T</t>
        </is>
      </c>
      <c r="D1526" t="inlineStr">
        <is>
          <t>G</t>
        </is>
      </c>
      <c r="E1526" t="inlineStr">
        <is>
          <t>rs7207749</t>
        </is>
      </c>
      <c r="F1526" t="n">
        <v>0.042626601</v>
      </c>
      <c r="G1526" t="n">
        <v>0.09740457841539631</v>
      </c>
      <c r="H1526" t="n">
        <v>0.014534880261469</v>
      </c>
      <c r="I1526" t="n">
        <v>0.1933279635088425</v>
      </c>
      <c r="J1526" t="n">
        <v>0.5314972387137336</v>
      </c>
      <c r="K1526" t="n">
        <v>0.0691524867763682</v>
      </c>
      <c r="L1526" t="b">
        <v>0</v>
      </c>
      <c r="M1526" t="b">
        <v>0</v>
      </c>
      <c r="N1526" t="inlineStr">
        <is>
          <t>alt</t>
        </is>
      </c>
      <c r="O1526" t="n">
        <v>-100</v>
      </c>
      <c r="P1526" t="n">
        <v>0.005466</v>
      </c>
      <c r="Q1526" t="n">
        <v>60</v>
      </c>
      <c r="R1526" t="n">
        <v>0.05762</v>
      </c>
      <c r="S1526">
        <f>IMAGE("https://mitra.stanford.edu/kundaje/oak/projects/neuro-variants/variant_position/credible/roussos_2024/variant_figures/roussos_2024.adolescence.GLU/rs7207749_count_position.png",4,220,900)</f>
        <v/>
      </c>
      <c r="T1526">
        <f>IMAGE("https://mitra.stanford.edu/kundaje/oak/projects/neuro-variants/variant_position/credible/roussos_2024/variant_figures/roussos_2024.adolescence.GLU/rs7207749_profile_position.png",4,220,900)</f>
        <v/>
      </c>
    </row>
    <row r="1527">
      <c r="A1527" t="inlineStr">
        <is>
          <t>chr17</t>
        </is>
      </c>
      <c r="B1527" t="n">
        <v>2028568</v>
      </c>
      <c r="C1527" t="inlineStr">
        <is>
          <t>A</t>
        </is>
      </c>
      <c r="D1527" t="inlineStr">
        <is>
          <t>G</t>
        </is>
      </c>
      <c r="E1527" t="inlineStr">
        <is>
          <t>rs7222716</t>
        </is>
      </c>
      <c r="F1527" t="n">
        <v>0.0262982874</v>
      </c>
      <c r="G1527" t="n">
        <v>0.2080764268466498</v>
      </c>
      <c r="H1527" t="n">
        <v>0.010085415728543</v>
      </c>
      <c r="I1527" t="n">
        <v>0.5016377186091227</v>
      </c>
      <c r="J1527" t="n">
        <v>0.5113530659922413</v>
      </c>
      <c r="K1527" t="n">
        <v>0.080575404799912</v>
      </c>
      <c r="L1527" t="b">
        <v>0</v>
      </c>
      <c r="M1527" t="b">
        <v>0</v>
      </c>
      <c r="N1527" t="inlineStr">
        <is>
          <t>alt</t>
        </is>
      </c>
      <c r="O1527" t="n">
        <v>35</v>
      </c>
      <c r="P1527" t="n">
        <v>0.00328</v>
      </c>
      <c r="Q1527" t="n">
        <v>-100</v>
      </c>
      <c r="R1527" t="n">
        <v>0.0531</v>
      </c>
      <c r="S1527">
        <f>IMAGE("https://mitra.stanford.edu/kundaje/oak/projects/neuro-variants/variant_position/credible/roussos_2024/variant_figures/roussos_2024.adolescence.GLU/rs7222716_count_position.png",4,220,900)</f>
        <v/>
      </c>
      <c r="T1527">
        <f>IMAGE("https://mitra.stanford.edu/kundaje/oak/projects/neuro-variants/variant_position/credible/roussos_2024/variant_figures/roussos_2024.adolescence.GLU/rs7222716_profile_position.png",4,220,900)</f>
        <v/>
      </c>
    </row>
    <row r="1528">
      <c r="A1528" t="inlineStr">
        <is>
          <t>chr17</t>
        </is>
      </c>
      <c r="B1528" t="n">
        <v>2028599</v>
      </c>
      <c r="C1528" t="inlineStr">
        <is>
          <t>A</t>
        </is>
      </c>
      <c r="D1528" t="inlineStr">
        <is>
          <t>G</t>
        </is>
      </c>
      <c r="E1528" t="inlineStr">
        <is>
          <t>rs7222728</t>
        </is>
      </c>
      <c r="F1528" t="n">
        <v>0.06957793919999999</v>
      </c>
      <c r="G1528" t="n">
        <v>0.0248537775471534</v>
      </c>
      <c r="H1528" t="n">
        <v>0.012571173920531</v>
      </c>
      <c r="I1528" t="n">
        <v>0.2866848524827498</v>
      </c>
      <c r="J1528" t="n">
        <v>0.5185416979231412</v>
      </c>
      <c r="K1528" t="n">
        <v>0.0762819114566311</v>
      </c>
      <c r="L1528" t="b">
        <v>0</v>
      </c>
      <c r="M1528" t="b">
        <v>0</v>
      </c>
      <c r="N1528" t="inlineStr">
        <is>
          <t>alt</t>
        </is>
      </c>
      <c r="O1528" t="n">
        <v>55</v>
      </c>
      <c r="P1528" t="n">
        <v>0.000572</v>
      </c>
      <c r="Q1528" t="n">
        <v>-95</v>
      </c>
      <c r="R1528" t="n">
        <v>0.03363</v>
      </c>
      <c r="S1528">
        <f>IMAGE("https://mitra.stanford.edu/kundaje/oak/projects/neuro-variants/variant_position/credible/roussos_2024/variant_figures/roussos_2024.adolescence.GLU/rs7222728_count_position.png",4,220,900)</f>
        <v/>
      </c>
      <c r="T1528">
        <f>IMAGE("https://mitra.stanford.edu/kundaje/oak/projects/neuro-variants/variant_position/credible/roussos_2024/variant_figures/roussos_2024.adolescence.GLU/rs7222728_profile_position.png",4,220,900)</f>
        <v/>
      </c>
    </row>
    <row r="1529">
      <c r="A1529" t="inlineStr">
        <is>
          <t>chr17</t>
        </is>
      </c>
      <c r="B1529" t="n">
        <v>2061791</v>
      </c>
      <c r="C1529" t="inlineStr">
        <is>
          <t>C</t>
        </is>
      </c>
      <c r="D1529" t="inlineStr">
        <is>
          <t>T</t>
        </is>
      </c>
      <c r="E1529" t="inlineStr">
        <is>
          <t>rs7214308</t>
        </is>
      </c>
      <c r="F1529" t="n">
        <v>-0.040341981</v>
      </c>
      <c r="G1529" t="n">
        <v>0.1085086320338571</v>
      </c>
      <c r="H1529" t="n">
        <v>0.0168027026659876</v>
      </c>
      <c r="I1529" t="n">
        <v>0.1165592318482887</v>
      </c>
      <c r="J1529" t="n">
        <v>0.6199527044887869</v>
      </c>
      <c r="K1529" t="n">
        <v>0.0317687605987644</v>
      </c>
      <c r="L1529" t="b">
        <v>0</v>
      </c>
      <c r="M1529" t="b">
        <v>0</v>
      </c>
      <c r="N1529" t="inlineStr">
        <is>
          <t>ref</t>
        </is>
      </c>
      <c r="O1529" t="n">
        <v>-100</v>
      </c>
      <c r="P1529" t="n">
        <v>0.03067</v>
      </c>
      <c r="Q1529" t="n">
        <v>-100</v>
      </c>
      <c r="R1529" t="n">
        <v>0.2048</v>
      </c>
      <c r="S1529">
        <f>IMAGE("https://mitra.stanford.edu/kundaje/oak/projects/neuro-variants/variant_position/credible/roussos_2024/variant_figures/roussos_2024.adolescence.GLU/rs7214308_count_position.png",4,220,900)</f>
        <v/>
      </c>
      <c r="T1529">
        <f>IMAGE("https://mitra.stanford.edu/kundaje/oak/projects/neuro-variants/variant_position/credible/roussos_2024/variant_figures/roussos_2024.adolescence.GLU/rs7214308_profile_position.png",4,220,900)</f>
        <v/>
      </c>
    </row>
    <row r="1530">
      <c r="A1530" t="inlineStr">
        <is>
          <t>chr17</t>
        </is>
      </c>
      <c r="B1530" t="n">
        <v>2061802</v>
      </c>
      <c r="C1530" t="inlineStr">
        <is>
          <t>C</t>
        </is>
      </c>
      <c r="D1530" t="inlineStr">
        <is>
          <t>T</t>
        </is>
      </c>
      <c r="E1530" t="inlineStr">
        <is>
          <t>rs12939002</t>
        </is>
      </c>
      <c r="F1530" t="n">
        <v>-0.0011934401999999</v>
      </c>
      <c r="G1530" t="n">
        <v>0.3286198473776606</v>
      </c>
      <c r="H1530" t="n">
        <v>0.0103761373192194</v>
      </c>
      <c r="I1530" t="n">
        <v>0.4664745390496766</v>
      </c>
      <c r="J1530" t="n">
        <v>0.618413814290103</v>
      </c>
      <c r="K1530" t="n">
        <v>0.0322410389302356</v>
      </c>
      <c r="L1530" t="b">
        <v>0</v>
      </c>
      <c r="M1530" t="b">
        <v>0</v>
      </c>
      <c r="N1530" t="inlineStr">
        <is>
          <t>ref</t>
        </is>
      </c>
      <c r="O1530" t="n">
        <v>-100</v>
      </c>
      <c r="P1530" t="n">
        <v>0.02554</v>
      </c>
      <c r="Q1530" t="n">
        <v>-95</v>
      </c>
      <c r="R1530" t="n">
        <v>0.1752</v>
      </c>
      <c r="S1530">
        <f>IMAGE("https://mitra.stanford.edu/kundaje/oak/projects/neuro-variants/variant_position/credible/roussos_2024/variant_figures/roussos_2024.adolescence.GLU/rs12939002_count_position.png",4,220,900)</f>
        <v/>
      </c>
      <c r="T1530">
        <f>IMAGE("https://mitra.stanford.edu/kundaje/oak/projects/neuro-variants/variant_position/credible/roussos_2024/variant_figures/roussos_2024.adolescence.GLU/rs12939002_profile_position.png",4,220,900)</f>
        <v/>
      </c>
    </row>
    <row r="1531">
      <c r="A1531" t="inlineStr">
        <is>
          <t>chr17</t>
        </is>
      </c>
      <c r="B1531" t="n">
        <v>2099914</v>
      </c>
      <c r="C1531" t="inlineStr">
        <is>
          <t>G</t>
        </is>
      </c>
      <c r="D1531" t="inlineStr">
        <is>
          <t>A</t>
        </is>
      </c>
      <c r="E1531" t="inlineStr">
        <is>
          <t>rs6503245</t>
        </is>
      </c>
      <c r="F1531" t="n">
        <v>0.02468498</v>
      </c>
      <c r="G1531" t="n">
        <v>0.2278621964228887</v>
      </c>
      <c r="H1531" t="n">
        <v>0.0140264588353401</v>
      </c>
      <c r="I1531" t="n">
        <v>0.2247516977345922</v>
      </c>
      <c r="J1531" t="n">
        <v>0.266829557551207</v>
      </c>
      <c r="K1531" t="n">
        <v>0.3121247361556943</v>
      </c>
      <c r="L1531" t="b">
        <v>0</v>
      </c>
      <c r="M1531" t="b">
        <v>0</v>
      </c>
      <c r="N1531" t="inlineStr">
        <is>
          <t>alt</t>
        </is>
      </c>
      <c r="O1531" t="n">
        <v>15</v>
      </c>
      <c r="P1531" t="n">
        <v>0.01146</v>
      </c>
      <c r="Q1531" t="n">
        <v>-100</v>
      </c>
      <c r="R1531" t="n">
        <v>0.1942</v>
      </c>
      <c r="S1531">
        <f>IMAGE("https://mitra.stanford.edu/kundaje/oak/projects/neuro-variants/variant_position/credible/roussos_2024/variant_figures/roussos_2024.adolescence.GLU/rs6503245_count_position.png",4,220,900)</f>
        <v/>
      </c>
      <c r="T1531">
        <f>IMAGE("https://mitra.stanford.edu/kundaje/oak/projects/neuro-variants/variant_position/credible/roussos_2024/variant_figures/roussos_2024.adolescence.GLU/rs6503245_profile_position.png",4,220,900)</f>
        <v/>
      </c>
    </row>
    <row r="1532">
      <c r="A1532" t="inlineStr">
        <is>
          <t>chr17</t>
        </is>
      </c>
      <c r="B1532" t="n">
        <v>2107303</v>
      </c>
      <c r="C1532" t="inlineStr">
        <is>
          <t>T</t>
        </is>
      </c>
      <c r="D1532" t="inlineStr">
        <is>
          <t>C</t>
        </is>
      </c>
      <c r="E1532" t="inlineStr">
        <is>
          <t>rs8082647</t>
        </is>
      </c>
      <c r="F1532" t="n">
        <v>0.0390200404</v>
      </c>
      <c r="G1532" t="n">
        <v>0.1070472117931649</v>
      </c>
      <c r="H1532" t="n">
        <v>0.008968300306237</v>
      </c>
      <c r="I1532" t="n">
        <v>0.6531608650664184</v>
      </c>
      <c r="J1532" t="n">
        <v>0.3264604810996562</v>
      </c>
      <c r="K1532" t="n">
        <v>0.2408700531790384</v>
      </c>
      <c r="L1532" t="b">
        <v>0</v>
      </c>
      <c r="M1532" t="b">
        <v>0</v>
      </c>
      <c r="N1532" t="inlineStr">
        <is>
          <t>alt</t>
        </is>
      </c>
      <c r="O1532" t="n">
        <v>60</v>
      </c>
      <c r="P1532" t="n">
        <v>0.00778</v>
      </c>
      <c r="Q1532" t="n">
        <v>-15</v>
      </c>
      <c r="R1532" t="n">
        <v>0.003967</v>
      </c>
      <c r="S1532">
        <f>IMAGE("https://mitra.stanford.edu/kundaje/oak/projects/neuro-variants/variant_position/credible/roussos_2024/variant_figures/roussos_2024.adolescence.GLU/rs8082647_count_position.png",4,220,900)</f>
        <v/>
      </c>
      <c r="T1532">
        <f>IMAGE("https://mitra.stanford.edu/kundaje/oak/projects/neuro-variants/variant_position/credible/roussos_2024/variant_figures/roussos_2024.adolescence.GLU/rs8082647_profile_position.png",4,220,900)</f>
        <v/>
      </c>
    </row>
    <row r="1533">
      <c r="A1533" t="inlineStr">
        <is>
          <t>chr17</t>
        </is>
      </c>
      <c r="B1533" t="n">
        <v>2115743</v>
      </c>
      <c r="C1533" t="inlineStr">
        <is>
          <t>A</t>
        </is>
      </c>
      <c r="D1533" t="inlineStr">
        <is>
          <t>G</t>
        </is>
      </c>
      <c r="E1533" t="inlineStr">
        <is>
          <t>rs2760742</t>
        </is>
      </c>
      <c r="F1533" t="n">
        <v>-0.024473573</v>
      </c>
      <c r="G1533" t="n">
        <v>0.2380518603344792</v>
      </c>
      <c r="H1533" t="n">
        <v>0.0154939270772276</v>
      </c>
      <c r="I1533" t="n">
        <v>0.1547596397569225</v>
      </c>
      <c r="J1533" t="n">
        <v>0.0178908488186838</v>
      </c>
      <c r="K1533" t="n">
        <v>0.8299307006509422</v>
      </c>
      <c r="L1533" t="b">
        <v>0</v>
      </c>
      <c r="M1533" t="b">
        <v>0</v>
      </c>
      <c r="N1533" t="inlineStr">
        <is>
          <t>ref</t>
        </is>
      </c>
      <c r="O1533" t="n">
        <v>-25</v>
      </c>
      <c r="P1533" t="n">
        <v>0.001472</v>
      </c>
      <c r="Q1533" t="n">
        <v>-20</v>
      </c>
      <c r="R1533" t="n">
        <v>0.01441</v>
      </c>
      <c r="S1533">
        <f>IMAGE("https://mitra.stanford.edu/kundaje/oak/projects/neuro-variants/variant_position/credible/roussos_2024/variant_figures/roussos_2024.adolescence.GLU/rs2760742_count_position.png",4,220,900)</f>
        <v/>
      </c>
      <c r="T1533">
        <f>IMAGE("https://mitra.stanford.edu/kundaje/oak/projects/neuro-variants/variant_position/credible/roussos_2024/variant_figures/roussos_2024.adolescence.GLU/rs2760742_profile_position.png",4,220,900)</f>
        <v/>
      </c>
    </row>
    <row r="1534">
      <c r="A1534" t="inlineStr">
        <is>
          <t>chr17</t>
        </is>
      </c>
      <c r="B1534" t="n">
        <v>2124812</v>
      </c>
      <c r="C1534" t="inlineStr">
        <is>
          <t>A</t>
        </is>
      </c>
      <c r="D1534" t="inlineStr">
        <is>
          <t>G</t>
        </is>
      </c>
      <c r="E1534" t="inlineStr">
        <is>
          <t>rs2760751</t>
        </is>
      </c>
      <c r="F1534" t="n">
        <v>0.0341773094</v>
      </c>
      <c r="G1534" t="n">
        <v>0.1380145922777096</v>
      </c>
      <c r="H1534" t="n">
        <v>0.0096796395248449</v>
      </c>
      <c r="I1534" t="n">
        <v>0.5578385853763602</v>
      </c>
      <c r="J1534" t="n">
        <v>0.403652185095484</v>
      </c>
      <c r="K1534" t="n">
        <v>0.1644575027218077</v>
      </c>
      <c r="L1534" t="b">
        <v>0</v>
      </c>
      <c r="M1534" t="b">
        <v>0</v>
      </c>
      <c r="N1534" t="inlineStr">
        <is>
          <t>alt</t>
        </is>
      </c>
      <c r="O1534" t="n">
        <v>90</v>
      </c>
      <c r="P1534" t="n">
        <v>0.01432</v>
      </c>
      <c r="Q1534" t="n">
        <v>-5</v>
      </c>
      <c r="R1534" t="n">
        <v>0.002441</v>
      </c>
      <c r="S1534">
        <f>IMAGE("https://mitra.stanford.edu/kundaje/oak/projects/neuro-variants/variant_position/credible/roussos_2024/variant_figures/roussos_2024.adolescence.GLU/rs2760751_count_position.png",4,220,900)</f>
        <v/>
      </c>
      <c r="T1534">
        <f>IMAGE("https://mitra.stanford.edu/kundaje/oak/projects/neuro-variants/variant_position/credible/roussos_2024/variant_figures/roussos_2024.adolescence.GLU/rs2760751_profile_position.png",4,220,900)</f>
        <v/>
      </c>
    </row>
    <row r="1535">
      <c r="A1535" t="inlineStr">
        <is>
          <t>chr17</t>
        </is>
      </c>
      <c r="B1535" t="n">
        <v>2126940</v>
      </c>
      <c r="C1535" t="inlineStr">
        <is>
          <t>G</t>
        </is>
      </c>
      <c r="D1535" t="inlineStr">
        <is>
          <t>A</t>
        </is>
      </c>
      <c r="E1535" t="inlineStr">
        <is>
          <t>rs8067895</t>
        </is>
      </c>
      <c r="F1535" t="n">
        <v>-0.1085873139999999</v>
      </c>
      <c r="G1535" t="n">
        <v>0.007006062555375</v>
      </c>
      <c r="H1535" t="n">
        <v>0.0253282274625917</v>
      </c>
      <c r="I1535" t="n">
        <v>0.0218755964026238</v>
      </c>
      <c r="J1535" t="n">
        <v>0.2149916768473469</v>
      </c>
      <c r="K1535" t="n">
        <v>0.3813844679481579</v>
      </c>
      <c r="L1535" t="b">
        <v>1</v>
      </c>
      <c r="M1535" t="b">
        <v>1</v>
      </c>
      <c r="N1535" t="inlineStr">
        <is>
          <t>ref</t>
        </is>
      </c>
      <c r="O1535" t="n">
        <v>100</v>
      </c>
      <c r="P1535" t="n">
        <v>0.1526</v>
      </c>
      <c r="Q1535" t="n">
        <v>15</v>
      </c>
      <c r="R1535" t="n">
        <v>0.0442</v>
      </c>
      <c r="S1535">
        <f>IMAGE("https://mitra.stanford.edu/kundaje/oak/projects/neuro-variants/variant_position/credible/roussos_2024/variant_figures/roussos_2024.adolescence.GLU/rs8067895_count_position.png",4,220,900)</f>
        <v/>
      </c>
      <c r="T1535">
        <f>IMAGE("https://mitra.stanford.edu/kundaje/oak/projects/neuro-variants/variant_position/credible/roussos_2024/variant_figures/roussos_2024.adolescence.GLU/rs8067895_profile_position.png",4,220,900)</f>
        <v/>
      </c>
    </row>
    <row r="1536">
      <c r="A1536" t="inlineStr">
        <is>
          <t>chr17</t>
        </is>
      </c>
      <c r="B1536" t="n">
        <v>2133359</v>
      </c>
      <c r="C1536" t="inlineStr">
        <is>
          <t>A</t>
        </is>
      </c>
      <c r="D1536" t="inlineStr">
        <is>
          <t>G</t>
        </is>
      </c>
      <c r="E1536" t="inlineStr">
        <is>
          <t>rs2760736</t>
        </is>
      </c>
      <c r="F1536" t="n">
        <v>0.0032869754599999</v>
      </c>
      <c r="G1536" t="n">
        <v>0.6834050393438111</v>
      </c>
      <c r="H1536" t="n">
        <v>0.008159606826245201</v>
      </c>
      <c r="I1536" t="n">
        <v>0.7232890429262034</v>
      </c>
      <c r="J1536" t="n">
        <v>0.269562980903187</v>
      </c>
      <c r="K1536" t="n">
        <v>0.3061827762861209</v>
      </c>
      <c r="L1536" t="b">
        <v>0</v>
      </c>
      <c r="M1536" t="b">
        <v>0</v>
      </c>
      <c r="N1536" t="inlineStr">
        <is>
          <t>alt</t>
        </is>
      </c>
      <c r="O1536" t="n">
        <v>-95</v>
      </c>
      <c r="P1536" t="n">
        <v>0.02206</v>
      </c>
      <c r="Q1536" t="n">
        <v>-65</v>
      </c>
      <c r="R1536" t="n">
        <v>0.12494</v>
      </c>
      <c r="S1536">
        <f>IMAGE("https://mitra.stanford.edu/kundaje/oak/projects/neuro-variants/variant_position/credible/roussos_2024/variant_figures/roussos_2024.adolescence.GLU/rs2760736_count_position.png",4,220,900)</f>
        <v/>
      </c>
      <c r="T1536">
        <f>IMAGE("https://mitra.stanford.edu/kundaje/oak/projects/neuro-variants/variant_position/credible/roussos_2024/variant_figures/roussos_2024.adolescence.GLU/rs2760736_profile_position.png",4,220,900)</f>
        <v/>
      </c>
    </row>
    <row r="1537">
      <c r="A1537" t="inlineStr">
        <is>
          <t>chr17</t>
        </is>
      </c>
      <c r="B1537" t="n">
        <v>2149410</v>
      </c>
      <c r="C1537" t="inlineStr">
        <is>
          <t>C</t>
        </is>
      </c>
      <c r="D1537" t="inlineStr">
        <is>
          <t>T</t>
        </is>
      </c>
      <c r="E1537" t="inlineStr">
        <is>
          <t>rs6503302</t>
        </is>
      </c>
      <c r="F1537" t="n">
        <v>-0.0037937805</v>
      </c>
      <c r="G1537" t="n">
        <v>0.7592335925118693</v>
      </c>
      <c r="H1537" t="n">
        <v>0.009505834425735301</v>
      </c>
      <c r="I1537" t="n">
        <v>0.5891260468676058</v>
      </c>
      <c r="J1537" t="n">
        <v>0.1534146358888626</v>
      </c>
      <c r="K1537" t="n">
        <v>0.4781069911084979</v>
      </c>
      <c r="L1537" t="b">
        <v>0</v>
      </c>
      <c r="M1537" t="b">
        <v>0</v>
      </c>
      <c r="N1537" t="inlineStr">
        <is>
          <t>ref</t>
        </is>
      </c>
      <c r="O1537" t="n">
        <v>-100</v>
      </c>
      <c r="P1537" t="n">
        <v>0.01318</v>
      </c>
      <c r="Q1537" t="n">
        <v>100</v>
      </c>
      <c r="R1537" t="n">
        <v>0.02551</v>
      </c>
      <c r="S1537">
        <f>IMAGE("https://mitra.stanford.edu/kundaje/oak/projects/neuro-variants/variant_position/credible/roussos_2024/variant_figures/roussos_2024.adolescence.GLU/rs6503302_count_position.png",4,220,900)</f>
        <v/>
      </c>
      <c r="T1537">
        <f>IMAGE("https://mitra.stanford.edu/kundaje/oak/projects/neuro-variants/variant_position/credible/roussos_2024/variant_figures/roussos_2024.adolescence.GLU/rs6503302_profile_position.png",4,220,900)</f>
        <v/>
      </c>
    </row>
    <row r="1538">
      <c r="A1538" t="inlineStr">
        <is>
          <t>chr17</t>
        </is>
      </c>
      <c r="B1538" t="n">
        <v>2178125</v>
      </c>
      <c r="C1538" t="inlineStr">
        <is>
          <t>G</t>
        </is>
      </c>
      <c r="D1538" t="inlineStr">
        <is>
          <t>A</t>
        </is>
      </c>
      <c r="E1538" t="inlineStr">
        <is>
          <t>rs9910413</t>
        </is>
      </c>
      <c r="F1538" t="n">
        <v>-0.001765843428</v>
      </c>
      <c r="G1538" t="n">
        <v>0.6798242805156038</v>
      </c>
      <c r="H1538" t="n">
        <v>0.0103358445216712</v>
      </c>
      <c r="I1538" t="n">
        <v>0.4881093714701764</v>
      </c>
      <c r="J1538" t="n">
        <v>0.3342492373420208</v>
      </c>
      <c r="K1538" t="n">
        <v>0.2316336770183308</v>
      </c>
      <c r="L1538" t="b">
        <v>0</v>
      </c>
      <c r="M1538" t="b">
        <v>0</v>
      </c>
      <c r="N1538" t="inlineStr">
        <is>
          <t>ref</t>
        </is>
      </c>
      <c r="O1538" t="n">
        <v>-60</v>
      </c>
      <c r="P1538" t="n">
        <v>0.00621</v>
      </c>
      <c r="Q1538" t="n">
        <v>-10</v>
      </c>
      <c r="R1538" t="n">
        <v>0.010376</v>
      </c>
      <c r="S1538">
        <f>IMAGE("https://mitra.stanford.edu/kundaje/oak/projects/neuro-variants/variant_position/credible/roussos_2024/variant_figures/roussos_2024.adolescence.GLU/rs9910413_count_position.png",4,220,900)</f>
        <v/>
      </c>
      <c r="T1538">
        <f>IMAGE("https://mitra.stanford.edu/kundaje/oak/projects/neuro-variants/variant_position/credible/roussos_2024/variant_figures/roussos_2024.adolescence.GLU/rs9910413_profile_position.png",4,220,900)</f>
        <v/>
      </c>
    </row>
    <row r="1539">
      <c r="A1539" t="inlineStr">
        <is>
          <t>chr17</t>
        </is>
      </c>
      <c r="B1539" t="n">
        <v>2182304</v>
      </c>
      <c r="C1539" t="inlineStr">
        <is>
          <t>G</t>
        </is>
      </c>
      <c r="D1539" t="inlineStr">
        <is>
          <t>A</t>
        </is>
      </c>
      <c r="E1539" t="inlineStr">
        <is>
          <t>rs7214741</t>
        </is>
      </c>
      <c r="F1539" t="n">
        <v>-0.0535604186</v>
      </c>
      <c r="G1539" t="n">
        <v>0.055933670897259</v>
      </c>
      <c r="H1539" t="n">
        <v>0.0085514128981599</v>
      </c>
      <c r="I1539" t="n">
        <v>0.6989308061114781</v>
      </c>
      <c r="J1539" t="n">
        <v>0.4690071514813782</v>
      </c>
      <c r="K1539" t="n">
        <v>0.1111962448264509</v>
      </c>
      <c r="L1539" t="b">
        <v>0</v>
      </c>
      <c r="M1539" t="b">
        <v>0</v>
      </c>
      <c r="N1539" t="inlineStr">
        <is>
          <t>ref</t>
        </is>
      </c>
      <c r="O1539" t="n">
        <v>-85</v>
      </c>
      <c r="P1539" t="n">
        <v>0.010414</v>
      </c>
      <c r="Q1539" t="n">
        <v>10</v>
      </c>
      <c r="R1539" t="n">
        <v>0.02383</v>
      </c>
      <c r="S1539">
        <f>IMAGE("https://mitra.stanford.edu/kundaje/oak/projects/neuro-variants/variant_position/credible/roussos_2024/variant_figures/roussos_2024.adolescence.GLU/rs7214741_count_position.png",4,220,900)</f>
        <v/>
      </c>
      <c r="T1539">
        <f>IMAGE("https://mitra.stanford.edu/kundaje/oak/projects/neuro-variants/variant_position/credible/roussos_2024/variant_figures/roussos_2024.adolescence.GLU/rs7214741_profile_position.png",4,220,900)</f>
        <v/>
      </c>
    </row>
    <row r="1540">
      <c r="A1540" t="inlineStr">
        <is>
          <t>chr17</t>
        </is>
      </c>
      <c r="B1540" t="n">
        <v>2182359</v>
      </c>
      <c r="C1540" t="inlineStr">
        <is>
          <t>T</t>
        </is>
      </c>
      <c r="D1540" t="inlineStr">
        <is>
          <t>C</t>
        </is>
      </c>
      <c r="E1540" t="inlineStr">
        <is>
          <t>rs7223390</t>
        </is>
      </c>
      <c r="F1540" t="n">
        <v>0.0446843334</v>
      </c>
      <c r="G1540" t="n">
        <v>0.0812296752454377</v>
      </c>
      <c r="H1540" t="n">
        <v>0.0106898600961493</v>
      </c>
      <c r="I1540" t="n">
        <v>0.4700438153062143</v>
      </c>
      <c r="J1540" t="n">
        <v>0.4664180437376313</v>
      </c>
      <c r="K1540" t="n">
        <v>0.1131361206162558</v>
      </c>
      <c r="L1540" t="b">
        <v>0</v>
      </c>
      <c r="M1540" t="b">
        <v>0</v>
      </c>
      <c r="N1540" t="inlineStr">
        <is>
          <t>alt</t>
        </is>
      </c>
      <c r="O1540" t="n">
        <v>-100</v>
      </c>
      <c r="P1540" t="n">
        <v>0.01549</v>
      </c>
      <c r="Q1540" t="n">
        <v>-45</v>
      </c>
      <c r="R1540" t="n">
        <v>0.01965</v>
      </c>
      <c r="S1540">
        <f>IMAGE("https://mitra.stanford.edu/kundaje/oak/projects/neuro-variants/variant_position/credible/roussos_2024/variant_figures/roussos_2024.adolescence.GLU/rs7223390_count_position.png",4,220,900)</f>
        <v/>
      </c>
      <c r="T1540">
        <f>IMAGE("https://mitra.stanford.edu/kundaje/oak/projects/neuro-variants/variant_position/credible/roussos_2024/variant_figures/roussos_2024.adolescence.GLU/rs7223390_profile_position.png",4,220,900)</f>
        <v/>
      </c>
    </row>
    <row r="1541">
      <c r="A1541" t="inlineStr">
        <is>
          <t>chr17</t>
        </is>
      </c>
      <c r="B1541" t="n">
        <v>2185741</v>
      </c>
      <c r="C1541" t="inlineStr">
        <is>
          <t>A</t>
        </is>
      </c>
      <c r="D1541" t="inlineStr">
        <is>
          <t>G</t>
        </is>
      </c>
      <c r="E1541" t="inlineStr">
        <is>
          <t>rs57130712</t>
        </is>
      </c>
      <c r="F1541" t="n">
        <v>0.109905675</v>
      </c>
      <c r="G1541" t="n">
        <v>0.0074993695318707</v>
      </c>
      <c r="H1541" t="n">
        <v>0.0234148463314006</v>
      </c>
      <c r="I1541" t="n">
        <v>0.0314494656849297</v>
      </c>
      <c r="J1541" t="n">
        <v>0.4152317265719327</v>
      </c>
      <c r="K1541" t="n">
        <v>0.1541919074323086</v>
      </c>
      <c r="L1541" t="b">
        <v>1</v>
      </c>
      <c r="M1541" t="b">
        <v>1</v>
      </c>
      <c r="N1541" t="inlineStr">
        <is>
          <t>alt</t>
        </is>
      </c>
      <c r="O1541" t="n">
        <v>-100</v>
      </c>
      <c r="P1541" t="n">
        <v>0.008484</v>
      </c>
      <c r="Q1541" t="n">
        <v>-65</v>
      </c>
      <c r="R1541" t="n">
        <v>0.04883</v>
      </c>
      <c r="S1541">
        <f>IMAGE("https://mitra.stanford.edu/kundaje/oak/projects/neuro-variants/variant_position/credible/roussos_2024/variant_figures/roussos_2024.adolescence.GLU/rs57130712_count_position.png",4,220,900)</f>
        <v/>
      </c>
      <c r="T1541">
        <f>IMAGE("https://mitra.stanford.edu/kundaje/oak/projects/neuro-variants/variant_position/credible/roussos_2024/variant_figures/roussos_2024.adolescence.GLU/rs57130712_profile_position.png",4,220,900)</f>
        <v/>
      </c>
    </row>
    <row r="1542">
      <c r="A1542" t="inlineStr">
        <is>
          <t>chr17</t>
        </is>
      </c>
      <c r="B1542" t="n">
        <v>2186554</v>
      </c>
      <c r="C1542" t="inlineStr">
        <is>
          <t>G</t>
        </is>
      </c>
      <c r="D1542" t="inlineStr">
        <is>
          <t>A</t>
        </is>
      </c>
      <c r="E1542" t="inlineStr">
        <is>
          <t>rs2270478</t>
        </is>
      </c>
      <c r="F1542" t="n">
        <v>0.00668620212</v>
      </c>
      <c r="G1542" t="n">
        <v>0.5356244310264013</v>
      </c>
      <c r="H1542" t="n">
        <v>0.0096119602271252</v>
      </c>
      <c r="I1542" t="n">
        <v>0.5946020060004882</v>
      </c>
      <c r="J1542" t="n">
        <v>0.3361639196690743</v>
      </c>
      <c r="K1542" t="n">
        <v>0.2299433759174633</v>
      </c>
      <c r="L1542" t="b">
        <v>0</v>
      </c>
      <c r="M1542" t="b">
        <v>0</v>
      </c>
      <c r="N1542" t="inlineStr">
        <is>
          <t>alt</t>
        </is>
      </c>
      <c r="O1542" t="n">
        <v>-100</v>
      </c>
      <c r="P1542" t="n">
        <v>0.01282</v>
      </c>
      <c r="Q1542" t="n">
        <v>100</v>
      </c>
      <c r="R1542" t="n">
        <v>0.0398</v>
      </c>
      <c r="S1542">
        <f>IMAGE("https://mitra.stanford.edu/kundaje/oak/projects/neuro-variants/variant_position/credible/roussos_2024/variant_figures/roussos_2024.adolescence.GLU/rs2270478_count_position.png",4,220,900)</f>
        <v/>
      </c>
      <c r="T1542">
        <f>IMAGE("https://mitra.stanford.edu/kundaje/oak/projects/neuro-variants/variant_position/credible/roussos_2024/variant_figures/roussos_2024.adolescence.GLU/rs2270478_profile_position.png",4,220,900)</f>
        <v/>
      </c>
    </row>
    <row r="1543">
      <c r="A1543" t="inlineStr">
        <is>
          <t>chr17</t>
        </is>
      </c>
      <c r="B1543" t="n">
        <v>2187213</v>
      </c>
      <c r="C1543" t="inlineStr">
        <is>
          <t>T</t>
        </is>
      </c>
      <c r="D1543" t="inlineStr">
        <is>
          <t>G</t>
        </is>
      </c>
      <c r="E1543" t="inlineStr">
        <is>
          <t>rs11867782</t>
        </is>
      </c>
      <c r="F1543" t="n">
        <v>0.01539664</v>
      </c>
      <c r="G1543" t="n">
        <v>0.354734707031357</v>
      </c>
      <c r="H1543" t="n">
        <v>0.0088928918034071</v>
      </c>
      <c r="I1543" t="n">
        <v>0.6875731631702247</v>
      </c>
      <c r="J1543" t="n">
        <v>0.2122025276664451</v>
      </c>
      <c r="K1543" t="n">
        <v>0.3873794758468758</v>
      </c>
      <c r="L1543" t="b">
        <v>0</v>
      </c>
      <c r="M1543" t="b">
        <v>0</v>
      </c>
      <c r="N1543" t="inlineStr">
        <is>
          <t>alt</t>
        </is>
      </c>
      <c r="O1543" t="n">
        <v>-60</v>
      </c>
      <c r="P1543" t="n">
        <v>0.004837</v>
      </c>
      <c r="Q1543" t="n">
        <v>-100</v>
      </c>
      <c r="R1543" t="n">
        <v>0.04926</v>
      </c>
      <c r="S1543">
        <f>IMAGE("https://mitra.stanford.edu/kundaje/oak/projects/neuro-variants/variant_position/credible/roussos_2024/variant_figures/roussos_2024.adolescence.GLU/rs11867782_count_position.png",4,220,900)</f>
        <v/>
      </c>
      <c r="T1543">
        <f>IMAGE("https://mitra.stanford.edu/kundaje/oak/projects/neuro-variants/variant_position/credible/roussos_2024/variant_figures/roussos_2024.adolescence.GLU/rs11867782_profile_position.png",4,220,900)</f>
        <v/>
      </c>
    </row>
    <row r="1544">
      <c r="A1544" t="inlineStr">
        <is>
          <t>chr17</t>
        </is>
      </c>
      <c r="B1544" t="n">
        <v>2192418</v>
      </c>
      <c r="C1544" t="inlineStr">
        <is>
          <t>C</t>
        </is>
      </c>
      <c r="D1544" t="inlineStr">
        <is>
          <t>A</t>
        </is>
      </c>
      <c r="E1544" t="inlineStr">
        <is>
          <t>rs2126202</t>
        </is>
      </c>
      <c r="F1544" t="n">
        <v>0.01669005842</v>
      </c>
      <c r="G1544" t="n">
        <v>0.3652731989235565</v>
      </c>
      <c r="H1544" t="n">
        <v>0.0106547708744001</v>
      </c>
      <c r="I1544" t="n">
        <v>0.4656390352411939</v>
      </c>
      <c r="J1544" t="n">
        <v>0.6252952397282294</v>
      </c>
      <c r="K1544" t="n">
        <v>0.0309631016076657</v>
      </c>
      <c r="L1544" t="b">
        <v>0</v>
      </c>
      <c r="M1544" t="b">
        <v>0</v>
      </c>
      <c r="N1544" t="inlineStr">
        <is>
          <t>alt</t>
        </is>
      </c>
      <c r="O1544" t="n">
        <v>90</v>
      </c>
      <c r="P1544" t="n">
        <v>0.04193</v>
      </c>
      <c r="Q1544" t="n">
        <v>90</v>
      </c>
      <c r="R1544" t="n">
        <v>0.1599</v>
      </c>
      <c r="S1544">
        <f>IMAGE("https://mitra.stanford.edu/kundaje/oak/projects/neuro-variants/variant_position/credible/roussos_2024/variant_figures/roussos_2024.adolescence.GLU/rs2126202_count_position.png",4,220,900)</f>
        <v/>
      </c>
      <c r="T1544">
        <f>IMAGE("https://mitra.stanford.edu/kundaje/oak/projects/neuro-variants/variant_position/credible/roussos_2024/variant_figures/roussos_2024.adolescence.GLU/rs2126202_profile_position.png",4,220,900)</f>
        <v/>
      </c>
    </row>
    <row r="1545">
      <c r="A1545" t="inlineStr">
        <is>
          <t>chr17</t>
        </is>
      </c>
      <c r="B1545" t="n">
        <v>2229030</v>
      </c>
      <c r="C1545" t="inlineStr">
        <is>
          <t>T</t>
        </is>
      </c>
      <c r="D1545" t="inlineStr">
        <is>
          <t>C</t>
        </is>
      </c>
      <c r="E1545" t="inlineStr">
        <is>
          <t>rs143499</t>
        </is>
      </c>
      <c r="F1545" t="n">
        <v>-0.00210555074</v>
      </c>
      <c r="G1545" t="n">
        <v>0.747677837273838</v>
      </c>
      <c r="H1545" t="n">
        <v>0.010622417684289</v>
      </c>
      <c r="I1545" t="n">
        <v>0.456954470214291</v>
      </c>
      <c r="J1545" t="n">
        <v>0.172158518550271</v>
      </c>
      <c r="K1545" t="n">
        <v>0.4453065748112042</v>
      </c>
      <c r="L1545" t="b">
        <v>0</v>
      </c>
      <c r="M1545" t="b">
        <v>0</v>
      </c>
      <c r="N1545" t="inlineStr">
        <is>
          <t>ref</t>
        </is>
      </c>
      <c r="O1545" t="n">
        <v>70</v>
      </c>
      <c r="P1545" t="n">
        <v>0.002106</v>
      </c>
      <c r="Q1545" t="n">
        <v>15</v>
      </c>
      <c r="R1545" t="n">
        <v>0.007934999999999999</v>
      </c>
      <c r="S1545">
        <f>IMAGE("https://mitra.stanford.edu/kundaje/oak/projects/neuro-variants/variant_position/credible/roussos_2024/variant_figures/roussos_2024.adolescence.GLU/rs143499_count_position.png",4,220,900)</f>
        <v/>
      </c>
      <c r="T1545">
        <f>IMAGE("https://mitra.stanford.edu/kundaje/oak/projects/neuro-variants/variant_position/credible/roussos_2024/variant_figures/roussos_2024.adolescence.GLU/rs143499_profile_position.png",4,220,900)</f>
        <v/>
      </c>
    </row>
    <row r="1546">
      <c r="A1546" t="inlineStr">
        <is>
          <t>chr17</t>
        </is>
      </c>
      <c r="B1546" t="n">
        <v>2232686</v>
      </c>
      <c r="C1546" t="inlineStr">
        <is>
          <t>A</t>
        </is>
      </c>
      <c r="D1546" t="inlineStr">
        <is>
          <t>T</t>
        </is>
      </c>
      <c r="E1546" t="inlineStr">
        <is>
          <t>rs7212249</t>
        </is>
      </c>
      <c r="F1546" t="n">
        <v>-0.0055985238519999</v>
      </c>
      <c r="G1546" t="n">
        <v>0.7019005119479169</v>
      </c>
      <c r="H1546" t="n">
        <v>0.0066600180506778</v>
      </c>
      <c r="I1546" t="n">
        <v>0.9400164338213248</v>
      </c>
      <c r="J1546" t="n">
        <v>0.4573190160819026</v>
      </c>
      <c r="K1546" t="n">
        <v>0.1200625274494972</v>
      </c>
      <c r="L1546" t="b">
        <v>0</v>
      </c>
      <c r="M1546" t="b">
        <v>0</v>
      </c>
      <c r="N1546" t="inlineStr">
        <is>
          <t>ref</t>
        </is>
      </c>
      <c r="O1546" t="n">
        <v>-20</v>
      </c>
      <c r="P1546" t="n">
        <v>0.000495</v>
      </c>
      <c r="Q1546" t="n">
        <v>-95</v>
      </c>
      <c r="R1546" t="n">
        <v>0.0731</v>
      </c>
      <c r="S1546">
        <f>IMAGE("https://mitra.stanford.edu/kundaje/oak/projects/neuro-variants/variant_position/credible/roussos_2024/variant_figures/roussos_2024.adolescence.GLU/rs7212249_count_position.png",4,220,900)</f>
        <v/>
      </c>
      <c r="T1546">
        <f>IMAGE("https://mitra.stanford.edu/kundaje/oak/projects/neuro-variants/variant_position/credible/roussos_2024/variant_figures/roussos_2024.adolescence.GLU/rs7212249_profile_position.png",4,220,900)</f>
        <v/>
      </c>
    </row>
    <row r="1547">
      <c r="A1547" t="inlineStr">
        <is>
          <t>chr17</t>
        </is>
      </c>
      <c r="B1547" t="n">
        <v>2234722</v>
      </c>
      <c r="C1547" t="inlineStr">
        <is>
          <t>A</t>
        </is>
      </c>
      <c r="D1547" t="inlineStr">
        <is>
          <t>T</t>
        </is>
      </c>
      <c r="E1547" t="inlineStr">
        <is>
          <t>rs2169356</t>
        </is>
      </c>
      <c r="F1547" t="n">
        <v>0.009751996299999999</v>
      </c>
      <c r="G1547" t="n">
        <v>0.5223548328651326</v>
      </c>
      <c r="H1547" t="n">
        <v>0.0229117150385834</v>
      </c>
      <c r="I1547" t="n">
        <v>0.0300324787672393</v>
      </c>
      <c r="J1547" t="n">
        <v>0.1316829914768058</v>
      </c>
      <c r="K1547" t="n">
        <v>0.5143690526353604</v>
      </c>
      <c r="L1547" t="b">
        <v>0</v>
      </c>
      <c r="M1547" t="b">
        <v>0</v>
      </c>
      <c r="N1547" t="inlineStr">
        <is>
          <t>alt</t>
        </is>
      </c>
      <c r="O1547" t="n">
        <v>95</v>
      </c>
      <c r="P1547" t="n">
        <v>0.004524</v>
      </c>
      <c r="Q1547" t="n">
        <v>-65</v>
      </c>
      <c r="R1547" t="n">
        <v>0.0771</v>
      </c>
      <c r="S1547">
        <f>IMAGE("https://mitra.stanford.edu/kundaje/oak/projects/neuro-variants/variant_position/credible/roussos_2024/variant_figures/roussos_2024.adolescence.GLU/rs2169356_count_position.png",4,220,900)</f>
        <v/>
      </c>
      <c r="T1547">
        <f>IMAGE("https://mitra.stanford.edu/kundaje/oak/projects/neuro-variants/variant_position/credible/roussos_2024/variant_figures/roussos_2024.adolescence.GLU/rs2169356_profile_position.png",4,220,900)</f>
        <v/>
      </c>
    </row>
    <row r="1548">
      <c r="A1548" t="inlineStr">
        <is>
          <t>chr17</t>
        </is>
      </c>
      <c r="B1548" t="n">
        <v>2242035</v>
      </c>
      <c r="C1548" t="inlineStr">
        <is>
          <t>A</t>
        </is>
      </c>
      <c r="D1548" t="inlineStr">
        <is>
          <t>G</t>
        </is>
      </c>
      <c r="E1548" t="inlineStr">
        <is>
          <t>rs216218</t>
        </is>
      </c>
      <c r="F1548" t="n">
        <v>0.0439353217999999</v>
      </c>
      <c r="G1548" t="n">
        <v>0.0822111997761481</v>
      </c>
      <c r="H1548" t="n">
        <v>0.011341818636082</v>
      </c>
      <c r="I1548" t="n">
        <v>0.3783224961006958</v>
      </c>
      <c r="J1548" t="n">
        <v>0.2561802087575283</v>
      </c>
      <c r="K1548" t="n">
        <v>0.3247407735859037</v>
      </c>
      <c r="L1548" t="b">
        <v>0</v>
      </c>
      <c r="M1548" t="b">
        <v>0</v>
      </c>
      <c r="N1548" t="inlineStr">
        <is>
          <t>alt</t>
        </is>
      </c>
      <c r="O1548" t="n">
        <v>-100</v>
      </c>
      <c r="P1548" t="n">
        <v>0.00891</v>
      </c>
      <c r="Q1548" t="n">
        <v>-30</v>
      </c>
      <c r="R1548" t="n">
        <v>0.003296</v>
      </c>
      <c r="S1548">
        <f>IMAGE("https://mitra.stanford.edu/kundaje/oak/projects/neuro-variants/variant_position/credible/roussos_2024/variant_figures/roussos_2024.adolescence.GLU/rs216218_count_position.png",4,220,900)</f>
        <v/>
      </c>
      <c r="T1548">
        <f>IMAGE("https://mitra.stanford.edu/kundaje/oak/projects/neuro-variants/variant_position/credible/roussos_2024/variant_figures/roussos_2024.adolescence.GLU/rs216218_profile_position.png",4,220,900)</f>
        <v/>
      </c>
    </row>
    <row r="1549">
      <c r="A1549" t="inlineStr">
        <is>
          <t>chr17</t>
        </is>
      </c>
      <c r="B1549" t="n">
        <v>2252991</v>
      </c>
      <c r="C1549" t="inlineStr">
        <is>
          <t>T</t>
        </is>
      </c>
      <c r="D1549" t="inlineStr">
        <is>
          <t>C</t>
        </is>
      </c>
      <c r="E1549" t="inlineStr">
        <is>
          <t>rs216224</t>
        </is>
      </c>
      <c r="F1549" t="n">
        <v>0.00566106658</v>
      </c>
      <c r="G1549" t="n">
        <v>0.6925350338469261</v>
      </c>
      <c r="H1549" t="n">
        <v>0.0146615966828591</v>
      </c>
      <c r="I1549" t="n">
        <v>0.1723894918876115</v>
      </c>
      <c r="J1549" t="n">
        <v>0.1706639232412427</v>
      </c>
      <c r="K1549" t="n">
        <v>0.4468369645037595</v>
      </c>
      <c r="L1549" t="b">
        <v>0</v>
      </c>
      <c r="M1549" t="b">
        <v>0</v>
      </c>
      <c r="N1549" t="inlineStr">
        <is>
          <t>alt</t>
        </is>
      </c>
      <c r="O1549" t="n">
        <v>45</v>
      </c>
      <c r="P1549" t="n">
        <v>0.01599</v>
      </c>
      <c r="Q1549" t="n">
        <v>100</v>
      </c>
      <c r="R1549" t="n">
        <v>0.03345</v>
      </c>
      <c r="S1549">
        <f>IMAGE("https://mitra.stanford.edu/kundaje/oak/projects/neuro-variants/variant_position/credible/roussos_2024/variant_figures/roussos_2024.adolescence.GLU/rs216224_count_position.png",4,220,900)</f>
        <v/>
      </c>
      <c r="T1549">
        <f>IMAGE("https://mitra.stanford.edu/kundaje/oak/projects/neuro-variants/variant_position/credible/roussos_2024/variant_figures/roussos_2024.adolescence.GLU/rs216224_profile_position.png",4,220,900)</f>
        <v/>
      </c>
    </row>
    <row r="1550">
      <c r="A1550" t="inlineStr">
        <is>
          <t>chr17</t>
        </is>
      </c>
      <c r="B1550" t="n">
        <v>2253616</v>
      </c>
      <c r="C1550" t="inlineStr">
        <is>
          <t>C</t>
        </is>
      </c>
      <c r="D1550" t="inlineStr">
        <is>
          <t>G</t>
        </is>
      </c>
      <c r="E1550" t="inlineStr">
        <is>
          <t>rs12950555</t>
        </is>
      </c>
      <c r="F1550" t="n">
        <v>0.0694492548</v>
      </c>
      <c r="G1550" t="n">
        <v>0.0257415621812176</v>
      </c>
      <c r="H1550" t="n">
        <v>0.0152467856983574</v>
      </c>
      <c r="I1550" t="n">
        <v>0.163572298906852</v>
      </c>
      <c r="J1550" t="n">
        <v>0.3369083595887719</v>
      </c>
      <c r="K1550" t="n">
        <v>0.2292185015432937</v>
      </c>
      <c r="L1550" t="b">
        <v>0</v>
      </c>
      <c r="M1550" t="b">
        <v>0</v>
      </c>
      <c r="N1550" t="inlineStr">
        <is>
          <t>alt</t>
        </is>
      </c>
      <c r="O1550" t="n">
        <v>95</v>
      </c>
      <c r="P1550" t="n">
        <v>0.002632</v>
      </c>
      <c r="Q1550" t="n">
        <v>-100</v>
      </c>
      <c r="R1550" t="n">
        <v>0.05457</v>
      </c>
      <c r="S1550">
        <f>IMAGE("https://mitra.stanford.edu/kundaje/oak/projects/neuro-variants/variant_position/credible/roussos_2024/variant_figures/roussos_2024.adolescence.GLU/rs12950555_count_position.png",4,220,900)</f>
        <v/>
      </c>
      <c r="T1550">
        <f>IMAGE("https://mitra.stanford.edu/kundaje/oak/projects/neuro-variants/variant_position/credible/roussos_2024/variant_figures/roussos_2024.adolescence.GLU/rs12950555_profile_position.png",4,220,900)</f>
        <v/>
      </c>
    </row>
    <row r="1551">
      <c r="A1551" t="inlineStr">
        <is>
          <t>chr17</t>
        </is>
      </c>
      <c r="B1551" t="n">
        <v>2261017</v>
      </c>
      <c r="C1551" t="inlineStr">
        <is>
          <t>G</t>
        </is>
      </c>
      <c r="D1551" t="inlineStr">
        <is>
          <t>A</t>
        </is>
      </c>
      <c r="E1551" t="inlineStr">
        <is>
          <t>rs9891227</t>
        </is>
      </c>
      <c r="F1551" t="n">
        <v>0.00548886928</v>
      </c>
      <c r="G1551" t="n">
        <v>0.6118660281751627</v>
      </c>
      <c r="H1551" t="n">
        <v>0.0331387979952235</v>
      </c>
      <c r="I1551" t="n">
        <v>0.0063060935905088</v>
      </c>
      <c r="J1551" t="n">
        <v>0.1289024155003535</v>
      </c>
      <c r="K1551" t="n">
        <v>0.5206967845079212</v>
      </c>
      <c r="L1551" t="b">
        <v>1</v>
      </c>
      <c r="M1551" t="b">
        <v>1</v>
      </c>
      <c r="N1551" t="inlineStr">
        <is>
          <t>alt</t>
        </is>
      </c>
      <c r="O1551" t="n">
        <v>20</v>
      </c>
      <c r="P1551" t="n">
        <v>0.0268</v>
      </c>
      <c r="Q1551" t="n">
        <v>-95</v>
      </c>
      <c r="R1551" t="n">
        <v>0.0636</v>
      </c>
      <c r="S1551">
        <f>IMAGE("https://mitra.stanford.edu/kundaje/oak/projects/neuro-variants/variant_position/credible/roussos_2024/variant_figures/roussos_2024.adolescence.GLU/rs9891227_count_position.png",4,220,900)</f>
        <v/>
      </c>
      <c r="T1551">
        <f>IMAGE("https://mitra.stanford.edu/kundaje/oak/projects/neuro-variants/variant_position/credible/roussos_2024/variant_figures/roussos_2024.adolescence.GLU/rs9891227_profile_position.png",4,220,900)</f>
        <v/>
      </c>
    </row>
    <row r="1552">
      <c r="A1552" t="inlineStr">
        <is>
          <t>chr17</t>
        </is>
      </c>
      <c r="B1552" t="n">
        <v>2265215</v>
      </c>
      <c r="C1552" t="inlineStr">
        <is>
          <t>G</t>
        </is>
      </c>
      <c r="D1552" t="inlineStr">
        <is>
          <t>C</t>
        </is>
      </c>
      <c r="E1552" t="inlineStr">
        <is>
          <t>rs216176</t>
        </is>
      </c>
      <c r="F1552" t="n">
        <v>-0.0017794078599999</v>
      </c>
      <c r="G1552" t="n">
        <v>0.5508504871740008</v>
      </c>
      <c r="H1552" t="n">
        <v>0.0096594182580646</v>
      </c>
      <c r="I1552" t="n">
        <v>0.5224136125518467</v>
      </c>
      <c r="J1552" t="n">
        <v>0.2029749019439741</v>
      </c>
      <c r="K1552" t="n">
        <v>0.3982856178701773</v>
      </c>
      <c r="L1552" t="b">
        <v>0</v>
      </c>
      <c r="M1552" t="b">
        <v>0</v>
      </c>
      <c r="N1552" t="inlineStr">
        <is>
          <t>ref</t>
        </is>
      </c>
      <c r="O1552" t="n">
        <v>85</v>
      </c>
      <c r="P1552" t="n">
        <v>0.00759</v>
      </c>
      <c r="Q1552" t="n">
        <v>45</v>
      </c>
      <c r="R1552" t="n">
        <v>0.0454</v>
      </c>
      <c r="S1552">
        <f>IMAGE("https://mitra.stanford.edu/kundaje/oak/projects/neuro-variants/variant_position/credible/roussos_2024/variant_figures/roussos_2024.adolescence.GLU/rs216176_count_position.png",4,220,900)</f>
        <v/>
      </c>
      <c r="T1552">
        <f>IMAGE("https://mitra.stanford.edu/kundaje/oak/projects/neuro-variants/variant_position/credible/roussos_2024/variant_figures/roussos_2024.adolescence.GLU/rs216176_profile_position.png",4,220,900)</f>
        <v/>
      </c>
    </row>
    <row r="1553">
      <c r="A1553" t="inlineStr">
        <is>
          <t>chr17</t>
        </is>
      </c>
      <c r="B1553" t="n">
        <v>2267564</v>
      </c>
      <c r="C1553" t="inlineStr">
        <is>
          <t>A</t>
        </is>
      </c>
      <c r="D1553" t="inlineStr">
        <is>
          <t>G</t>
        </is>
      </c>
      <c r="E1553" t="inlineStr">
        <is>
          <t>rs1122645</t>
        </is>
      </c>
      <c r="F1553" t="n">
        <v>0.0439931226</v>
      </c>
      <c r="G1553" t="n">
        <v>0.0956912670613104</v>
      </c>
      <c r="H1553" t="n">
        <v>0.0152484896721569</v>
      </c>
      <c r="I1553" t="n">
        <v>0.1731510008628103</v>
      </c>
      <c r="J1553" t="n">
        <v>0.175247729886905</v>
      </c>
      <c r="K1553" t="n">
        <v>0.4387307358762402</v>
      </c>
      <c r="L1553" t="b">
        <v>0</v>
      </c>
      <c r="M1553" t="b">
        <v>0</v>
      </c>
      <c r="N1553" t="inlineStr">
        <is>
          <t>alt</t>
        </is>
      </c>
      <c r="O1553" t="n">
        <v>80</v>
      </c>
      <c r="P1553" t="n">
        <v>0.05286</v>
      </c>
      <c r="Q1553" t="n">
        <v>5</v>
      </c>
      <c r="R1553" t="n">
        <v>0.002869</v>
      </c>
      <c r="S1553">
        <f>IMAGE("https://mitra.stanford.edu/kundaje/oak/projects/neuro-variants/variant_position/credible/roussos_2024/variant_figures/roussos_2024.adolescence.GLU/rs1122645_count_position.png",4,220,900)</f>
        <v/>
      </c>
      <c r="T1553">
        <f>IMAGE("https://mitra.stanford.edu/kundaje/oak/projects/neuro-variants/variant_position/credible/roussos_2024/variant_figures/roussos_2024.adolescence.GLU/rs1122645_profile_position.png",4,220,900)</f>
        <v/>
      </c>
    </row>
    <row r="1554">
      <c r="A1554" t="inlineStr">
        <is>
          <t>chr17</t>
        </is>
      </c>
      <c r="B1554" t="n">
        <v>2273238</v>
      </c>
      <c r="C1554" t="inlineStr">
        <is>
          <t>A</t>
        </is>
      </c>
      <c r="D1554" t="inlineStr">
        <is>
          <t>G</t>
        </is>
      </c>
      <c r="E1554" t="inlineStr">
        <is>
          <t>rs11869805</t>
        </is>
      </c>
      <c r="F1554" t="n">
        <v>0.0403149294</v>
      </c>
      <c r="G1554" t="n">
        <v>0.1034753786410335</v>
      </c>
      <c r="H1554" t="n">
        <v>0.0134110561448923</v>
      </c>
      <c r="I1554" t="n">
        <v>0.2456280877109867</v>
      </c>
      <c r="J1554" t="n">
        <v>0.1792985689892905</v>
      </c>
      <c r="K1554" t="n">
        <v>0.4318124388870075</v>
      </c>
      <c r="L1554" t="b">
        <v>0</v>
      </c>
      <c r="M1554" t="b">
        <v>0</v>
      </c>
      <c r="N1554" t="inlineStr">
        <is>
          <t>alt</t>
        </is>
      </c>
      <c r="O1554" t="n">
        <v>55</v>
      </c>
      <c r="P1554" t="n">
        <v>0.001482</v>
      </c>
      <c r="Q1554" t="n">
        <v>-80</v>
      </c>
      <c r="R1554" t="n">
        <v>0.093</v>
      </c>
      <c r="S1554">
        <f>IMAGE("https://mitra.stanford.edu/kundaje/oak/projects/neuro-variants/variant_position/credible/roussos_2024/variant_figures/roussos_2024.adolescence.GLU/rs11869805_count_position.png",4,220,900)</f>
        <v/>
      </c>
      <c r="T1554">
        <f>IMAGE("https://mitra.stanford.edu/kundaje/oak/projects/neuro-variants/variant_position/credible/roussos_2024/variant_figures/roussos_2024.adolescence.GLU/rs11869805_profile_position.png",4,220,900)</f>
        <v/>
      </c>
    </row>
    <row r="1555">
      <c r="A1555" t="inlineStr">
        <is>
          <t>chr17</t>
        </is>
      </c>
      <c r="B1555" t="n">
        <v>2273670</v>
      </c>
      <c r="C1555" t="inlineStr">
        <is>
          <t>A</t>
        </is>
      </c>
      <c r="D1555" t="inlineStr">
        <is>
          <t>G</t>
        </is>
      </c>
      <c r="E1555" t="inlineStr">
        <is>
          <t>rs6502155</t>
        </is>
      </c>
      <c r="F1555" t="n">
        <v>0.058508661</v>
      </c>
      <c r="G1555" t="n">
        <v>0.039467484746393</v>
      </c>
      <c r="H1555" t="n">
        <v>0.0131156928282181</v>
      </c>
      <c r="I1555" t="n">
        <v>0.2556458030216186</v>
      </c>
      <c r="J1555" t="n">
        <v>0.115956876781619</v>
      </c>
      <c r="K1555" t="n">
        <v>0.5418151042604442</v>
      </c>
      <c r="L1555" t="b">
        <v>0</v>
      </c>
      <c r="M1555" t="b">
        <v>0</v>
      </c>
      <c r="N1555" t="inlineStr">
        <is>
          <t>alt</t>
        </is>
      </c>
      <c r="O1555" t="n">
        <v>15</v>
      </c>
      <c r="P1555" t="n">
        <v>0.005188</v>
      </c>
      <c r="Q1555" t="n">
        <v>-50</v>
      </c>
      <c r="R1555" t="n">
        <v>0.01862</v>
      </c>
      <c r="S1555">
        <f>IMAGE("https://mitra.stanford.edu/kundaje/oak/projects/neuro-variants/variant_position/credible/roussos_2024/variant_figures/roussos_2024.adolescence.GLU/rs6502155_count_position.png",4,220,900)</f>
        <v/>
      </c>
      <c r="T1555">
        <f>IMAGE("https://mitra.stanford.edu/kundaje/oak/projects/neuro-variants/variant_position/credible/roussos_2024/variant_figures/roussos_2024.adolescence.GLU/rs6502155_profile_position.png",4,220,900)</f>
        <v/>
      </c>
    </row>
    <row r="1556">
      <c r="A1556" t="inlineStr">
        <is>
          <t>chr17</t>
        </is>
      </c>
      <c r="B1556" t="n">
        <v>2282806</v>
      </c>
      <c r="C1556" t="inlineStr">
        <is>
          <t>C</t>
        </is>
      </c>
      <c r="D1556" t="inlineStr">
        <is>
          <t>T</t>
        </is>
      </c>
      <c r="E1556" t="inlineStr">
        <is>
          <t>rs749240</t>
        </is>
      </c>
      <c r="F1556" t="n">
        <v>0.1307728739999999</v>
      </c>
      <c r="G1556" t="n">
        <v>0.0040296305311844</v>
      </c>
      <c r="H1556" t="n">
        <v>0.030292922467222</v>
      </c>
      <c r="I1556" t="n">
        <v>0.0102313451196426</v>
      </c>
      <c r="J1556" t="n">
        <v>0.4641704353044559</v>
      </c>
      <c r="K1556" t="n">
        <v>0.1113765197903555</v>
      </c>
      <c r="L1556" t="b">
        <v>1</v>
      </c>
      <c r="M1556" t="b">
        <v>1</v>
      </c>
      <c r="N1556" t="inlineStr">
        <is>
          <t>alt</t>
        </is>
      </c>
      <c r="O1556" t="n">
        <v>70</v>
      </c>
      <c r="P1556" t="n">
        <v>0.01726</v>
      </c>
      <c r="Q1556" t="n">
        <v>-70</v>
      </c>
      <c r="R1556" t="n">
        <v>0.04688</v>
      </c>
      <c r="S1556">
        <f>IMAGE("https://mitra.stanford.edu/kundaje/oak/projects/neuro-variants/variant_position/credible/roussos_2024/variant_figures/roussos_2024.adolescence.GLU/rs749240_count_position.png",4,220,900)</f>
        <v/>
      </c>
      <c r="T1556">
        <f>IMAGE("https://mitra.stanford.edu/kundaje/oak/projects/neuro-variants/variant_position/credible/roussos_2024/variant_figures/roussos_2024.adolescence.GLU/rs749240_profile_position.png",4,220,900)</f>
        <v/>
      </c>
    </row>
    <row r="1557">
      <c r="A1557" t="inlineStr">
        <is>
          <t>chr17</t>
        </is>
      </c>
      <c r="B1557" t="n">
        <v>2287024</v>
      </c>
      <c r="C1557" t="inlineStr">
        <is>
          <t>C</t>
        </is>
      </c>
      <c r="D1557" t="inlineStr">
        <is>
          <t>T</t>
        </is>
      </c>
      <c r="E1557" t="inlineStr">
        <is>
          <t>rs410378</t>
        </is>
      </c>
      <c r="F1557" t="n">
        <v>-0.000968010148</v>
      </c>
      <c r="G1557" t="n">
        <v>0.6770412035170229</v>
      </c>
      <c r="H1557" t="n">
        <v>0.0103826175367423</v>
      </c>
      <c r="I1557" t="n">
        <v>0.4748070489661358</v>
      </c>
      <c r="J1557" t="n">
        <v>0.1533231883747347</v>
      </c>
      <c r="K1557" t="n">
        <v>0.4707572837935685</v>
      </c>
      <c r="L1557" t="b">
        <v>0</v>
      </c>
      <c r="M1557" t="b">
        <v>0</v>
      </c>
      <c r="N1557" t="inlineStr">
        <is>
          <t>ref</t>
        </is>
      </c>
      <c r="O1557" t="n">
        <v>-35</v>
      </c>
      <c r="P1557" t="n">
        <v>0.004272</v>
      </c>
      <c r="Q1557" t="n">
        <v>65</v>
      </c>
      <c r="R1557" t="n">
        <v>0.1049</v>
      </c>
      <c r="S1557">
        <f>IMAGE("https://mitra.stanford.edu/kundaje/oak/projects/neuro-variants/variant_position/credible/roussos_2024/variant_figures/roussos_2024.adolescence.GLU/rs410378_count_position.png",4,220,900)</f>
        <v/>
      </c>
      <c r="T1557">
        <f>IMAGE("https://mitra.stanford.edu/kundaje/oak/projects/neuro-variants/variant_position/credible/roussos_2024/variant_figures/roussos_2024.adolescence.GLU/rs410378_profile_position.png",4,220,900)</f>
        <v/>
      </c>
    </row>
    <row r="1558">
      <c r="A1558" t="inlineStr">
        <is>
          <t>chr17</t>
        </is>
      </c>
      <c r="B1558" t="n">
        <v>2294093</v>
      </c>
      <c r="C1558" t="inlineStr">
        <is>
          <t>T</t>
        </is>
      </c>
      <c r="D1558" t="inlineStr">
        <is>
          <t>C</t>
        </is>
      </c>
      <c r="E1558" t="inlineStr">
        <is>
          <t>rs216202</t>
        </is>
      </c>
      <c r="F1558" t="n">
        <v>0.0130709805</v>
      </c>
      <c r="G1558" t="n">
        <v>0.4109212765532151</v>
      </c>
      <c r="H1558" t="n">
        <v>0.0100325934172642</v>
      </c>
      <c r="I1558" t="n">
        <v>0.531472307635248</v>
      </c>
      <c r="J1558" t="n">
        <v>0.2199226982732137</v>
      </c>
      <c r="K1558" t="n">
        <v>0.37337916026597</v>
      </c>
      <c r="L1558" t="b">
        <v>0</v>
      </c>
      <c r="M1558" t="b">
        <v>0</v>
      </c>
      <c r="N1558" t="inlineStr">
        <is>
          <t>alt</t>
        </is>
      </c>
      <c r="O1558" t="n">
        <v>-65</v>
      </c>
      <c r="P1558" t="n">
        <v>0.01776</v>
      </c>
      <c r="Q1558" t="n">
        <v>-75</v>
      </c>
      <c r="R1558" t="n">
        <v>0.1642</v>
      </c>
      <c r="S1558">
        <f>IMAGE("https://mitra.stanford.edu/kundaje/oak/projects/neuro-variants/variant_position/credible/roussos_2024/variant_figures/roussos_2024.adolescence.GLU/rs216202_count_position.png",4,220,900)</f>
        <v/>
      </c>
      <c r="T1558">
        <f>IMAGE("https://mitra.stanford.edu/kundaje/oak/projects/neuro-variants/variant_position/credible/roussos_2024/variant_figures/roussos_2024.adolescence.GLU/rs216202_profile_position.png",4,220,900)</f>
        <v/>
      </c>
    </row>
    <row r="1559">
      <c r="A1559" t="inlineStr">
        <is>
          <t>chr17</t>
        </is>
      </c>
      <c r="B1559" t="n">
        <v>2295506</v>
      </c>
      <c r="C1559" t="inlineStr">
        <is>
          <t>C</t>
        </is>
      </c>
      <c r="D1559" t="inlineStr">
        <is>
          <t>T</t>
        </is>
      </c>
      <c r="E1559" t="inlineStr">
        <is>
          <t>rs216201</t>
        </is>
      </c>
      <c r="F1559" t="n">
        <v>-0.0615170416</v>
      </c>
      <c r="G1559" t="n">
        <v>0.0374490915578575</v>
      </c>
      <c r="H1559" t="n">
        <v>0.0103381872927864</v>
      </c>
      <c r="I1559" t="n">
        <v>0.492839061728088</v>
      </c>
      <c r="J1559" t="n">
        <v>0.2913232026634088</v>
      </c>
      <c r="K1559" t="n">
        <v>0.277931225951993</v>
      </c>
      <c r="L1559" t="b">
        <v>0</v>
      </c>
      <c r="M1559" t="b">
        <v>0</v>
      </c>
      <c r="N1559" t="inlineStr">
        <is>
          <t>ref</t>
        </is>
      </c>
      <c r="O1559" t="n">
        <v>-95</v>
      </c>
      <c r="P1559" t="n">
        <v>0.02425</v>
      </c>
      <c r="Q1559" t="n">
        <v>-100</v>
      </c>
      <c r="R1559" t="n">
        <v>0.0646</v>
      </c>
      <c r="S1559">
        <f>IMAGE("https://mitra.stanford.edu/kundaje/oak/projects/neuro-variants/variant_position/credible/roussos_2024/variant_figures/roussos_2024.adolescence.GLU/rs216201_count_position.png",4,220,900)</f>
        <v/>
      </c>
      <c r="T1559">
        <f>IMAGE("https://mitra.stanford.edu/kundaje/oak/projects/neuro-variants/variant_position/credible/roussos_2024/variant_figures/roussos_2024.adolescence.GLU/rs216201_profile_position.png",4,220,900)</f>
        <v/>
      </c>
    </row>
    <row r="1560">
      <c r="A1560" t="inlineStr">
        <is>
          <t>chr17</t>
        </is>
      </c>
      <c r="B1560" t="n">
        <v>2296455</v>
      </c>
      <c r="C1560" t="inlineStr">
        <is>
          <t>C</t>
        </is>
      </c>
      <c r="D1560" t="inlineStr">
        <is>
          <t>A</t>
        </is>
      </c>
      <c r="E1560" t="inlineStr">
        <is>
          <t>rs394752</t>
        </is>
      </c>
      <c r="F1560" t="n">
        <v>0.0009900139123999001</v>
      </c>
      <c r="G1560" t="n">
        <v>0.6490464307901462</v>
      </c>
      <c r="H1560" t="n">
        <v>0.0105744079710898</v>
      </c>
      <c r="I1560" t="n">
        <v>0.4614549760171536</v>
      </c>
      <c r="J1560" t="n">
        <v>0.2671124732980403</v>
      </c>
      <c r="K1560" t="n">
        <v>0.3129226830158651</v>
      </c>
      <c r="L1560" t="b">
        <v>0</v>
      </c>
      <c r="M1560" t="b">
        <v>0</v>
      </c>
      <c r="N1560" t="inlineStr">
        <is>
          <t>alt</t>
        </is>
      </c>
      <c r="O1560" t="n">
        <v>100</v>
      </c>
      <c r="P1560" t="n">
        <v>0.003</v>
      </c>
      <c r="Q1560" t="n">
        <v>85</v>
      </c>
      <c r="R1560" t="n">
        <v>0.02155</v>
      </c>
      <c r="S1560">
        <f>IMAGE("https://mitra.stanford.edu/kundaje/oak/projects/neuro-variants/variant_position/credible/roussos_2024/variant_figures/roussos_2024.adolescence.GLU/rs394752_count_position.png",4,220,900)</f>
        <v/>
      </c>
      <c r="T1560">
        <f>IMAGE("https://mitra.stanford.edu/kundaje/oak/projects/neuro-variants/variant_position/credible/roussos_2024/variant_figures/roussos_2024.adolescence.GLU/rs394752_profile_position.png",4,220,900)</f>
        <v/>
      </c>
    </row>
    <row r="1561">
      <c r="A1561" t="inlineStr">
        <is>
          <t>chr17</t>
        </is>
      </c>
      <c r="B1561" t="n">
        <v>2298650</v>
      </c>
      <c r="C1561" t="inlineStr">
        <is>
          <t>A</t>
        </is>
      </c>
      <c r="D1561" t="inlineStr">
        <is>
          <t>G</t>
        </is>
      </c>
      <c r="E1561" t="inlineStr">
        <is>
          <t>rs216197</t>
        </is>
      </c>
      <c r="F1561" t="n">
        <v>0.07060185200000001</v>
      </c>
      <c r="G1561" t="n">
        <v>0.0211053736502255</v>
      </c>
      <c r="H1561" t="n">
        <v>0.0115555528437607</v>
      </c>
      <c r="I1561" t="n">
        <v>0.3669256066892256</v>
      </c>
      <c r="J1561" t="n">
        <v>0.3726143272535024</v>
      </c>
      <c r="K1561" t="n">
        <v>0.1940759323021843</v>
      </c>
      <c r="L1561" t="b">
        <v>0</v>
      </c>
      <c r="M1561" t="b">
        <v>0</v>
      </c>
      <c r="N1561" t="inlineStr">
        <is>
          <t>alt</t>
        </is>
      </c>
      <c r="O1561" t="n">
        <v>25</v>
      </c>
      <c r="P1561" t="n">
        <v>0.001526</v>
      </c>
      <c r="Q1561" t="n">
        <v>100</v>
      </c>
      <c r="R1561" t="n">
        <v>0.1024</v>
      </c>
      <c r="S1561">
        <f>IMAGE("https://mitra.stanford.edu/kundaje/oak/projects/neuro-variants/variant_position/credible/roussos_2024/variant_figures/roussos_2024.adolescence.GLU/rs216197_count_position.png",4,220,900)</f>
        <v/>
      </c>
      <c r="T1561">
        <f>IMAGE("https://mitra.stanford.edu/kundaje/oak/projects/neuro-variants/variant_position/credible/roussos_2024/variant_figures/roussos_2024.adolescence.GLU/rs216197_profile_position.png",4,220,900)</f>
        <v/>
      </c>
    </row>
    <row r="1562">
      <c r="A1562" t="inlineStr">
        <is>
          <t>chr17</t>
        </is>
      </c>
      <c r="B1562" t="n">
        <v>2299649</v>
      </c>
      <c r="C1562" t="inlineStr">
        <is>
          <t>T</t>
        </is>
      </c>
      <c r="D1562" t="inlineStr">
        <is>
          <t>C</t>
        </is>
      </c>
      <c r="E1562" t="inlineStr">
        <is>
          <t>rs216196</t>
        </is>
      </c>
      <c r="F1562" t="n">
        <v>0.0267331798</v>
      </c>
      <c r="G1562" t="n">
        <v>0.1958131116107138</v>
      </c>
      <c r="H1562" t="n">
        <v>0.008265273845338201</v>
      </c>
      <c r="I1562" t="n">
        <v>0.7676677314500593</v>
      </c>
      <c r="J1562" t="n">
        <v>0.6139171685563438</v>
      </c>
      <c r="K1562" t="n">
        <v>0.0337267674357394</v>
      </c>
      <c r="L1562" t="b">
        <v>0</v>
      </c>
      <c r="M1562" t="b">
        <v>0</v>
      </c>
      <c r="N1562" t="inlineStr">
        <is>
          <t>alt</t>
        </is>
      </c>
      <c r="O1562" t="n">
        <v>20</v>
      </c>
      <c r="P1562" t="n">
        <v>0.001081</v>
      </c>
      <c r="Q1562" t="n">
        <v>-70</v>
      </c>
      <c r="R1562" t="n">
        <v>0.02588</v>
      </c>
      <c r="S1562">
        <f>IMAGE("https://mitra.stanford.edu/kundaje/oak/projects/neuro-variants/variant_position/credible/roussos_2024/variant_figures/roussos_2024.adolescence.GLU/rs216196_count_position.png",4,220,900)</f>
        <v/>
      </c>
      <c r="T1562">
        <f>IMAGE("https://mitra.stanford.edu/kundaje/oak/projects/neuro-variants/variant_position/credible/roussos_2024/variant_figures/roussos_2024.adolescence.GLU/rs216196_profile_position.png",4,220,900)</f>
        <v/>
      </c>
    </row>
    <row r="1563">
      <c r="A1563" t="inlineStr">
        <is>
          <t>chr17</t>
        </is>
      </c>
      <c r="B1563" t="n">
        <v>2302629</v>
      </c>
      <c r="C1563" t="inlineStr">
        <is>
          <t>T</t>
        </is>
      </c>
      <c r="D1563" t="inlineStr">
        <is>
          <t>C</t>
        </is>
      </c>
      <c r="E1563" t="inlineStr">
        <is>
          <t>rs2224770</t>
        </is>
      </c>
      <c r="F1563" t="n">
        <v>0.008406627240000001</v>
      </c>
      <c r="G1563" t="n">
        <v>0.5083013408483035</v>
      </c>
      <c r="H1563" t="n">
        <v>0.0097245201048798</v>
      </c>
      <c r="I1563" t="n">
        <v>0.5558942361004205</v>
      </c>
      <c r="J1563" t="n">
        <v>0.4790692357702666</v>
      </c>
      <c r="K1563" t="n">
        <v>0.1016383198971322</v>
      </c>
      <c r="L1563" t="b">
        <v>0</v>
      </c>
      <c r="M1563" t="b">
        <v>0</v>
      </c>
      <c r="N1563" t="inlineStr">
        <is>
          <t>alt</t>
        </is>
      </c>
      <c r="O1563" t="n">
        <v>40</v>
      </c>
      <c r="P1563" t="n">
        <v>0.002258</v>
      </c>
      <c r="Q1563" t="n">
        <v>100</v>
      </c>
      <c r="R1563" t="n">
        <v>0.144</v>
      </c>
      <c r="S1563">
        <f>IMAGE("https://mitra.stanford.edu/kundaje/oak/projects/neuro-variants/variant_position/credible/roussos_2024/variant_figures/roussos_2024.adolescence.GLU/rs2224770_count_position.png",4,220,900)</f>
        <v/>
      </c>
      <c r="T1563">
        <f>IMAGE("https://mitra.stanford.edu/kundaje/oak/projects/neuro-variants/variant_position/credible/roussos_2024/variant_figures/roussos_2024.adolescence.GLU/rs2224770_profile_position.png",4,220,900)</f>
        <v/>
      </c>
    </row>
    <row r="1564">
      <c r="A1564" t="inlineStr">
        <is>
          <t>chr17</t>
        </is>
      </c>
      <c r="B1564" t="n">
        <v>2312964</v>
      </c>
      <c r="C1564" t="inlineStr">
        <is>
          <t>T</t>
        </is>
      </c>
      <c r="D1564" t="inlineStr">
        <is>
          <t>C</t>
        </is>
      </c>
      <c r="E1564" t="inlineStr">
        <is>
          <t>rs391300</t>
        </is>
      </c>
      <c r="F1564" t="n">
        <v>0.0640267184</v>
      </c>
      <c r="G1564" t="n">
        <v>0.0285491506386068</v>
      </c>
      <c r="H1564" t="n">
        <v>0.0114642542182608</v>
      </c>
      <c r="I1564" t="n">
        <v>0.3801535670600177</v>
      </c>
      <c r="J1564" t="n">
        <v>0.1774453279607918</v>
      </c>
      <c r="K1564" t="n">
        <v>0.4390290948055382</v>
      </c>
      <c r="L1564" t="b">
        <v>0</v>
      </c>
      <c r="M1564" t="b">
        <v>0</v>
      </c>
      <c r="N1564" t="inlineStr">
        <is>
          <t>alt</t>
        </is>
      </c>
      <c r="O1564" t="n">
        <v>50</v>
      </c>
      <c r="P1564" t="n">
        <v>0.006588</v>
      </c>
      <c r="Q1564" t="n">
        <v>100</v>
      </c>
      <c r="R1564" t="n">
        <v>0.03647</v>
      </c>
      <c r="S1564">
        <f>IMAGE("https://mitra.stanford.edu/kundaje/oak/projects/neuro-variants/variant_position/credible/roussos_2024/variant_figures/roussos_2024.adolescence.GLU/rs391300_count_position.png",4,220,900)</f>
        <v/>
      </c>
      <c r="T1564">
        <f>IMAGE("https://mitra.stanford.edu/kundaje/oak/projects/neuro-variants/variant_position/credible/roussos_2024/variant_figures/roussos_2024.adolescence.GLU/rs391300_profile_position.png",4,220,900)</f>
        <v/>
      </c>
    </row>
    <row r="1565">
      <c r="A1565" t="inlineStr">
        <is>
          <t>chr17</t>
        </is>
      </c>
      <c r="B1565" t="n">
        <v>4273906</v>
      </c>
      <c r="C1565" t="inlineStr">
        <is>
          <t>T</t>
        </is>
      </c>
      <c r="D1565" t="inlineStr">
        <is>
          <t>C</t>
        </is>
      </c>
      <c r="E1565" t="inlineStr">
        <is>
          <t>rs28756069</t>
        </is>
      </c>
      <c r="F1565" t="n">
        <v>-0.003051418852</v>
      </c>
      <c r="G1565" t="n">
        <v>0.7820316789107777</v>
      </c>
      <c r="H1565" t="n">
        <v>0.0071772314956488</v>
      </c>
      <c r="I1565" t="n">
        <v>0.8732511463303547</v>
      </c>
      <c r="J1565" t="n">
        <v>0.255518643147509</v>
      </c>
      <c r="K1565" t="n">
        <v>0.3257631324551999</v>
      </c>
      <c r="L1565" t="b">
        <v>0</v>
      </c>
      <c r="M1565" t="b">
        <v>0</v>
      </c>
      <c r="N1565" t="inlineStr">
        <is>
          <t>ref</t>
        </is>
      </c>
      <c r="O1565" t="n">
        <v>35</v>
      </c>
      <c r="P1565" t="n">
        <v>0.003326</v>
      </c>
      <c r="Q1565" t="n">
        <v>100</v>
      </c>
      <c r="R1565" t="n">
        <v>0.1216</v>
      </c>
      <c r="S1565">
        <f>IMAGE("https://mitra.stanford.edu/kundaje/oak/projects/neuro-variants/variant_position/credible/roussos_2024/variant_figures/roussos_2024.adolescence.GLU/rs28756069_count_position.png",4,220,900)</f>
        <v/>
      </c>
      <c r="T1565">
        <f>IMAGE("https://mitra.stanford.edu/kundaje/oak/projects/neuro-variants/variant_position/credible/roussos_2024/variant_figures/roussos_2024.adolescence.GLU/rs28756069_profile_position.png",4,220,900)</f>
        <v/>
      </c>
    </row>
    <row r="1566">
      <c r="A1566" t="inlineStr">
        <is>
          <t>chr17</t>
        </is>
      </c>
      <c r="B1566" t="n">
        <v>4281346</v>
      </c>
      <c r="C1566" t="inlineStr">
        <is>
          <t>C</t>
        </is>
      </c>
      <c r="D1566" t="inlineStr">
        <is>
          <t>A</t>
        </is>
      </c>
      <c r="E1566" t="inlineStr">
        <is>
          <t>rs9913489</t>
        </is>
      </c>
      <c r="F1566" t="n">
        <v>-0.00896355446</v>
      </c>
      <c r="G1566" t="n">
        <v>0.5662489315345125</v>
      </c>
      <c r="H1566" t="n">
        <v>0.0216482741552359</v>
      </c>
      <c r="I1566" t="n">
        <v>0.039625695320857</v>
      </c>
      <c r="J1566" t="n">
        <v>0.0560416086189281</v>
      </c>
      <c r="K1566" t="n">
        <v>0.6858660408652902</v>
      </c>
      <c r="L1566" t="b">
        <v>0</v>
      </c>
      <c r="M1566" t="b">
        <v>0</v>
      </c>
      <c r="N1566" t="inlineStr">
        <is>
          <t>ref</t>
        </is>
      </c>
      <c r="O1566" t="n">
        <v>-40</v>
      </c>
      <c r="P1566" t="n">
        <v>0.001791</v>
      </c>
      <c r="Q1566" t="n">
        <v>65</v>
      </c>
      <c r="R1566" t="n">
        <v>0.09143</v>
      </c>
      <c r="S1566">
        <f>IMAGE("https://mitra.stanford.edu/kundaje/oak/projects/neuro-variants/variant_position/credible/roussos_2024/variant_figures/roussos_2024.adolescence.GLU/rs9913489_count_position.png",4,220,900)</f>
        <v/>
      </c>
      <c r="T1566">
        <f>IMAGE("https://mitra.stanford.edu/kundaje/oak/projects/neuro-variants/variant_position/credible/roussos_2024/variant_figures/roussos_2024.adolescence.GLU/rs9913489_profile_position.png",4,220,900)</f>
        <v/>
      </c>
    </row>
    <row r="1567">
      <c r="A1567" t="inlineStr">
        <is>
          <t>chr17</t>
        </is>
      </c>
      <c r="B1567" t="n">
        <v>4282032</v>
      </c>
      <c r="C1567" t="inlineStr">
        <is>
          <t>T</t>
        </is>
      </c>
      <c r="D1567" t="inlineStr">
        <is>
          <t>C</t>
        </is>
      </c>
      <c r="E1567" t="inlineStr">
        <is>
          <t>rs11868068</t>
        </is>
      </c>
      <c r="F1567" t="n">
        <v>0.0547810517999999</v>
      </c>
      <c r="G1567" t="n">
        <v>0.0462453074477734</v>
      </c>
      <c r="H1567" t="n">
        <v>0.012665192187452</v>
      </c>
      <c r="I1567" t="n">
        <v>0.2818487378188279</v>
      </c>
      <c r="J1567" t="n">
        <v>0.0378878481971265</v>
      </c>
      <c r="K1567" t="n">
        <v>0.7410261354792425</v>
      </c>
      <c r="L1567" t="b">
        <v>0</v>
      </c>
      <c r="M1567" t="b">
        <v>0</v>
      </c>
      <c r="N1567" t="inlineStr">
        <is>
          <t>alt</t>
        </is>
      </c>
      <c r="O1567" t="n">
        <v>-55</v>
      </c>
      <c r="P1567" t="n">
        <v>0.007614</v>
      </c>
      <c r="Q1567" t="n">
        <v>85</v>
      </c>
      <c r="R1567" t="n">
        <v>0.0668</v>
      </c>
      <c r="S1567">
        <f>IMAGE("https://mitra.stanford.edu/kundaje/oak/projects/neuro-variants/variant_position/credible/roussos_2024/variant_figures/roussos_2024.adolescence.GLU/rs11868068_count_position.png",4,220,900)</f>
        <v/>
      </c>
      <c r="T1567">
        <f>IMAGE("https://mitra.stanford.edu/kundaje/oak/projects/neuro-variants/variant_position/credible/roussos_2024/variant_figures/roussos_2024.adolescence.GLU/rs11868068_profile_position.png",4,220,900)</f>
        <v/>
      </c>
    </row>
    <row r="1568">
      <c r="A1568" t="inlineStr">
        <is>
          <t>chr17</t>
        </is>
      </c>
      <c r="B1568" t="n">
        <v>4302040</v>
      </c>
      <c r="C1568" t="inlineStr">
        <is>
          <t>C</t>
        </is>
      </c>
      <c r="D1568" t="inlineStr">
        <is>
          <t>A</t>
        </is>
      </c>
      <c r="E1568" t="inlineStr">
        <is>
          <t>rs1866175</t>
        </is>
      </c>
      <c r="F1568" t="n">
        <v>-0.0021669541999999</v>
      </c>
      <c r="G1568" t="n">
        <v>0.5564910626485335</v>
      </c>
      <c r="H1568" t="n">
        <v>0.027609874103774</v>
      </c>
      <c r="I1568" t="n">
        <v>0.0138154791710331</v>
      </c>
      <c r="J1568" t="n">
        <v>0.2089089882904315</v>
      </c>
      <c r="K1568" t="n">
        <v>0.3895128028981807</v>
      </c>
      <c r="L1568" t="b">
        <v>1</v>
      </c>
      <c r="M1568" t="b">
        <v>0</v>
      </c>
      <c r="N1568" t="inlineStr">
        <is>
          <t>ref</t>
        </is>
      </c>
      <c r="O1568" t="n">
        <v>35</v>
      </c>
      <c r="P1568" t="n">
        <v>0.008865</v>
      </c>
      <c r="Q1568" t="n">
        <v>75</v>
      </c>
      <c r="R1568" t="n">
        <v>0.09204</v>
      </c>
      <c r="S1568">
        <f>IMAGE("https://mitra.stanford.edu/kundaje/oak/projects/neuro-variants/variant_position/credible/roussos_2024/variant_figures/roussos_2024.adolescence.GLU/rs1866175_count_position.png",4,220,900)</f>
        <v/>
      </c>
      <c r="T1568">
        <f>IMAGE("https://mitra.stanford.edu/kundaje/oak/projects/neuro-variants/variant_position/credible/roussos_2024/variant_figures/roussos_2024.adolescence.GLU/rs1866175_profile_position.png",4,220,900)</f>
        <v/>
      </c>
    </row>
    <row r="1569">
      <c r="A1569" t="inlineStr">
        <is>
          <t>chr17</t>
        </is>
      </c>
      <c r="B1569" t="n">
        <v>4309599</v>
      </c>
      <c r="C1569" t="inlineStr">
        <is>
          <t>A</t>
        </is>
      </c>
      <c r="D1569" t="inlineStr">
        <is>
          <t>G</t>
        </is>
      </c>
      <c r="E1569" t="inlineStr">
        <is>
          <t>rs9303185</t>
        </is>
      </c>
      <c r="F1569" t="n">
        <v>-0.0169011946199999</v>
      </c>
      <c r="G1569" t="n">
        <v>0.3782432182045924</v>
      </c>
      <c r="H1569" t="n">
        <v>0.0160774889704799</v>
      </c>
      <c r="I1569" t="n">
        <v>0.1321629133935683</v>
      </c>
      <c r="J1569" t="n">
        <v>0.07053175300597971</v>
      </c>
      <c r="K1569" t="n">
        <v>0.6360374903991025</v>
      </c>
      <c r="L1569" t="b">
        <v>0</v>
      </c>
      <c r="M1569" t="b">
        <v>0</v>
      </c>
      <c r="N1569" t="inlineStr">
        <is>
          <t>ref</t>
        </is>
      </c>
      <c r="O1569" t="n">
        <v>-85</v>
      </c>
      <c r="P1569" t="n">
        <v>0.008149999999999999</v>
      </c>
      <c r="Q1569" t="n">
        <v>15</v>
      </c>
      <c r="R1569" t="n">
        <v>0.001953</v>
      </c>
      <c r="S1569">
        <f>IMAGE("https://mitra.stanford.edu/kundaje/oak/projects/neuro-variants/variant_position/credible/roussos_2024/variant_figures/roussos_2024.adolescence.GLU/rs9303185_count_position.png",4,220,900)</f>
        <v/>
      </c>
      <c r="T1569">
        <f>IMAGE("https://mitra.stanford.edu/kundaje/oak/projects/neuro-variants/variant_position/credible/roussos_2024/variant_figures/roussos_2024.adolescence.GLU/rs9303185_profile_position.png",4,220,900)</f>
        <v/>
      </c>
    </row>
    <row r="1570">
      <c r="A1570" t="inlineStr">
        <is>
          <t>chr17</t>
        </is>
      </c>
      <c r="B1570" t="n">
        <v>4321545</v>
      </c>
      <c r="C1570" t="inlineStr">
        <is>
          <t>C</t>
        </is>
      </c>
      <c r="D1570" t="inlineStr">
        <is>
          <t>T</t>
        </is>
      </c>
      <c r="E1570" t="inlineStr">
        <is>
          <t>rs4456561</t>
        </is>
      </c>
      <c r="F1570" t="n">
        <v>-0.0492164601999999</v>
      </c>
      <c r="G1570" t="n">
        <v>0.0711884644549277</v>
      </c>
      <c r="H1570" t="n">
        <v>0.0091805934159679</v>
      </c>
      <c r="I1570" t="n">
        <v>0.6224940956116095</v>
      </c>
      <c r="J1570" t="n">
        <v>0.0708361017639367</v>
      </c>
      <c r="K1570" t="n">
        <v>0.6372429045466069</v>
      </c>
      <c r="L1570" t="b">
        <v>0</v>
      </c>
      <c r="M1570" t="b">
        <v>0</v>
      </c>
      <c r="N1570" t="inlineStr">
        <is>
          <t>ref</t>
        </is>
      </c>
      <c r="O1570" t="n">
        <v>-100</v>
      </c>
      <c r="P1570" t="n">
        <v>0.006104</v>
      </c>
      <c r="Q1570" t="n">
        <v>-95</v>
      </c>
      <c r="R1570" t="n">
        <v>0.07580000000000001</v>
      </c>
      <c r="S1570">
        <f>IMAGE("https://mitra.stanford.edu/kundaje/oak/projects/neuro-variants/variant_position/credible/roussos_2024/variant_figures/roussos_2024.adolescence.GLU/rs4456561_count_position.png",4,220,900)</f>
        <v/>
      </c>
      <c r="T1570">
        <f>IMAGE("https://mitra.stanford.edu/kundaje/oak/projects/neuro-variants/variant_position/credible/roussos_2024/variant_figures/roussos_2024.adolescence.GLU/rs4456561_profile_position.png",4,220,900)</f>
        <v/>
      </c>
    </row>
    <row r="1571">
      <c r="A1571" t="inlineStr">
        <is>
          <t>chr17</t>
        </is>
      </c>
      <c r="B1571" t="n">
        <v>4322762</v>
      </c>
      <c r="C1571" t="inlineStr">
        <is>
          <t>T</t>
        </is>
      </c>
      <c r="D1571" t="inlineStr">
        <is>
          <t>G</t>
        </is>
      </c>
      <c r="E1571" t="inlineStr">
        <is>
          <t>rs34499321</t>
        </is>
      </c>
      <c r="F1571" t="n">
        <v>0.01712041932</v>
      </c>
      <c r="G1571" t="n">
        <v>0.3251769749137391</v>
      </c>
      <c r="H1571" t="n">
        <v>0.0104742021992711</v>
      </c>
      <c r="I1571" t="n">
        <v>0.4676977565703682</v>
      </c>
      <c r="J1571" t="n">
        <v>0.139234555729401</v>
      </c>
      <c r="K1571" t="n">
        <v>0.4924459385841633</v>
      </c>
      <c r="L1571" t="b">
        <v>0</v>
      </c>
      <c r="M1571" t="b">
        <v>0</v>
      </c>
      <c r="N1571" t="inlineStr">
        <is>
          <t>alt</t>
        </is>
      </c>
      <c r="O1571" t="n">
        <v>-65</v>
      </c>
      <c r="P1571" t="n">
        <v>0.001814</v>
      </c>
      <c r="Q1571" t="n">
        <v>85</v>
      </c>
      <c r="R1571" t="n">
        <v>0.0936</v>
      </c>
      <c r="S1571">
        <f>IMAGE("https://mitra.stanford.edu/kundaje/oak/projects/neuro-variants/variant_position/credible/roussos_2024/variant_figures/roussos_2024.adolescence.GLU/rs34499321_count_position.png",4,220,900)</f>
        <v/>
      </c>
      <c r="T1571">
        <f>IMAGE("https://mitra.stanford.edu/kundaje/oak/projects/neuro-variants/variant_position/credible/roussos_2024/variant_figures/roussos_2024.adolescence.GLU/rs34499321_profile_position.png",4,220,900)</f>
        <v/>
      </c>
    </row>
    <row r="1572">
      <c r="A1572" t="inlineStr">
        <is>
          <t>chr17</t>
        </is>
      </c>
      <c r="B1572" t="n">
        <v>4323051</v>
      </c>
      <c r="C1572" t="inlineStr">
        <is>
          <t>T</t>
        </is>
      </c>
      <c r="D1572" t="inlineStr">
        <is>
          <t>C</t>
        </is>
      </c>
      <c r="E1572" t="inlineStr">
        <is>
          <t>rs35513053</t>
        </is>
      </c>
      <c r="F1572" t="n">
        <v>0.06615567999999999</v>
      </c>
      <c r="G1572" t="n">
        <v>0.0256885983987539</v>
      </c>
      <c r="H1572" t="n">
        <v>0.0111306122696526</v>
      </c>
      <c r="I1572" t="n">
        <v>0.3980538694172275</v>
      </c>
      <c r="J1572" t="n">
        <v>0.1752305834780061</v>
      </c>
      <c r="K1572" t="n">
        <v>0.4366099137819169</v>
      </c>
      <c r="L1572" t="b">
        <v>0</v>
      </c>
      <c r="M1572" t="b">
        <v>0</v>
      </c>
      <c r="N1572" t="inlineStr">
        <is>
          <t>alt</t>
        </is>
      </c>
      <c r="O1572" t="n">
        <v>95</v>
      </c>
      <c r="P1572" t="n">
        <v>0.0339</v>
      </c>
      <c r="Q1572" t="n">
        <v>30</v>
      </c>
      <c r="R1572" t="n">
        <v>0.0498</v>
      </c>
      <c r="S1572">
        <f>IMAGE("https://mitra.stanford.edu/kundaje/oak/projects/neuro-variants/variant_position/credible/roussos_2024/variant_figures/roussos_2024.adolescence.GLU/rs35513053_count_position.png",4,220,900)</f>
        <v/>
      </c>
      <c r="T1572">
        <f>IMAGE("https://mitra.stanford.edu/kundaje/oak/projects/neuro-variants/variant_position/credible/roussos_2024/variant_figures/roussos_2024.adolescence.GLU/rs35513053_profile_position.png",4,220,900)</f>
        <v/>
      </c>
    </row>
    <row r="1573">
      <c r="A1573" t="inlineStr">
        <is>
          <t>chr17</t>
        </is>
      </c>
      <c r="B1573" t="n">
        <v>4366050</v>
      </c>
      <c r="C1573" t="inlineStr">
        <is>
          <t>A</t>
        </is>
      </c>
      <c r="D1573" t="inlineStr">
        <is>
          <t>C</t>
        </is>
      </c>
      <c r="E1573" t="inlineStr">
        <is>
          <t>rs76655185</t>
        </is>
      </c>
      <c r="F1573" t="n">
        <v>0.0462933485999999</v>
      </c>
      <c r="G1573" t="n">
        <v>0.0778588143512286</v>
      </c>
      <c r="H1573" t="n">
        <v>0.022382766685099</v>
      </c>
      <c r="I1573" t="n">
        <v>0.0368570130673325</v>
      </c>
      <c r="J1573" t="n">
        <v>0.9730844246308163</v>
      </c>
      <c r="K1573" t="n">
        <v>0.0006053946671719</v>
      </c>
      <c r="L1573" t="b">
        <v>0</v>
      </c>
      <c r="M1573" t="b">
        <v>0</v>
      </c>
      <c r="N1573" t="inlineStr">
        <is>
          <t>alt</t>
        </is>
      </c>
      <c r="O1573" t="n">
        <v>-60</v>
      </c>
      <c r="P1573" t="n">
        <v>0.00276</v>
      </c>
      <c r="Q1573" t="n">
        <v>-100</v>
      </c>
      <c r="R1573" t="n">
        <v>0.0581</v>
      </c>
      <c r="S1573">
        <f>IMAGE("https://mitra.stanford.edu/kundaje/oak/projects/neuro-variants/variant_position/credible/roussos_2024/variant_figures/roussos_2024.adolescence.GLU/rs76655185_count_position.png",4,220,900)</f>
        <v/>
      </c>
      <c r="T1573">
        <f>IMAGE("https://mitra.stanford.edu/kundaje/oak/projects/neuro-variants/variant_position/credible/roussos_2024/variant_figures/roussos_2024.adolescence.GLU/rs76655185_profile_position.png",4,220,900)</f>
        <v/>
      </c>
    </row>
    <row r="1574">
      <c r="A1574" t="inlineStr">
        <is>
          <t>chr17</t>
        </is>
      </c>
      <c r="B1574" t="n">
        <v>4382134</v>
      </c>
      <c r="C1574" t="inlineStr">
        <is>
          <t>A</t>
        </is>
      </c>
      <c r="D1574" t="inlineStr">
        <is>
          <t>G</t>
        </is>
      </c>
      <c r="E1574" t="inlineStr">
        <is>
          <t>rs9891529</t>
        </is>
      </c>
      <c r="F1574" t="n">
        <v>0.0383490021999999</v>
      </c>
      <c r="G1574" t="n">
        <v>0.1099143128749293</v>
      </c>
      <c r="H1574" t="n">
        <v>0.0108619126130509</v>
      </c>
      <c r="I1574" t="n">
        <v>0.4436830256173196</v>
      </c>
      <c r="J1574" t="n">
        <v>0.3469690150102521</v>
      </c>
      <c r="K1574" t="n">
        <v>0.2178959126815355</v>
      </c>
      <c r="L1574" t="b">
        <v>0</v>
      </c>
      <c r="M1574" t="b">
        <v>0</v>
      </c>
      <c r="N1574" t="inlineStr">
        <is>
          <t>alt</t>
        </is>
      </c>
      <c r="O1574" t="n">
        <v>65</v>
      </c>
      <c r="P1574" t="n">
        <v>0.03058</v>
      </c>
      <c r="Q1574" t="n">
        <v>-10</v>
      </c>
      <c r="R1574" t="n">
        <v>0.00592</v>
      </c>
      <c r="S1574">
        <f>IMAGE("https://mitra.stanford.edu/kundaje/oak/projects/neuro-variants/variant_position/credible/roussos_2024/variant_figures/roussos_2024.adolescence.GLU/rs9891529_count_position.png",4,220,900)</f>
        <v/>
      </c>
      <c r="T1574">
        <f>IMAGE("https://mitra.stanford.edu/kundaje/oak/projects/neuro-variants/variant_position/credible/roussos_2024/variant_figures/roussos_2024.adolescence.GLU/rs9891529_profile_position.png",4,220,900)</f>
        <v/>
      </c>
    </row>
    <row r="1575">
      <c r="A1575" t="inlineStr">
        <is>
          <t>chr17</t>
        </is>
      </c>
      <c r="B1575" t="n">
        <v>5313674</v>
      </c>
      <c r="C1575" t="inlineStr">
        <is>
          <t>C</t>
        </is>
      </c>
      <c r="D1575" t="inlineStr">
        <is>
          <t>T</t>
        </is>
      </c>
      <c r="E1575" t="inlineStr">
        <is>
          <t>rs16954519</t>
        </is>
      </c>
      <c r="F1575" t="n">
        <v>-0.0488327944</v>
      </c>
      <c r="G1575" t="n">
        <v>0.0714379035983984</v>
      </c>
      <c r="H1575" t="n">
        <v>0.0117123761361843</v>
      </c>
      <c r="I1575" t="n">
        <v>0.3695217146087651</v>
      </c>
      <c r="J1575" t="n">
        <v>0.0617142122296761</v>
      </c>
      <c r="K1575" t="n">
        <v>0.6621972705004032</v>
      </c>
      <c r="L1575" t="b">
        <v>0</v>
      </c>
      <c r="M1575" t="b">
        <v>0</v>
      </c>
      <c r="N1575" t="inlineStr">
        <is>
          <t>ref</t>
        </is>
      </c>
      <c r="O1575" t="n">
        <v>-80</v>
      </c>
      <c r="P1575" t="n">
        <v>0.04083</v>
      </c>
      <c r="Q1575" t="n">
        <v>10</v>
      </c>
      <c r="R1575" t="n">
        <v>0.01569</v>
      </c>
      <c r="S1575">
        <f>IMAGE("https://mitra.stanford.edu/kundaje/oak/projects/neuro-variants/variant_position/credible/roussos_2024/variant_figures/roussos_2024.adolescence.GLU/rs16954519_count_position.png",4,220,900)</f>
        <v/>
      </c>
      <c r="T1575">
        <f>IMAGE("https://mitra.stanford.edu/kundaje/oak/projects/neuro-variants/variant_position/credible/roussos_2024/variant_figures/roussos_2024.adolescence.GLU/rs16954519_profile_position.png",4,220,900)</f>
        <v/>
      </c>
    </row>
    <row r="1576">
      <c r="A1576" t="inlineStr">
        <is>
          <t>chr17</t>
        </is>
      </c>
      <c r="B1576" t="n">
        <v>12960072</v>
      </c>
      <c r="C1576" t="inlineStr">
        <is>
          <t>C</t>
        </is>
      </c>
      <c r="D1576" t="inlineStr">
        <is>
          <t>T</t>
        </is>
      </c>
      <c r="E1576" t="inlineStr">
        <is>
          <t>rs10445248</t>
        </is>
      </c>
      <c r="F1576" t="n">
        <v>-0.0482048356</v>
      </c>
      <c r="G1576" t="n">
        <v>0.0742808293506716</v>
      </c>
      <c r="H1576" t="n">
        <v>0.0092961492845624</v>
      </c>
      <c r="I1576" t="n">
        <v>0.6191869269904058</v>
      </c>
      <c r="J1576" t="n">
        <v>0.3282837159125819</v>
      </c>
      <c r="K1576" t="n">
        <v>0.2391206729629786</v>
      </c>
      <c r="L1576" t="b">
        <v>0</v>
      </c>
      <c r="M1576" t="b">
        <v>0</v>
      </c>
      <c r="N1576" t="inlineStr">
        <is>
          <t>ref</t>
        </is>
      </c>
      <c r="O1576" t="n">
        <v>100</v>
      </c>
      <c r="P1576" t="n">
        <v>0.06238</v>
      </c>
      <c r="Q1576" t="n">
        <v>-10</v>
      </c>
      <c r="R1576" t="n">
        <v>0.01636</v>
      </c>
      <c r="S1576">
        <f>IMAGE("https://mitra.stanford.edu/kundaje/oak/projects/neuro-variants/variant_position/credible/roussos_2024/variant_figures/roussos_2024.adolescence.GLU/rs10445248_count_position.png",4,220,900)</f>
        <v/>
      </c>
      <c r="T1576">
        <f>IMAGE("https://mitra.stanford.edu/kundaje/oak/projects/neuro-variants/variant_position/credible/roussos_2024/variant_figures/roussos_2024.adolescence.GLU/rs10445248_profile_position.png",4,220,900)</f>
        <v/>
      </c>
    </row>
    <row r="1577">
      <c r="A1577" t="inlineStr">
        <is>
          <t>chr17</t>
        </is>
      </c>
      <c r="B1577" t="n">
        <v>12963798</v>
      </c>
      <c r="C1577" t="inlineStr">
        <is>
          <t>C</t>
        </is>
      </c>
      <c r="D1577" t="inlineStr">
        <is>
          <t>T</t>
        </is>
      </c>
      <c r="E1577" t="inlineStr">
        <is>
          <t>rs9646399</t>
        </is>
      </c>
      <c r="F1577" t="n">
        <v>-0.0291889424</v>
      </c>
      <c r="G1577" t="n">
        <v>0.1876373783258167</v>
      </c>
      <c r="H1577" t="n">
        <v>0.0117232343684287</v>
      </c>
      <c r="I1577" t="n">
        <v>0.3643529689944859</v>
      </c>
      <c r="J1577" t="n">
        <v>0.2813668545627308</v>
      </c>
      <c r="K1577" t="n">
        <v>0.2875807294951858</v>
      </c>
      <c r="L1577" t="b">
        <v>0</v>
      </c>
      <c r="M1577" t="b">
        <v>0</v>
      </c>
      <c r="N1577" t="inlineStr">
        <is>
          <t>ref</t>
        </is>
      </c>
      <c r="O1577" t="n">
        <v>100</v>
      </c>
      <c r="P1577" t="n">
        <v>0.01723</v>
      </c>
      <c r="Q1577" t="n">
        <v>-95</v>
      </c>
      <c r="R1577" t="n">
        <v>0.08840000000000001</v>
      </c>
      <c r="S1577">
        <f>IMAGE("https://mitra.stanford.edu/kundaje/oak/projects/neuro-variants/variant_position/credible/roussos_2024/variant_figures/roussos_2024.adolescence.GLU/rs9646399_count_position.png",4,220,900)</f>
        <v/>
      </c>
      <c r="T1577">
        <f>IMAGE("https://mitra.stanford.edu/kundaje/oak/projects/neuro-variants/variant_position/credible/roussos_2024/variant_figures/roussos_2024.adolescence.GLU/rs9646399_profile_position.png",4,220,900)</f>
        <v/>
      </c>
    </row>
    <row r="1578">
      <c r="A1578" t="inlineStr">
        <is>
          <t>chr17</t>
        </is>
      </c>
      <c r="B1578" t="n">
        <v>13018133</v>
      </c>
      <c r="C1578" t="inlineStr">
        <is>
          <t>T</t>
        </is>
      </c>
      <c r="D1578" t="inlineStr">
        <is>
          <t>C</t>
        </is>
      </c>
      <c r="E1578" t="inlineStr">
        <is>
          <t>rs2051975</t>
        </is>
      </c>
      <c r="F1578" t="n">
        <v>0.07130191</v>
      </c>
      <c r="G1578" t="n">
        <v>0.0209433333112024</v>
      </c>
      <c r="H1578" t="n">
        <v>0.0142975238619323</v>
      </c>
      <c r="I1578" t="n">
        <v>0.186673868530113</v>
      </c>
      <c r="J1578" t="n">
        <v>0.9779597202277616</v>
      </c>
      <c r="K1578" t="n">
        <v>0.0004273734220569</v>
      </c>
      <c r="L1578" t="b">
        <v>0</v>
      </c>
      <c r="M1578" t="b">
        <v>0</v>
      </c>
      <c r="N1578" t="inlineStr">
        <is>
          <t>alt</t>
        </is>
      </c>
      <c r="O1578" t="n">
        <v>-10</v>
      </c>
      <c r="P1578" t="n">
        <v>0.003723</v>
      </c>
      <c r="Q1578" t="n">
        <v>20</v>
      </c>
      <c r="R1578" t="n">
        <v>0.04932</v>
      </c>
      <c r="S1578">
        <f>IMAGE("https://mitra.stanford.edu/kundaje/oak/projects/neuro-variants/variant_position/credible/roussos_2024/variant_figures/roussos_2024.adolescence.GLU/rs2051975_count_position.png",4,220,900)</f>
        <v/>
      </c>
      <c r="T1578">
        <f>IMAGE("https://mitra.stanford.edu/kundaje/oak/projects/neuro-variants/variant_position/credible/roussos_2024/variant_figures/roussos_2024.adolescence.GLU/rs2051975_profile_position.png",4,220,900)</f>
        <v/>
      </c>
    </row>
    <row r="1579">
      <c r="A1579" t="inlineStr">
        <is>
          <t>chr17</t>
        </is>
      </c>
      <c r="B1579" t="n">
        <v>17831426</v>
      </c>
      <c r="C1579" t="inlineStr">
        <is>
          <t>G</t>
        </is>
      </c>
      <c r="D1579" t="inlineStr">
        <is>
          <t>A</t>
        </is>
      </c>
      <c r="E1579" t="inlineStr">
        <is>
          <t>rs1889018</t>
        </is>
      </c>
      <c r="F1579" t="n">
        <v>0.042139968</v>
      </c>
      <c r="G1579" t="n">
        <v>0.09269268748278579</v>
      </c>
      <c r="H1579" t="n">
        <v>0.0177175236350675</v>
      </c>
      <c r="I1579" t="n">
        <v>0.1054661800340435</v>
      </c>
      <c r="J1579" t="n">
        <v>0.4338755885147637</v>
      </c>
      <c r="K1579" t="n">
        <v>0.1365603606566699</v>
      </c>
      <c r="L1579" t="b">
        <v>0</v>
      </c>
      <c r="M1579" t="b">
        <v>0</v>
      </c>
      <c r="N1579" t="inlineStr">
        <is>
          <t>alt</t>
        </is>
      </c>
      <c r="O1579" t="n">
        <v>70</v>
      </c>
      <c r="P1579" t="n">
        <v>0.00882</v>
      </c>
      <c r="Q1579" t="n">
        <v>25</v>
      </c>
      <c r="R1579" t="n">
        <v>0.03467</v>
      </c>
      <c r="S1579">
        <f>IMAGE("https://mitra.stanford.edu/kundaje/oak/projects/neuro-variants/variant_position/credible/roussos_2024/variant_figures/roussos_2024.adolescence.GLU/rs1889018_count_position.png",4,220,900)</f>
        <v/>
      </c>
      <c r="T1579">
        <f>IMAGE("https://mitra.stanford.edu/kundaje/oak/projects/neuro-variants/variant_position/credible/roussos_2024/variant_figures/roussos_2024.adolescence.GLU/rs1889018_profile_position.png",4,220,900)</f>
        <v/>
      </c>
    </row>
    <row r="1580">
      <c r="A1580" t="inlineStr">
        <is>
          <t>chr17</t>
        </is>
      </c>
      <c r="B1580" t="n">
        <v>17928159</v>
      </c>
      <c r="C1580" t="inlineStr">
        <is>
          <t>C</t>
        </is>
      </c>
      <c r="D1580" t="inlineStr">
        <is>
          <t>A</t>
        </is>
      </c>
      <c r="E1580" t="inlineStr">
        <is>
          <t>rs56886154</t>
        </is>
      </c>
      <c r="F1580" t="n">
        <v>0.00702558524</v>
      </c>
      <c r="G1580" t="n">
        <v>0.6123428159106713</v>
      </c>
      <c r="H1580" t="n">
        <v>0.0440262628703486</v>
      </c>
      <c r="I1580" t="n">
        <v>0.0020707115371847</v>
      </c>
      <c r="J1580" t="n">
        <v>0.2500875181287552</v>
      </c>
      <c r="K1580" t="n">
        <v>0.3278377157230653</v>
      </c>
      <c r="L1580" t="b">
        <v>1</v>
      </c>
      <c r="M1580" t="b">
        <v>1</v>
      </c>
      <c r="N1580" t="inlineStr">
        <is>
          <t>alt</t>
        </is>
      </c>
      <c r="O1580" t="n">
        <v>95</v>
      </c>
      <c r="P1580" t="n">
        <v>0.008545000000000001</v>
      </c>
      <c r="Q1580" t="n">
        <v>100</v>
      </c>
      <c r="R1580" t="n">
        <v>0.1814</v>
      </c>
      <c r="S1580">
        <f>IMAGE("https://mitra.stanford.edu/kundaje/oak/projects/neuro-variants/variant_position/credible/roussos_2024/variant_figures/roussos_2024.adolescence.GLU/rs56886154_count_position.png",4,220,900)</f>
        <v/>
      </c>
      <c r="T1580">
        <f>IMAGE("https://mitra.stanford.edu/kundaje/oak/projects/neuro-variants/variant_position/credible/roussos_2024/variant_figures/roussos_2024.adolescence.GLU/rs56886154_profile_position.png",4,220,900)</f>
        <v/>
      </c>
    </row>
    <row r="1581">
      <c r="A1581" t="inlineStr">
        <is>
          <t>chr17</t>
        </is>
      </c>
      <c r="B1581" t="n">
        <v>19250104</v>
      </c>
      <c r="C1581" t="inlineStr">
        <is>
          <t>T</t>
        </is>
      </c>
      <c r="D1581" t="inlineStr">
        <is>
          <t>C</t>
        </is>
      </c>
      <c r="E1581" t="inlineStr">
        <is>
          <t>rs4273100</t>
        </is>
      </c>
      <c r="F1581" t="n">
        <v>-0.00141446136</v>
      </c>
      <c r="G1581" t="n">
        <v>0.6751239557518247</v>
      </c>
      <c r="H1581" t="n">
        <v>0.0328000251501875</v>
      </c>
      <c r="I1581" t="n">
        <v>0.0061707405633429</v>
      </c>
      <c r="J1581" t="n">
        <v>0.3681705496138486</v>
      </c>
      <c r="K1581" t="n">
        <v>0.1981498563877135</v>
      </c>
      <c r="L1581" t="b">
        <v>1</v>
      </c>
      <c r="M1581" t="b">
        <v>1</v>
      </c>
      <c r="N1581" t="inlineStr">
        <is>
          <t>ref</t>
        </is>
      </c>
      <c r="O1581" t="n">
        <v>55</v>
      </c>
      <c r="P1581" t="n">
        <v>0.005005</v>
      </c>
      <c r="Q1581" t="n">
        <v>-50</v>
      </c>
      <c r="R1581" t="n">
        <v>0.09379999999999999</v>
      </c>
      <c r="S1581">
        <f>IMAGE("https://mitra.stanford.edu/kundaje/oak/projects/neuro-variants/variant_position/credible/roussos_2024/variant_figures/roussos_2024.adolescence.GLU/rs4273100_count_position.png",4,220,900)</f>
        <v/>
      </c>
      <c r="T1581">
        <f>IMAGE("https://mitra.stanford.edu/kundaje/oak/projects/neuro-variants/variant_position/credible/roussos_2024/variant_figures/roussos_2024.adolescence.GLU/rs4273100_profile_position.png",4,220,900)</f>
        <v/>
      </c>
    </row>
    <row r="1582">
      <c r="A1582" t="inlineStr">
        <is>
          <t>chr17</t>
        </is>
      </c>
      <c r="B1582" t="n">
        <v>19269192</v>
      </c>
      <c r="C1582" t="inlineStr">
        <is>
          <t>A</t>
        </is>
      </c>
      <c r="D1582" t="inlineStr">
        <is>
          <t>G</t>
        </is>
      </c>
      <c r="E1582" t="inlineStr">
        <is>
          <t>rs28760541</t>
        </is>
      </c>
      <c r="F1582" t="n">
        <v>0.0140354128999999</v>
      </c>
      <c r="G1582" t="n">
        <v>0.3995451501639041</v>
      </c>
      <c r="H1582" t="n">
        <v>0.0136419775032188</v>
      </c>
      <c r="I1582" t="n">
        <v>0.2246835232015943</v>
      </c>
      <c r="J1582" t="n">
        <v>0.2132656050181823</v>
      </c>
      <c r="K1582" t="n">
        <v>0.3832334438921954</v>
      </c>
      <c r="L1582" t="b">
        <v>0</v>
      </c>
      <c r="M1582" t="b">
        <v>0</v>
      </c>
      <c r="N1582" t="inlineStr">
        <is>
          <t>alt</t>
        </is>
      </c>
      <c r="O1582" t="n">
        <v>90</v>
      </c>
      <c r="P1582" t="n">
        <v>0.009415</v>
      </c>
      <c r="Q1582" t="n">
        <v>100</v>
      </c>
      <c r="R1582" t="n">
        <v>0.07056</v>
      </c>
      <c r="S1582">
        <f>IMAGE("https://mitra.stanford.edu/kundaje/oak/projects/neuro-variants/variant_position/credible/roussos_2024/variant_figures/roussos_2024.adolescence.GLU/rs28760541_count_position.png",4,220,900)</f>
        <v/>
      </c>
      <c r="T1582">
        <f>IMAGE("https://mitra.stanford.edu/kundaje/oak/projects/neuro-variants/variant_position/credible/roussos_2024/variant_figures/roussos_2024.adolescence.GLU/rs28760541_profile_position.png",4,220,900)</f>
        <v/>
      </c>
    </row>
    <row r="1583">
      <c r="A1583" t="inlineStr">
        <is>
          <t>chr17</t>
        </is>
      </c>
      <c r="B1583" t="n">
        <v>19299719</v>
      </c>
      <c r="C1583" t="inlineStr">
        <is>
          <t>A</t>
        </is>
      </c>
      <c r="D1583" t="inlineStr">
        <is>
          <t>G</t>
        </is>
      </c>
      <c r="E1583" t="inlineStr">
        <is>
          <t>rs16960499</t>
        </is>
      </c>
      <c r="F1583" t="n">
        <v>0.00647450034</v>
      </c>
      <c r="G1583" t="n">
        <v>0.5948297675511559</v>
      </c>
      <c r="H1583" t="n">
        <v>0.012510492116353</v>
      </c>
      <c r="I1583" t="n">
        <v>0.2874652511386424</v>
      </c>
      <c r="J1583" t="n">
        <v>0.3785426981303269</v>
      </c>
      <c r="K1583" t="n">
        <v>0.1880696941167984</v>
      </c>
      <c r="L1583" t="b">
        <v>0</v>
      </c>
      <c r="M1583" t="b">
        <v>0</v>
      </c>
      <c r="N1583" t="inlineStr">
        <is>
          <t>alt</t>
        </is>
      </c>
      <c r="O1583" t="n">
        <v>-30</v>
      </c>
      <c r="P1583" t="n">
        <v>0.001894</v>
      </c>
      <c r="Q1583" t="n">
        <v>-90</v>
      </c>
      <c r="R1583" t="n">
        <v>0.03128</v>
      </c>
      <c r="S1583">
        <f>IMAGE("https://mitra.stanford.edu/kundaje/oak/projects/neuro-variants/variant_position/credible/roussos_2024/variant_figures/roussos_2024.adolescence.GLU/rs16960499_count_position.png",4,220,900)</f>
        <v/>
      </c>
      <c r="T1583">
        <f>IMAGE("https://mitra.stanford.edu/kundaje/oak/projects/neuro-variants/variant_position/credible/roussos_2024/variant_figures/roussos_2024.adolescence.GLU/rs16960499_profile_position.png",4,220,900)</f>
        <v/>
      </c>
    </row>
    <row r="1584">
      <c r="A1584" t="inlineStr">
        <is>
          <t>chr17</t>
        </is>
      </c>
      <c r="B1584" t="n">
        <v>19372886</v>
      </c>
      <c r="C1584" t="inlineStr">
        <is>
          <t>G</t>
        </is>
      </c>
      <c r="D1584" t="inlineStr">
        <is>
          <t>A</t>
        </is>
      </c>
      <c r="E1584" t="inlineStr">
        <is>
          <t>rs2048230</t>
        </is>
      </c>
      <c r="F1584" t="n">
        <v>-0.0576517552</v>
      </c>
      <c r="G1584" t="n">
        <v>0.0459022991195054</v>
      </c>
      <c r="H1584" t="n">
        <v>0.009470813976048299</v>
      </c>
      <c r="I1584" t="n">
        <v>0.5880756902637218</v>
      </c>
      <c r="J1584" t="n">
        <v>0.5481478306220575</v>
      </c>
      <c r="K1584" t="n">
        <v>0.0606776415631645</v>
      </c>
      <c r="L1584" t="b">
        <v>0</v>
      </c>
      <c r="M1584" t="b">
        <v>0</v>
      </c>
      <c r="N1584" t="inlineStr">
        <is>
          <t>ref</t>
        </is>
      </c>
      <c r="O1584" t="n">
        <v>-40</v>
      </c>
      <c r="P1584" t="n">
        <v>0.00193</v>
      </c>
      <c r="Q1584" t="n">
        <v>100</v>
      </c>
      <c r="R1584" t="n">
        <v>0.1157</v>
      </c>
      <c r="S1584">
        <f>IMAGE("https://mitra.stanford.edu/kundaje/oak/projects/neuro-variants/variant_position/credible/roussos_2024/variant_figures/roussos_2024.adolescence.GLU/rs2048230_count_position.png",4,220,900)</f>
        <v/>
      </c>
      <c r="T1584">
        <f>IMAGE("https://mitra.stanford.edu/kundaje/oak/projects/neuro-variants/variant_position/credible/roussos_2024/variant_figures/roussos_2024.adolescence.GLU/rs2048230_profile_position.png",4,220,900)</f>
        <v/>
      </c>
    </row>
    <row r="1585">
      <c r="A1585" t="inlineStr">
        <is>
          <t>chr17</t>
        </is>
      </c>
      <c r="B1585" t="n">
        <v>19488817</v>
      </c>
      <c r="C1585" t="inlineStr">
        <is>
          <t>A</t>
        </is>
      </c>
      <c r="D1585" t="inlineStr">
        <is>
          <t>G</t>
        </is>
      </c>
      <c r="E1585" t="inlineStr">
        <is>
          <t>rs2428582</t>
        </is>
      </c>
      <c r="F1585" t="n">
        <v>-0.0368264743999999</v>
      </c>
      <c r="G1585" t="n">
        <v>0.1325878267292584</v>
      </c>
      <c r="H1585" t="n">
        <v>0.0102821901057997</v>
      </c>
      <c r="I1585" t="n">
        <v>0.501896704288772</v>
      </c>
      <c r="J1585" t="n">
        <v>0.4478456251652128</v>
      </c>
      <c r="K1585" t="n">
        <v>0.1265876265560293</v>
      </c>
      <c r="L1585" t="b">
        <v>0</v>
      </c>
      <c r="M1585" t="b">
        <v>0</v>
      </c>
      <c r="N1585" t="inlineStr">
        <is>
          <t>ref</t>
        </is>
      </c>
      <c r="O1585" t="n">
        <v>-65</v>
      </c>
      <c r="P1585" t="n">
        <v>0.003433</v>
      </c>
      <c r="Q1585" t="n">
        <v>-100</v>
      </c>
      <c r="R1585" t="n">
        <v>0.0683</v>
      </c>
      <c r="S1585">
        <f>IMAGE("https://mitra.stanford.edu/kundaje/oak/projects/neuro-variants/variant_position/credible/roussos_2024/variant_figures/roussos_2024.adolescence.GLU/rs2428582_count_position.png",4,220,900)</f>
        <v/>
      </c>
      <c r="T1585">
        <f>IMAGE("https://mitra.stanford.edu/kundaje/oak/projects/neuro-variants/variant_position/credible/roussos_2024/variant_figures/roussos_2024.adolescence.GLU/rs2428582_profile_position.png",4,220,900)</f>
        <v/>
      </c>
    </row>
    <row r="1586">
      <c r="A1586" t="inlineStr">
        <is>
          <t>chr17</t>
        </is>
      </c>
      <c r="B1586" t="n">
        <v>20014143</v>
      </c>
      <c r="C1586" t="inlineStr">
        <is>
          <t>C</t>
        </is>
      </c>
      <c r="D1586" t="inlineStr">
        <is>
          <t>A</t>
        </is>
      </c>
      <c r="E1586" t="inlineStr">
        <is>
          <t>rs9915039</t>
        </is>
      </c>
      <c r="F1586" t="n">
        <v>0.0184680504</v>
      </c>
      <c r="G1586" t="n">
        <v>0.3254728383546821</v>
      </c>
      <c r="H1586" t="n">
        <v>0.0284523742421851</v>
      </c>
      <c r="I1586" t="n">
        <v>0.0115586381045113</v>
      </c>
      <c r="J1586" t="n">
        <v>0.0761886390752369</v>
      </c>
      <c r="K1586" t="n">
        <v>0.6280681527409053</v>
      </c>
      <c r="L1586" t="b">
        <v>1</v>
      </c>
      <c r="M1586" t="b">
        <v>0</v>
      </c>
      <c r="N1586" t="inlineStr">
        <is>
          <t>alt</t>
        </is>
      </c>
      <c r="O1586" t="n">
        <v>75</v>
      </c>
      <c r="P1586" t="n">
        <v>0.004936</v>
      </c>
      <c r="Q1586" t="n">
        <v>-70</v>
      </c>
      <c r="R1586" t="n">
        <v>0.09669999999999999</v>
      </c>
      <c r="S1586">
        <f>IMAGE("https://mitra.stanford.edu/kundaje/oak/projects/neuro-variants/variant_position/credible/roussos_2024/variant_figures/roussos_2024.adolescence.GLU/rs9915039_count_position.png",4,220,900)</f>
        <v/>
      </c>
      <c r="T1586">
        <f>IMAGE("https://mitra.stanford.edu/kundaje/oak/projects/neuro-variants/variant_position/credible/roussos_2024/variant_figures/roussos_2024.adolescence.GLU/rs9915039_profile_position.png",4,220,900)</f>
        <v/>
      </c>
    </row>
    <row r="1587">
      <c r="A1587" t="inlineStr">
        <is>
          <t>chr17</t>
        </is>
      </c>
      <c r="B1587" t="n">
        <v>20016845</v>
      </c>
      <c r="C1587" t="inlineStr">
        <is>
          <t>T</t>
        </is>
      </c>
      <c r="D1587" t="inlineStr">
        <is>
          <t>C</t>
        </is>
      </c>
      <c r="E1587" t="inlineStr">
        <is>
          <t>rs28767032</t>
        </is>
      </c>
      <c r="F1587" t="n">
        <v>0.0626512066</v>
      </c>
      <c r="G1587" t="n">
        <v>0.0327385087104826</v>
      </c>
      <c r="H1587" t="n">
        <v>0.0212762287643511</v>
      </c>
      <c r="I1587" t="n">
        <v>0.0429399481852343</v>
      </c>
      <c r="J1587" t="n">
        <v>0.7231412221102943</v>
      </c>
      <c r="K1587" t="n">
        <v>0.0127492346967171</v>
      </c>
      <c r="L1587" t="b">
        <v>0</v>
      </c>
      <c r="M1587" t="b">
        <v>0</v>
      </c>
      <c r="N1587" t="inlineStr">
        <is>
          <t>alt</t>
        </is>
      </c>
      <c r="O1587" t="n">
        <v>-70</v>
      </c>
      <c r="P1587" t="n">
        <v>0.00531</v>
      </c>
      <c r="Q1587" t="n">
        <v>-95</v>
      </c>
      <c r="R1587" t="n">
        <v>0.1295</v>
      </c>
      <c r="S1587">
        <f>IMAGE("https://mitra.stanford.edu/kundaje/oak/projects/neuro-variants/variant_position/credible/roussos_2024/variant_figures/roussos_2024.adolescence.GLU/rs28767032_count_position.png",4,220,900)</f>
        <v/>
      </c>
      <c r="T1587">
        <f>IMAGE("https://mitra.stanford.edu/kundaje/oak/projects/neuro-variants/variant_position/credible/roussos_2024/variant_figures/roussos_2024.adolescence.GLU/rs28767032_profile_position.png",4,220,900)</f>
        <v/>
      </c>
    </row>
    <row r="1588">
      <c r="A1588" t="inlineStr">
        <is>
          <t>chr17</t>
        </is>
      </c>
      <c r="B1588" t="n">
        <v>20037695</v>
      </c>
      <c r="C1588" t="inlineStr">
        <is>
          <t>G</t>
        </is>
      </c>
      <c r="D1588" t="inlineStr">
        <is>
          <t>T</t>
        </is>
      </c>
      <c r="E1588" t="inlineStr">
        <is>
          <t>rs8082671</t>
        </is>
      </c>
      <c r="F1588" t="n">
        <v>-0.01159966916</v>
      </c>
      <c r="G1588" t="n">
        <v>0.4975573565782662</v>
      </c>
      <c r="H1588" t="n">
        <v>0.010654903856098</v>
      </c>
      <c r="I1588" t="n">
        <v>0.4654870182729145</v>
      </c>
      <c r="J1588" t="n">
        <v>0.0110408584635388</v>
      </c>
      <c r="K1588" t="n">
        <v>0.871593526787302</v>
      </c>
      <c r="L1588" t="b">
        <v>0</v>
      </c>
      <c r="M1588" t="b">
        <v>0</v>
      </c>
      <c r="N1588" t="inlineStr">
        <is>
          <t>ref</t>
        </is>
      </c>
      <c r="O1588" t="n">
        <v>-80</v>
      </c>
      <c r="P1588" t="n">
        <v>0.003067</v>
      </c>
      <c r="Q1588" t="n">
        <v>-80</v>
      </c>
      <c r="R1588" t="n">
        <v>0.06775</v>
      </c>
      <c r="S1588">
        <f>IMAGE("https://mitra.stanford.edu/kundaje/oak/projects/neuro-variants/variant_position/credible/roussos_2024/variant_figures/roussos_2024.adolescence.GLU/rs8082671_count_position.png",4,220,900)</f>
        <v/>
      </c>
      <c r="T1588">
        <f>IMAGE("https://mitra.stanford.edu/kundaje/oak/projects/neuro-variants/variant_position/credible/roussos_2024/variant_figures/roussos_2024.adolescence.GLU/rs8082671_profile_position.png",4,220,900)</f>
        <v/>
      </c>
    </row>
    <row r="1589">
      <c r="A1589" t="inlineStr">
        <is>
          <t>chr17</t>
        </is>
      </c>
      <c r="B1589" t="n">
        <v>20038566</v>
      </c>
      <c r="C1589" t="inlineStr">
        <is>
          <t>C</t>
        </is>
      </c>
      <c r="D1589" t="inlineStr">
        <is>
          <t>A</t>
        </is>
      </c>
      <c r="E1589" t="inlineStr">
        <is>
          <t>rs8065337</t>
        </is>
      </c>
      <c r="F1589" t="n">
        <v>-0.00185905872</v>
      </c>
      <c r="G1589" t="n">
        <v>0.6802059284054148</v>
      </c>
      <c r="H1589" t="n">
        <v>0.0179668420247077</v>
      </c>
      <c r="I1589" t="n">
        <v>0.0786997686514002</v>
      </c>
      <c r="J1589" t="n">
        <v>0.0400797308013802</v>
      </c>
      <c r="K1589" t="n">
        <v>0.7326831395690633</v>
      </c>
      <c r="L1589" t="b">
        <v>0</v>
      </c>
      <c r="M1589" t="b">
        <v>0</v>
      </c>
      <c r="N1589" t="inlineStr">
        <is>
          <t>ref</t>
        </is>
      </c>
      <c r="O1589" t="n">
        <v>-40</v>
      </c>
      <c r="P1589" t="n">
        <v>0.03748</v>
      </c>
      <c r="Q1589" t="n">
        <v>-5</v>
      </c>
      <c r="R1589" t="n">
        <v>0.006775</v>
      </c>
      <c r="S1589">
        <f>IMAGE("https://mitra.stanford.edu/kundaje/oak/projects/neuro-variants/variant_position/credible/roussos_2024/variant_figures/roussos_2024.adolescence.GLU/rs8065337_count_position.png",4,220,900)</f>
        <v/>
      </c>
      <c r="T1589">
        <f>IMAGE("https://mitra.stanford.edu/kundaje/oak/projects/neuro-variants/variant_position/credible/roussos_2024/variant_figures/roussos_2024.adolescence.GLU/rs8065337_profile_position.png",4,220,900)</f>
        <v/>
      </c>
    </row>
    <row r="1590">
      <c r="A1590" t="inlineStr">
        <is>
          <t>chr17</t>
        </is>
      </c>
      <c r="B1590" t="n">
        <v>20039537</v>
      </c>
      <c r="C1590" t="inlineStr">
        <is>
          <t>G</t>
        </is>
      </c>
      <c r="D1590" t="inlineStr">
        <is>
          <t>A</t>
        </is>
      </c>
      <c r="E1590" t="inlineStr">
        <is>
          <t>rs28807825</t>
        </is>
      </c>
      <c r="F1590" t="n">
        <v>-0.02227016086</v>
      </c>
      <c r="G1590" t="n">
        <v>0.2868822574956351</v>
      </c>
      <c r="H1590" t="n">
        <v>0.0136125186472789</v>
      </c>
      <c r="I1590" t="n">
        <v>0.2737834605839511</v>
      </c>
      <c r="J1590" t="n">
        <v>0.0443091783297968</v>
      </c>
      <c r="K1590" t="n">
        <v>0.7148926726130811</v>
      </c>
      <c r="L1590" t="b">
        <v>0</v>
      </c>
      <c r="M1590" t="b">
        <v>0</v>
      </c>
      <c r="N1590" t="inlineStr">
        <is>
          <t>ref</t>
        </is>
      </c>
      <c r="O1590" t="n">
        <v>-20</v>
      </c>
      <c r="P1590" t="n">
        <v>0.00209</v>
      </c>
      <c r="Q1590" t="n">
        <v>30</v>
      </c>
      <c r="R1590" t="n">
        <v>0.014786</v>
      </c>
      <c r="S1590">
        <f>IMAGE("https://mitra.stanford.edu/kundaje/oak/projects/neuro-variants/variant_position/credible/roussos_2024/variant_figures/roussos_2024.adolescence.GLU/rs28807825_count_position.png",4,220,900)</f>
        <v/>
      </c>
      <c r="T1590">
        <f>IMAGE("https://mitra.stanford.edu/kundaje/oak/projects/neuro-variants/variant_position/credible/roussos_2024/variant_figures/roussos_2024.adolescence.GLU/rs28807825_profile_position.png",4,220,900)</f>
        <v/>
      </c>
    </row>
    <row r="1591">
      <c r="A1591" t="inlineStr">
        <is>
          <t>chr17</t>
        </is>
      </c>
      <c r="B1591" t="n">
        <v>20043976</v>
      </c>
      <c r="C1591" t="inlineStr">
        <is>
          <t>A</t>
        </is>
      </c>
      <c r="D1591" t="inlineStr">
        <is>
          <t>C</t>
        </is>
      </c>
      <c r="E1591" t="inlineStr">
        <is>
          <t>rs9914328</t>
        </is>
      </c>
      <c r="F1591" t="n">
        <v>0.0107182265199999</v>
      </c>
      <c r="G1591" t="n">
        <v>0.4901475459907377</v>
      </c>
      <c r="H1591" t="n">
        <v>0.0112980313343242</v>
      </c>
      <c r="I1591" t="n">
        <v>0.384927872316006</v>
      </c>
      <c r="J1591" t="n">
        <v>0.1735330889970064</v>
      </c>
      <c r="K1591" t="n">
        <v>0.4313693814901401</v>
      </c>
      <c r="L1591" t="b">
        <v>0</v>
      </c>
      <c r="M1591" t="b">
        <v>0</v>
      </c>
      <c r="N1591" t="inlineStr">
        <is>
          <t>alt</t>
        </is>
      </c>
      <c r="O1591" t="n">
        <v>60</v>
      </c>
      <c r="P1591" t="n">
        <v>0.006416</v>
      </c>
      <c r="Q1591" t="n">
        <v>-15</v>
      </c>
      <c r="R1591" t="n">
        <v>0.009310000000000001</v>
      </c>
      <c r="S1591">
        <f>IMAGE("https://mitra.stanford.edu/kundaje/oak/projects/neuro-variants/variant_position/credible/roussos_2024/variant_figures/roussos_2024.adolescence.GLU/rs9914328_count_position.png",4,220,900)</f>
        <v/>
      </c>
      <c r="T1591">
        <f>IMAGE("https://mitra.stanford.edu/kundaje/oak/projects/neuro-variants/variant_position/credible/roussos_2024/variant_figures/roussos_2024.adolescence.GLU/rs9914328_profile_position.png",4,220,900)</f>
        <v/>
      </c>
    </row>
    <row r="1592">
      <c r="A1592" t="inlineStr">
        <is>
          <t>chr17</t>
        </is>
      </c>
      <c r="B1592" t="n">
        <v>20044376</v>
      </c>
      <c r="C1592" t="inlineStr">
        <is>
          <t>G</t>
        </is>
      </c>
      <c r="D1592" t="inlineStr">
        <is>
          <t>A</t>
        </is>
      </c>
      <c r="E1592" t="inlineStr">
        <is>
          <t>rs7221669</t>
        </is>
      </c>
      <c r="F1592" t="n">
        <v>0.1647756739999999</v>
      </c>
      <c r="G1592" t="n">
        <v>0.0019393058002965</v>
      </c>
      <c r="H1592" t="n">
        <v>0.0516301195274954</v>
      </c>
      <c r="I1592" t="n">
        <v>0.0013624906300484</v>
      </c>
      <c r="J1592" t="n">
        <v>0.2754913517800115</v>
      </c>
      <c r="K1592" t="n">
        <v>0.2912094940165528</v>
      </c>
      <c r="L1592" t="b">
        <v>1</v>
      </c>
      <c r="M1592" t="b">
        <v>1</v>
      </c>
      <c r="N1592" t="inlineStr">
        <is>
          <t>alt</t>
        </is>
      </c>
      <c r="O1592" t="n">
        <v>-95</v>
      </c>
      <c r="P1592" t="n">
        <v>0.004745</v>
      </c>
      <c r="Q1592" t="n">
        <v>-65</v>
      </c>
      <c r="R1592" t="n">
        <v>0.0762</v>
      </c>
      <c r="S1592">
        <f>IMAGE("https://mitra.stanford.edu/kundaje/oak/projects/neuro-variants/variant_position/credible/roussos_2024/variant_figures/roussos_2024.adolescence.GLU/rs7221669_count_position.png",4,220,900)</f>
        <v/>
      </c>
      <c r="T1592">
        <f>IMAGE("https://mitra.stanford.edu/kundaje/oak/projects/neuro-variants/variant_position/credible/roussos_2024/variant_figures/roussos_2024.adolescence.GLU/rs7221669_profile_position.png",4,220,900)</f>
        <v/>
      </c>
    </row>
    <row r="1593">
      <c r="A1593" t="inlineStr">
        <is>
          <t>chr17</t>
        </is>
      </c>
      <c r="B1593" t="n">
        <v>20044649</v>
      </c>
      <c r="C1593" t="inlineStr">
        <is>
          <t>T</t>
        </is>
      </c>
      <c r="D1593" t="inlineStr">
        <is>
          <t>C</t>
        </is>
      </c>
      <c r="E1593" t="inlineStr">
        <is>
          <t>rs3909257</t>
        </is>
      </c>
      <c r="F1593" t="n">
        <v>0.057448323</v>
      </c>
      <c r="G1593" t="n">
        <v>0.04437864389343</v>
      </c>
      <c r="H1593" t="n">
        <v>0.0119198378857273</v>
      </c>
      <c r="I1593" t="n">
        <v>0.3521514529843202</v>
      </c>
      <c r="J1593" t="n">
        <v>0.2132898957641225</v>
      </c>
      <c r="K1593" t="n">
        <v>0.375407696246804</v>
      </c>
      <c r="L1593" t="b">
        <v>0</v>
      </c>
      <c r="M1593" t="b">
        <v>0</v>
      </c>
      <c r="N1593" t="inlineStr">
        <is>
          <t>alt</t>
        </is>
      </c>
      <c r="O1593" t="n">
        <v>-60</v>
      </c>
      <c r="P1593" t="n">
        <v>0.0047</v>
      </c>
      <c r="Q1593" t="n">
        <v>90</v>
      </c>
      <c r="R1593" t="n">
        <v>0.04208</v>
      </c>
      <c r="S1593">
        <f>IMAGE("https://mitra.stanford.edu/kundaje/oak/projects/neuro-variants/variant_position/credible/roussos_2024/variant_figures/roussos_2024.adolescence.GLU/rs3909257_count_position.png",4,220,900)</f>
        <v/>
      </c>
      <c r="T1593">
        <f>IMAGE("https://mitra.stanford.edu/kundaje/oak/projects/neuro-variants/variant_position/credible/roussos_2024/variant_figures/roussos_2024.adolescence.GLU/rs3909257_profile_position.png",4,220,900)</f>
        <v/>
      </c>
    </row>
    <row r="1594">
      <c r="A1594" t="inlineStr">
        <is>
          <t>chr17</t>
        </is>
      </c>
      <c r="B1594" t="n">
        <v>20078963</v>
      </c>
      <c r="C1594" t="inlineStr">
        <is>
          <t>G</t>
        </is>
      </c>
      <c r="D1594" t="inlineStr">
        <is>
          <t>A</t>
        </is>
      </c>
      <c r="E1594" t="inlineStr">
        <is>
          <t>rs4925077</t>
        </is>
      </c>
      <c r="F1594" t="n">
        <v>-0.0432776546</v>
      </c>
      <c r="G1594" t="n">
        <v>0.09162683597872411</v>
      </c>
      <c r="H1594" t="n">
        <v>0.0113057680680032</v>
      </c>
      <c r="I1594" t="n">
        <v>0.3841265089309346</v>
      </c>
      <c r="J1594" t="n">
        <v>0.1264219016796336</v>
      </c>
      <c r="K1594" t="n">
        <v>0.5218415487896277</v>
      </c>
      <c r="L1594" t="b">
        <v>0</v>
      </c>
      <c r="M1594" t="b">
        <v>0</v>
      </c>
      <c r="N1594" t="inlineStr">
        <is>
          <t>ref</t>
        </is>
      </c>
      <c r="O1594" t="n">
        <v>-55</v>
      </c>
      <c r="P1594" t="n">
        <v>0.003635</v>
      </c>
      <c r="Q1594" t="n">
        <v>100</v>
      </c>
      <c r="R1594" t="n">
        <v>0.1027</v>
      </c>
      <c r="S1594">
        <f>IMAGE("https://mitra.stanford.edu/kundaje/oak/projects/neuro-variants/variant_position/credible/roussos_2024/variant_figures/roussos_2024.adolescence.GLU/rs4925077_count_position.png",4,220,900)</f>
        <v/>
      </c>
      <c r="T1594">
        <f>IMAGE("https://mitra.stanford.edu/kundaje/oak/projects/neuro-variants/variant_position/credible/roussos_2024/variant_figures/roussos_2024.adolescence.GLU/rs4925077_profile_position.png",4,220,900)</f>
        <v/>
      </c>
    </row>
    <row r="1595">
      <c r="A1595" t="inlineStr">
        <is>
          <t>chr17</t>
        </is>
      </c>
      <c r="B1595" t="n">
        <v>20111810</v>
      </c>
      <c r="C1595" t="inlineStr">
        <is>
          <t>G</t>
        </is>
      </c>
      <c r="D1595" t="inlineStr">
        <is>
          <t>T</t>
        </is>
      </c>
      <c r="E1595" t="inlineStr">
        <is>
          <t>rs35602968</t>
        </is>
      </c>
      <c r="F1595" t="n">
        <v>-0.0631273518</v>
      </c>
      <c r="G1595" t="n">
        <v>0.0403625193981143</v>
      </c>
      <c r="H1595" t="n">
        <v>0.0207878788987788</v>
      </c>
      <c r="I1595" t="n">
        <v>0.0510185641343621</v>
      </c>
      <c r="J1595" t="n">
        <v>0.3774167506126268</v>
      </c>
      <c r="K1595" t="n">
        <v>0.1885450175797335</v>
      </c>
      <c r="L1595" t="b">
        <v>0</v>
      </c>
      <c r="M1595" t="b">
        <v>0</v>
      </c>
      <c r="N1595" t="inlineStr">
        <is>
          <t>ref</t>
        </is>
      </c>
      <c r="O1595" t="n">
        <v>-95</v>
      </c>
      <c r="P1595" t="n">
        <v>0.01901</v>
      </c>
      <c r="Q1595" t="n">
        <v>-90</v>
      </c>
      <c r="R1595" t="n">
        <v>0.1826</v>
      </c>
      <c r="S1595">
        <f>IMAGE("https://mitra.stanford.edu/kundaje/oak/projects/neuro-variants/variant_position/credible/roussos_2024/variant_figures/roussos_2024.adolescence.GLU/rs35602968_count_position.png",4,220,900)</f>
        <v/>
      </c>
      <c r="T1595">
        <f>IMAGE("https://mitra.stanford.edu/kundaje/oak/projects/neuro-variants/variant_position/credible/roussos_2024/variant_figures/roussos_2024.adolescence.GLU/rs35602968_profile_position.png",4,220,900)</f>
        <v/>
      </c>
    </row>
    <row r="1596">
      <c r="A1596" t="inlineStr">
        <is>
          <t>chr17</t>
        </is>
      </c>
      <c r="B1596" t="n">
        <v>20142345</v>
      </c>
      <c r="C1596" t="inlineStr">
        <is>
          <t>A</t>
        </is>
      </c>
      <c r="D1596" t="inlineStr">
        <is>
          <t>G</t>
        </is>
      </c>
      <c r="E1596" t="inlineStr">
        <is>
          <t>rs7212500</t>
        </is>
      </c>
      <c r="F1596" t="n">
        <v>0.00625476568</v>
      </c>
      <c r="G1596" t="n">
        <v>0.6383477048013025</v>
      </c>
      <c r="H1596" t="n">
        <v>0.0109202863240037</v>
      </c>
      <c r="I1596" t="n">
        <v>0.4172582564721161</v>
      </c>
      <c r="J1596" t="n">
        <v>0.2187696022747568</v>
      </c>
      <c r="K1596" t="n">
        <v>0.369214294215054</v>
      </c>
      <c r="L1596" t="b">
        <v>0</v>
      </c>
      <c r="M1596" t="b">
        <v>0</v>
      </c>
      <c r="N1596" t="inlineStr">
        <is>
          <t>alt</t>
        </is>
      </c>
      <c r="O1596" t="n">
        <v>-50</v>
      </c>
      <c r="P1596" t="n">
        <v>0.02594</v>
      </c>
      <c r="Q1596" t="n">
        <v>95</v>
      </c>
      <c r="R1596" t="n">
        <v>0.0471</v>
      </c>
      <c r="S1596">
        <f>IMAGE("https://mitra.stanford.edu/kundaje/oak/projects/neuro-variants/variant_position/credible/roussos_2024/variant_figures/roussos_2024.adolescence.GLU/rs7212500_count_position.png",4,220,900)</f>
        <v/>
      </c>
      <c r="T1596">
        <f>IMAGE("https://mitra.stanford.edu/kundaje/oak/projects/neuro-variants/variant_position/credible/roussos_2024/variant_figures/roussos_2024.adolescence.GLU/rs7212500_profile_position.png",4,220,900)</f>
        <v/>
      </c>
    </row>
    <row r="1597">
      <c r="A1597" t="inlineStr">
        <is>
          <t>chr17</t>
        </is>
      </c>
      <c r="B1597" t="n">
        <v>20235578</v>
      </c>
      <c r="C1597" t="inlineStr">
        <is>
          <t>C</t>
        </is>
      </c>
      <c r="D1597" t="inlineStr">
        <is>
          <t>T</t>
        </is>
      </c>
      <c r="E1597" t="inlineStr">
        <is>
          <t>rs2703777</t>
        </is>
      </c>
      <c r="F1597" t="n">
        <v>-0.0211241396</v>
      </c>
      <c r="G1597" t="n">
        <v>0.2813227907732332</v>
      </c>
      <c r="H1597" t="n">
        <v>0.0066152784872766</v>
      </c>
      <c r="I1597" t="n">
        <v>0.9329402421072294</v>
      </c>
      <c r="J1597" t="n">
        <v>0.3653385344106993</v>
      </c>
      <c r="K1597" t="n">
        <v>0.1998443630157471</v>
      </c>
      <c r="L1597" t="b">
        <v>0</v>
      </c>
      <c r="M1597" t="b">
        <v>0</v>
      </c>
      <c r="N1597" t="inlineStr">
        <is>
          <t>ref</t>
        </is>
      </c>
      <c r="O1597" t="n">
        <v>-80</v>
      </c>
      <c r="P1597" t="n">
        <v>0.0221</v>
      </c>
      <c r="Q1597" t="n">
        <v>-70</v>
      </c>
      <c r="R1597" t="n">
        <v>0.1309</v>
      </c>
      <c r="S1597">
        <f>IMAGE("https://mitra.stanford.edu/kundaje/oak/projects/neuro-variants/variant_position/credible/roussos_2024/variant_figures/roussos_2024.adolescence.GLU/rs2703777_count_position.png",4,220,900)</f>
        <v/>
      </c>
      <c r="T1597">
        <f>IMAGE("https://mitra.stanford.edu/kundaje/oak/projects/neuro-variants/variant_position/credible/roussos_2024/variant_figures/roussos_2024.adolescence.GLU/rs2703777_profile_position.png",4,220,900)</f>
        <v/>
      </c>
    </row>
    <row r="1598">
      <c r="A1598" t="inlineStr">
        <is>
          <t>chr17</t>
        </is>
      </c>
      <c r="B1598" t="n">
        <v>20268211</v>
      </c>
      <c r="C1598" t="inlineStr">
        <is>
          <t>C</t>
        </is>
      </c>
      <c r="D1598" t="inlineStr">
        <is>
          <t>T</t>
        </is>
      </c>
      <c r="E1598" t="inlineStr">
        <is>
          <t>rs2158472</t>
        </is>
      </c>
      <c r="F1598" t="n">
        <v>-0.0120724033999999</v>
      </c>
      <c r="G1598" t="n">
        <v>0.4784318243456686</v>
      </c>
      <c r="H1598" t="n">
        <v>0.0097333917038003</v>
      </c>
      <c r="I1598" t="n">
        <v>0.5668956907080469</v>
      </c>
      <c r="J1598" t="n">
        <v>0.3625765337105543</v>
      </c>
      <c r="K1598" t="n">
        <v>0.2037860015755712</v>
      </c>
      <c r="L1598" t="b">
        <v>0</v>
      </c>
      <c r="M1598" t="b">
        <v>0</v>
      </c>
      <c r="N1598" t="inlineStr">
        <is>
          <t>ref</t>
        </is>
      </c>
      <c r="O1598" t="n">
        <v>100</v>
      </c>
      <c r="P1598" t="n">
        <v>0.03165</v>
      </c>
      <c r="Q1598" t="n">
        <v>100</v>
      </c>
      <c r="R1598" t="n">
        <v>0.2153</v>
      </c>
      <c r="S1598">
        <f>IMAGE("https://mitra.stanford.edu/kundaje/oak/projects/neuro-variants/variant_position/credible/roussos_2024/variant_figures/roussos_2024.adolescence.GLU/rs2158472_count_position.png",4,220,900)</f>
        <v/>
      </c>
      <c r="T1598">
        <f>IMAGE("https://mitra.stanford.edu/kundaje/oak/projects/neuro-variants/variant_position/credible/roussos_2024/variant_figures/roussos_2024.adolescence.GLU/rs2158472_profile_position.png",4,220,900)</f>
        <v/>
      </c>
    </row>
    <row r="1599">
      <c r="A1599" t="inlineStr">
        <is>
          <t>chr17</t>
        </is>
      </c>
      <c r="B1599" t="n">
        <v>38855676</v>
      </c>
      <c r="C1599" t="inlineStr">
        <is>
          <t>C</t>
        </is>
      </c>
      <c r="D1599" t="inlineStr">
        <is>
          <t>A</t>
        </is>
      </c>
      <c r="E1599" t="inlineStr">
        <is>
          <t>rs72625942</t>
        </is>
      </c>
      <c r="F1599" t="n">
        <v>0.00172350862</v>
      </c>
      <c r="G1599" t="n">
        <v>0.8574238056709068</v>
      </c>
      <c r="H1599" t="n">
        <v>0.0207978029680668</v>
      </c>
      <c r="I1599" t="n">
        <v>0.048972742231425</v>
      </c>
      <c r="J1599" t="n">
        <v>0.4499389159182973</v>
      </c>
      <c r="K1599" t="n">
        <v>0.125139274520046</v>
      </c>
      <c r="L1599" t="b">
        <v>0</v>
      </c>
      <c r="M1599" t="b">
        <v>0</v>
      </c>
      <c r="N1599" t="inlineStr">
        <is>
          <t>alt</t>
        </is>
      </c>
      <c r="O1599" t="n">
        <v>95</v>
      </c>
      <c r="P1599" t="n">
        <v>0.005585</v>
      </c>
      <c r="Q1599" t="n">
        <v>25</v>
      </c>
      <c r="R1599" t="n">
        <v>0.0514</v>
      </c>
      <c r="S1599">
        <f>IMAGE("https://mitra.stanford.edu/kundaje/oak/projects/neuro-variants/variant_position/credible/roussos_2024/variant_figures/roussos_2024.adolescence.GLU/rs72625942_count_position.png",4,220,900)</f>
        <v/>
      </c>
      <c r="T1599">
        <f>IMAGE("https://mitra.stanford.edu/kundaje/oak/projects/neuro-variants/variant_position/credible/roussos_2024/variant_figures/roussos_2024.adolescence.GLU/rs72625942_profile_position.png",4,220,900)</f>
        <v/>
      </c>
    </row>
    <row r="1600">
      <c r="A1600" t="inlineStr">
        <is>
          <t>chr17</t>
        </is>
      </c>
      <c r="B1600" t="n">
        <v>38859453</v>
      </c>
      <c r="C1600" t="inlineStr">
        <is>
          <t>C</t>
        </is>
      </c>
      <c r="D1600" t="inlineStr">
        <is>
          <t>T</t>
        </is>
      </c>
      <c r="E1600" t="inlineStr">
        <is>
          <t>rs117001874</t>
        </is>
      </c>
      <c r="F1600" t="n">
        <v>0.0218361479</v>
      </c>
      <c r="G1600" t="n">
        <v>0.2658609518461474</v>
      </c>
      <c r="H1600" t="n">
        <v>0.0288978538490648</v>
      </c>
      <c r="I1600" t="n">
        <v>0.0123114129270715</v>
      </c>
      <c r="J1600" t="n">
        <v>0.0350329711154452</v>
      </c>
      <c r="K1600" t="n">
        <v>0.7616866829207544</v>
      </c>
      <c r="L1600" t="b">
        <v>1</v>
      </c>
      <c r="M1600" t="b">
        <v>0</v>
      </c>
      <c r="N1600" t="inlineStr">
        <is>
          <t>alt</t>
        </is>
      </c>
      <c r="O1600" t="n">
        <v>80</v>
      </c>
      <c r="P1600" t="n">
        <v>0.006073</v>
      </c>
      <c r="Q1600" t="n">
        <v>45</v>
      </c>
      <c r="R1600" t="n">
        <v>0.04437</v>
      </c>
      <c r="S1600">
        <f>IMAGE("https://mitra.stanford.edu/kundaje/oak/projects/neuro-variants/variant_position/credible/roussos_2024/variant_figures/roussos_2024.adolescence.GLU/rs117001874_count_position.png",4,220,900)</f>
        <v/>
      </c>
      <c r="T1600">
        <f>IMAGE("https://mitra.stanford.edu/kundaje/oak/projects/neuro-variants/variant_position/credible/roussos_2024/variant_figures/roussos_2024.adolescence.GLU/rs117001874_profile_position.png",4,220,900)</f>
        <v/>
      </c>
    </row>
    <row r="1601">
      <c r="A1601" t="inlineStr">
        <is>
          <t>chr17</t>
        </is>
      </c>
      <c r="B1601" t="n">
        <v>38861770</v>
      </c>
      <c r="C1601" t="inlineStr">
        <is>
          <t>G</t>
        </is>
      </c>
      <c r="D1601" t="inlineStr">
        <is>
          <t>A</t>
        </is>
      </c>
      <c r="E1601" t="inlineStr">
        <is>
          <t>rs72625945</t>
        </is>
      </c>
      <c r="F1601" t="n">
        <v>-0.00427423546</v>
      </c>
      <c r="G1601" t="n">
        <v>0.7068999805689726</v>
      </c>
      <c r="H1601" t="n">
        <v>0.0094279696747084</v>
      </c>
      <c r="I1601" t="n">
        <v>0.6134192139932946</v>
      </c>
      <c r="J1601" t="n">
        <v>0.4475898578991362</v>
      </c>
      <c r="K1601" t="n">
        <v>0.1260442660834736</v>
      </c>
      <c r="L1601" t="b">
        <v>0</v>
      </c>
      <c r="M1601" t="b">
        <v>0</v>
      </c>
      <c r="N1601" t="inlineStr">
        <is>
          <t>ref</t>
        </is>
      </c>
      <c r="O1601" t="n">
        <v>100</v>
      </c>
      <c r="P1601" t="n">
        <v>0.02823</v>
      </c>
      <c r="Q1601" t="n">
        <v>100</v>
      </c>
      <c r="R1601" t="n">
        <v>0.10236</v>
      </c>
      <c r="S1601">
        <f>IMAGE("https://mitra.stanford.edu/kundaje/oak/projects/neuro-variants/variant_position/credible/roussos_2024/variant_figures/roussos_2024.adolescence.GLU/rs72625945_count_position.png",4,220,900)</f>
        <v/>
      </c>
      <c r="T1601">
        <f>IMAGE("https://mitra.stanford.edu/kundaje/oak/projects/neuro-variants/variant_position/credible/roussos_2024/variant_figures/roussos_2024.adolescence.GLU/rs72625945_profile_position.png",4,220,900)</f>
        <v/>
      </c>
    </row>
    <row r="1602">
      <c r="A1602" t="inlineStr">
        <is>
          <t>chr17</t>
        </is>
      </c>
      <c r="B1602" t="n">
        <v>38871150</v>
      </c>
      <c r="C1602" t="inlineStr">
        <is>
          <t>G</t>
        </is>
      </c>
      <c r="D1602" t="inlineStr">
        <is>
          <t>T</t>
        </is>
      </c>
      <c r="E1602" t="inlineStr">
        <is>
          <t>rs76297940</t>
        </is>
      </c>
      <c r="F1602" t="n">
        <v>-0.007343167</v>
      </c>
      <c r="G1602" t="n">
        <v>0.6429686504543082</v>
      </c>
      <c r="H1602" t="n">
        <v>0.0105154465394786</v>
      </c>
      <c r="I1602" t="n">
        <v>0.479513311956744</v>
      </c>
      <c r="J1602" t="n">
        <v>0.6648019946989019</v>
      </c>
      <c r="K1602" t="n">
        <v>0.0204284651982087</v>
      </c>
      <c r="L1602" t="b">
        <v>0</v>
      </c>
      <c r="M1602" t="b">
        <v>0</v>
      </c>
      <c r="N1602" t="inlineStr">
        <is>
          <t>ref</t>
        </is>
      </c>
      <c r="O1602" t="n">
        <v>70</v>
      </c>
      <c r="P1602" t="n">
        <v>0.00625</v>
      </c>
      <c r="Q1602" t="n">
        <v>-100</v>
      </c>
      <c r="R1602" t="n">
        <v>0.1578</v>
      </c>
      <c r="S1602">
        <f>IMAGE("https://mitra.stanford.edu/kundaje/oak/projects/neuro-variants/variant_position/credible/roussos_2024/variant_figures/roussos_2024.adolescence.GLU/rs76297940_count_position.png",4,220,900)</f>
        <v/>
      </c>
      <c r="T1602">
        <f>IMAGE("https://mitra.stanford.edu/kundaje/oak/projects/neuro-variants/variant_position/credible/roussos_2024/variant_figures/roussos_2024.adolescence.GLU/rs76297940_profile_position.png",4,220,900)</f>
        <v/>
      </c>
    </row>
    <row r="1603">
      <c r="A1603" t="inlineStr">
        <is>
          <t>chr17</t>
        </is>
      </c>
      <c r="B1603" t="n">
        <v>45627990</v>
      </c>
      <c r="C1603" t="inlineStr">
        <is>
          <t>G</t>
        </is>
      </c>
      <c r="D1603" t="inlineStr">
        <is>
          <t>A</t>
        </is>
      </c>
      <c r="E1603" t="inlineStr">
        <is>
          <t>rs383241</t>
        </is>
      </c>
      <c r="F1603" t="n">
        <v>-0.0144446956847999</v>
      </c>
      <c r="G1603" t="n">
        <v>0.4276899755864183</v>
      </c>
      <c r="H1603" t="n">
        <v>0.0226418572805208</v>
      </c>
      <c r="I1603" t="n">
        <v>0.0335315208999476</v>
      </c>
      <c r="J1603" t="n">
        <v>0.2445249373084424</v>
      </c>
      <c r="K1603" t="n">
        <v>0.339202321506784</v>
      </c>
      <c r="L1603" t="b">
        <v>0</v>
      </c>
      <c r="M1603" t="b">
        <v>0</v>
      </c>
      <c r="N1603" t="inlineStr">
        <is>
          <t>ref</t>
        </is>
      </c>
      <c r="O1603" t="n">
        <v>0</v>
      </c>
      <c r="P1603" t="n">
        <v>0</v>
      </c>
      <c r="Q1603" t="n">
        <v>5</v>
      </c>
      <c r="R1603" t="n">
        <v>0.0004272</v>
      </c>
      <c r="S1603">
        <f>IMAGE("https://mitra.stanford.edu/kundaje/oak/projects/neuro-variants/variant_position/credible/roussos_2024/variant_figures/roussos_2024.adolescence.GLU/rs383241_count_position.png",4,220,900)</f>
        <v/>
      </c>
      <c r="T1603">
        <f>IMAGE("https://mitra.stanford.edu/kundaje/oak/projects/neuro-variants/variant_position/credible/roussos_2024/variant_figures/roussos_2024.adolescence.GLU/rs383241_profile_position.png",4,220,900)</f>
        <v/>
      </c>
    </row>
    <row r="1604">
      <c r="A1604" t="inlineStr">
        <is>
          <t>chr17</t>
        </is>
      </c>
      <c r="B1604" t="n">
        <v>45632761</v>
      </c>
      <c r="C1604" t="inlineStr">
        <is>
          <t>T</t>
        </is>
      </c>
      <c r="D1604" t="inlineStr">
        <is>
          <t>A</t>
        </is>
      </c>
      <c r="E1604" t="inlineStr">
        <is>
          <t>rs81632</t>
        </is>
      </c>
      <c r="F1604" t="n">
        <v>0.001330548498</v>
      </c>
      <c r="G1604" t="n">
        <v>0.911116686428241</v>
      </c>
      <c r="H1604" t="n">
        <v>0.0170282505960355</v>
      </c>
      <c r="I1604" t="n">
        <v>0.1022486739889798</v>
      </c>
      <c r="J1604" t="n">
        <v>0.1656243078923491</v>
      </c>
      <c r="K1604" t="n">
        <v>0.4630294692405134</v>
      </c>
      <c r="L1604" t="b">
        <v>0</v>
      </c>
      <c r="M1604" t="b">
        <v>0</v>
      </c>
      <c r="N1604" t="inlineStr">
        <is>
          <t>alt</t>
        </is>
      </c>
      <c r="O1604" t="n">
        <v>80</v>
      </c>
      <c r="P1604" t="n">
        <v>0.00476</v>
      </c>
      <c r="Q1604" t="n">
        <v>50</v>
      </c>
      <c r="R1604" t="n">
        <v>0.0202</v>
      </c>
      <c r="S1604">
        <f>IMAGE("https://mitra.stanford.edu/kundaje/oak/projects/neuro-variants/variant_position/credible/roussos_2024/variant_figures/roussos_2024.adolescence.GLU/rs81632_count_position.png",4,220,900)</f>
        <v/>
      </c>
      <c r="T1604">
        <f>IMAGE("https://mitra.stanford.edu/kundaje/oak/projects/neuro-variants/variant_position/credible/roussos_2024/variant_figures/roussos_2024.adolescence.GLU/rs81632_profile_position.png",4,220,900)</f>
        <v/>
      </c>
    </row>
    <row r="1605">
      <c r="A1605" t="inlineStr">
        <is>
          <t>chr17</t>
        </is>
      </c>
      <c r="B1605" t="n">
        <v>45634173</v>
      </c>
      <c r="C1605" t="inlineStr">
        <is>
          <t>G</t>
        </is>
      </c>
      <c r="D1605" t="inlineStr">
        <is>
          <t>C</t>
        </is>
      </c>
      <c r="E1605" t="inlineStr">
        <is>
          <t>rs2942169</t>
        </is>
      </c>
      <c r="F1605" t="n">
        <v>0.02185003188</v>
      </c>
      <c r="G1605" t="n">
        <v>0.248743974145229</v>
      </c>
      <c r="H1605" t="n">
        <v>0.0159206944350086</v>
      </c>
      <c r="I1605" t="n">
        <v>0.1460359180661123</v>
      </c>
      <c r="J1605" t="n">
        <v>0.1909509827035599</v>
      </c>
      <c r="K1605" t="n">
        <v>0.4135331869867763</v>
      </c>
      <c r="L1605" t="b">
        <v>0</v>
      </c>
      <c r="M1605" t="b">
        <v>0</v>
      </c>
      <c r="N1605" t="inlineStr">
        <is>
          <t>alt</t>
        </is>
      </c>
      <c r="O1605" t="n">
        <v>0</v>
      </c>
      <c r="P1605" t="n">
        <v>0</v>
      </c>
      <c r="Q1605" t="n">
        <v>10</v>
      </c>
      <c r="R1605" t="n">
        <v>0.01245</v>
      </c>
      <c r="S1605">
        <f>IMAGE("https://mitra.stanford.edu/kundaje/oak/projects/neuro-variants/variant_position/credible/roussos_2024/variant_figures/roussos_2024.adolescence.GLU/rs2942169_count_position.png",4,220,900)</f>
        <v/>
      </c>
      <c r="T1605">
        <f>IMAGE("https://mitra.stanford.edu/kundaje/oak/projects/neuro-variants/variant_position/credible/roussos_2024/variant_figures/roussos_2024.adolescence.GLU/rs2942169_profile_position.png",4,220,900)</f>
        <v/>
      </c>
    </row>
    <row r="1606">
      <c r="A1606" t="inlineStr">
        <is>
          <t>chr17</t>
        </is>
      </c>
      <c r="B1606" t="n">
        <v>45636559</v>
      </c>
      <c r="C1606" t="inlineStr">
        <is>
          <t>A</t>
        </is>
      </c>
      <c r="D1606" t="inlineStr">
        <is>
          <t>G</t>
        </is>
      </c>
      <c r="E1606" t="inlineStr">
        <is>
          <t>rs241041</t>
        </is>
      </c>
      <c r="F1606" t="n">
        <v>0.08993214419999999</v>
      </c>
      <c r="G1606" t="n">
        <v>0.0096361229924317</v>
      </c>
      <c r="H1606" t="n">
        <v>0.0138005192749794</v>
      </c>
      <c r="I1606" t="n">
        <v>0.2098159159687678</v>
      </c>
      <c r="J1606" t="n">
        <v>0.4606096977230997</v>
      </c>
      <c r="K1606" t="n">
        <v>0.1174123316038966</v>
      </c>
      <c r="L1606" t="b">
        <v>1</v>
      </c>
      <c r="M1606" t="b">
        <v>1</v>
      </c>
      <c r="N1606" t="inlineStr">
        <is>
          <t>alt</t>
        </is>
      </c>
      <c r="O1606" t="n">
        <v>-55</v>
      </c>
      <c r="P1606" t="n">
        <v>0.0024</v>
      </c>
      <c r="Q1606" t="n">
        <v>-100</v>
      </c>
      <c r="R1606" t="n">
        <v>0.10815</v>
      </c>
      <c r="S1606">
        <f>IMAGE("https://mitra.stanford.edu/kundaje/oak/projects/neuro-variants/variant_position/credible/roussos_2024/variant_figures/roussos_2024.adolescence.GLU/rs241041_count_position.png",4,220,900)</f>
        <v/>
      </c>
      <c r="T1606">
        <f>IMAGE("https://mitra.stanford.edu/kundaje/oak/projects/neuro-variants/variant_position/credible/roussos_2024/variant_figures/roussos_2024.adolescence.GLU/rs241041_profile_position.png",4,220,900)</f>
        <v/>
      </c>
    </row>
    <row r="1607">
      <c r="A1607" t="inlineStr">
        <is>
          <t>chr17</t>
        </is>
      </c>
      <c r="B1607" t="n">
        <v>45638558</v>
      </c>
      <c r="C1607" t="inlineStr">
        <is>
          <t>A</t>
        </is>
      </c>
      <c r="D1607" t="inlineStr">
        <is>
          <t>G</t>
        </is>
      </c>
      <c r="E1607" t="inlineStr">
        <is>
          <t>rs117368197</t>
        </is>
      </c>
      <c r="F1607" t="n">
        <v>0.00341882616</v>
      </c>
      <c r="G1607" t="n">
        <v>0.7209854159143333</v>
      </c>
      <c r="H1607" t="n">
        <v>0.0209612009774708</v>
      </c>
      <c r="I1607" t="n">
        <v>0.0482553554840955</v>
      </c>
      <c r="J1607" t="n">
        <v>0.024139285994956</v>
      </c>
      <c r="K1607" t="n">
        <v>0.7971101325384627</v>
      </c>
      <c r="L1607" t="b">
        <v>0</v>
      </c>
      <c r="M1607" t="b">
        <v>0</v>
      </c>
      <c r="N1607" t="inlineStr">
        <is>
          <t>alt</t>
        </is>
      </c>
      <c r="O1607" t="n">
        <v>100</v>
      </c>
      <c r="P1607" t="n">
        <v>0.005432</v>
      </c>
      <c r="Q1607" t="n">
        <v>25</v>
      </c>
      <c r="R1607" t="n">
        <v>0.013306</v>
      </c>
      <c r="S1607">
        <f>IMAGE("https://mitra.stanford.edu/kundaje/oak/projects/neuro-variants/variant_position/credible/roussos_2024/variant_figures/roussos_2024.adolescence.GLU/rs117368197_count_position.png",4,220,900)</f>
        <v/>
      </c>
      <c r="T1607">
        <f>IMAGE("https://mitra.stanford.edu/kundaje/oak/projects/neuro-variants/variant_position/credible/roussos_2024/variant_figures/roussos_2024.adolescence.GLU/rs117368197_profile_position.png",4,220,900)</f>
        <v/>
      </c>
    </row>
    <row r="1608">
      <c r="A1608" t="inlineStr">
        <is>
          <t>chr17</t>
        </is>
      </c>
      <c r="B1608" t="n">
        <v>45639519</v>
      </c>
      <c r="C1608" t="inlineStr">
        <is>
          <t>A</t>
        </is>
      </c>
      <c r="D1608" t="inlineStr">
        <is>
          <t>G</t>
        </is>
      </c>
      <c r="E1608" t="inlineStr">
        <is>
          <t>rs413778</t>
        </is>
      </c>
      <c r="F1608" t="n">
        <v>0.0790080946</v>
      </c>
      <c r="G1608" t="n">
        <v>0.029691964972858</v>
      </c>
      <c r="H1608" t="n">
        <v>0.0226354653102996</v>
      </c>
      <c r="I1608" t="n">
        <v>0.0570126180363315</v>
      </c>
      <c r="J1608" t="n">
        <v>0.2456437404891012</v>
      </c>
      <c r="K1608" t="n">
        <v>0.3339585738526048</v>
      </c>
      <c r="L1608" t="b">
        <v>0</v>
      </c>
      <c r="M1608" t="b">
        <v>0</v>
      </c>
      <c r="N1608" t="inlineStr">
        <is>
          <t>alt</t>
        </is>
      </c>
      <c r="O1608" t="n">
        <v>-85</v>
      </c>
      <c r="P1608" t="n">
        <v>0.008580000000000001</v>
      </c>
      <c r="Q1608" t="n">
        <v>20</v>
      </c>
      <c r="R1608" t="n">
        <v>0.02417</v>
      </c>
      <c r="S1608">
        <f>IMAGE("https://mitra.stanford.edu/kundaje/oak/projects/neuro-variants/variant_position/credible/roussos_2024/variant_figures/roussos_2024.adolescence.GLU/rs413778_count_position.png",4,220,900)</f>
        <v/>
      </c>
      <c r="T1608">
        <f>IMAGE("https://mitra.stanford.edu/kundaje/oak/projects/neuro-variants/variant_position/credible/roussos_2024/variant_figures/roussos_2024.adolescence.GLU/rs413778_profile_position.png",4,220,900)</f>
        <v/>
      </c>
    </row>
    <row r="1609">
      <c r="A1609" t="inlineStr">
        <is>
          <t>chr17</t>
        </is>
      </c>
      <c r="B1609" t="n">
        <v>45645823</v>
      </c>
      <c r="C1609" t="inlineStr">
        <is>
          <t>G</t>
        </is>
      </c>
      <c r="D1609" t="inlineStr">
        <is>
          <t>A</t>
        </is>
      </c>
      <c r="E1609" t="inlineStr">
        <is>
          <t>rs413917</t>
        </is>
      </c>
      <c r="F1609" t="n">
        <v>-0.06280835879999989</v>
      </c>
      <c r="G1609" t="n">
        <v>0.0353547277684758</v>
      </c>
      <c r="H1609" t="n">
        <v>0.0105640271303883</v>
      </c>
      <c r="I1609" t="n">
        <v>0.4847887285855581</v>
      </c>
      <c r="J1609" t="n">
        <v>0.1743061062648691</v>
      </c>
      <c r="K1609" t="n">
        <v>0.4402255304734362</v>
      </c>
      <c r="L1609" t="b">
        <v>0</v>
      </c>
      <c r="M1609" t="b">
        <v>0</v>
      </c>
      <c r="N1609" t="inlineStr">
        <is>
          <t>ref</t>
        </is>
      </c>
      <c r="O1609" t="n">
        <v>100</v>
      </c>
      <c r="P1609" t="n">
        <v>0.01539</v>
      </c>
      <c r="Q1609" t="n">
        <v>-85</v>
      </c>
      <c r="R1609" t="n">
        <v>0.0561</v>
      </c>
      <c r="S1609">
        <f>IMAGE("https://mitra.stanford.edu/kundaje/oak/projects/neuro-variants/variant_position/credible/roussos_2024/variant_figures/roussos_2024.adolescence.GLU/rs413917_count_position.png",4,220,900)</f>
        <v/>
      </c>
      <c r="T1609">
        <f>IMAGE("https://mitra.stanford.edu/kundaje/oak/projects/neuro-variants/variant_position/credible/roussos_2024/variant_figures/roussos_2024.adolescence.GLU/rs413917_profile_position.png",4,220,900)</f>
        <v/>
      </c>
    </row>
    <row r="1610">
      <c r="A1610" t="inlineStr">
        <is>
          <t>chr17</t>
        </is>
      </c>
      <c r="B1610" t="n">
        <v>45646239</v>
      </c>
      <c r="C1610" t="inlineStr">
        <is>
          <t>T</t>
        </is>
      </c>
      <c r="D1610" t="inlineStr">
        <is>
          <t>C</t>
        </is>
      </c>
      <c r="E1610" t="inlineStr">
        <is>
          <t>rs393675</t>
        </is>
      </c>
      <c r="F1610" t="n">
        <v>-0.008798975125999999</v>
      </c>
      <c r="G1610" t="n">
        <v>0.5852443239587107</v>
      </c>
      <c r="H1610" t="n">
        <v>0.020595990672672</v>
      </c>
      <c r="I1610" t="n">
        <v>0.0492750730549306</v>
      </c>
      <c r="J1610" t="n">
        <v>0.2809810603625036</v>
      </c>
      <c r="K1610" t="n">
        <v>0.2943888036505107</v>
      </c>
      <c r="L1610" t="b">
        <v>0</v>
      </c>
      <c r="M1610" t="b">
        <v>0</v>
      </c>
      <c r="N1610" t="inlineStr">
        <is>
          <t>ref</t>
        </is>
      </c>
      <c r="O1610" t="n">
        <v>-65</v>
      </c>
      <c r="P1610" t="n">
        <v>0.01613</v>
      </c>
      <c r="Q1610" t="n">
        <v>75</v>
      </c>
      <c r="R1610" t="n">
        <v>0.09485</v>
      </c>
      <c r="S1610">
        <f>IMAGE("https://mitra.stanford.edu/kundaje/oak/projects/neuro-variants/variant_position/credible/roussos_2024/variant_figures/roussos_2024.adolescence.GLU/rs393675_count_position.png",4,220,900)</f>
        <v/>
      </c>
      <c r="T1610">
        <f>IMAGE("https://mitra.stanford.edu/kundaje/oak/projects/neuro-variants/variant_position/credible/roussos_2024/variant_figures/roussos_2024.adolescence.GLU/rs393675_profile_position.png",4,220,900)</f>
        <v/>
      </c>
    </row>
    <row r="1611">
      <c r="A1611" t="inlineStr">
        <is>
          <t>chr17</t>
        </is>
      </c>
      <c r="B1611" t="n">
        <v>45648396</v>
      </c>
      <c r="C1611" t="inlineStr">
        <is>
          <t>G</t>
        </is>
      </c>
      <c r="D1611" t="inlineStr">
        <is>
          <t>A</t>
        </is>
      </c>
      <c r="E1611" t="inlineStr">
        <is>
          <t>rs434598</t>
        </is>
      </c>
      <c r="F1611" t="n">
        <v>-0.002674089208</v>
      </c>
      <c r="G1611" t="n">
        <v>0.5967420120504884</v>
      </c>
      <c r="H1611" t="n">
        <v>0.0114545110098343</v>
      </c>
      <c r="I1611" t="n">
        <v>0.3729609594083786</v>
      </c>
      <c r="J1611" t="n">
        <v>0.50723364125426</v>
      </c>
      <c r="K1611" t="n">
        <v>0.08458925728961671</v>
      </c>
      <c r="L1611" t="b">
        <v>0</v>
      </c>
      <c r="M1611" t="b">
        <v>0</v>
      </c>
      <c r="N1611" t="inlineStr">
        <is>
          <t>ref</t>
        </is>
      </c>
      <c r="O1611" t="n">
        <v>100</v>
      </c>
      <c r="P1611" t="n">
        <v>0.00842</v>
      </c>
      <c r="Q1611" t="n">
        <v>100</v>
      </c>
      <c r="R1611" t="n">
        <v>0.0406</v>
      </c>
      <c r="S1611">
        <f>IMAGE("https://mitra.stanford.edu/kundaje/oak/projects/neuro-variants/variant_position/credible/roussos_2024/variant_figures/roussos_2024.adolescence.GLU/rs434598_count_position.png",4,220,900)</f>
        <v/>
      </c>
      <c r="T1611">
        <f>IMAGE("https://mitra.stanford.edu/kundaje/oak/projects/neuro-variants/variant_position/credible/roussos_2024/variant_figures/roussos_2024.adolescence.GLU/rs434598_profile_position.png",4,220,900)</f>
        <v/>
      </c>
    </row>
    <row r="1612">
      <c r="A1612" t="inlineStr">
        <is>
          <t>chr17</t>
        </is>
      </c>
      <c r="B1612" t="n">
        <v>45648626</v>
      </c>
      <c r="C1612" t="inlineStr">
        <is>
          <t>G</t>
        </is>
      </c>
      <c r="D1612" t="inlineStr">
        <is>
          <t>A</t>
        </is>
      </c>
      <c r="E1612" t="inlineStr">
        <is>
          <t>rs434971</t>
        </is>
      </c>
      <c r="F1612" t="n">
        <v>-0.0565773298</v>
      </c>
      <c r="G1612" t="n">
        <v>0.0465799765209395</v>
      </c>
      <c r="H1612" t="n">
        <v>0.0128354678523261</v>
      </c>
      <c r="I1612" t="n">
        <v>0.2806566265608325</v>
      </c>
      <c r="J1612" t="n">
        <v>0.5515756835344464</v>
      </c>
      <c r="K1612" t="n">
        <v>0.0596379389529111</v>
      </c>
      <c r="L1612" t="b">
        <v>0</v>
      </c>
      <c r="M1612" t="b">
        <v>0</v>
      </c>
      <c r="N1612" t="inlineStr">
        <is>
          <t>ref</t>
        </is>
      </c>
      <c r="O1612" t="n">
        <v>100</v>
      </c>
      <c r="P1612" t="n">
        <v>0.02187</v>
      </c>
      <c r="Q1612" t="n">
        <v>100</v>
      </c>
      <c r="R1612" t="n">
        <v>0.1619</v>
      </c>
      <c r="S1612">
        <f>IMAGE("https://mitra.stanford.edu/kundaje/oak/projects/neuro-variants/variant_position/credible/roussos_2024/variant_figures/roussos_2024.adolescence.GLU/rs434971_count_position.png",4,220,900)</f>
        <v/>
      </c>
      <c r="T1612">
        <f>IMAGE("https://mitra.stanford.edu/kundaje/oak/projects/neuro-variants/variant_position/credible/roussos_2024/variant_figures/roussos_2024.adolescence.GLU/rs434971_profile_position.png",4,220,900)</f>
        <v/>
      </c>
    </row>
    <row r="1613">
      <c r="A1613" t="inlineStr">
        <is>
          <t>chr17</t>
        </is>
      </c>
      <c r="B1613" t="n">
        <v>45650771</v>
      </c>
      <c r="C1613" t="inlineStr">
        <is>
          <t>G</t>
        </is>
      </c>
      <c r="D1613" t="inlineStr">
        <is>
          <t>A</t>
        </is>
      </c>
      <c r="E1613" t="inlineStr">
        <is>
          <t>rs422112</t>
        </is>
      </c>
      <c r="F1613" t="n">
        <v>-0.0415067438</v>
      </c>
      <c r="G1613" t="n">
        <v>0.106276711475603</v>
      </c>
      <c r="H1613" t="n">
        <v>0.0128319781451084</v>
      </c>
      <c r="I1613" t="n">
        <v>0.2733718257131752</v>
      </c>
      <c r="J1613" t="n">
        <v>0.4744768559201547</v>
      </c>
      <c r="K1613" t="n">
        <v>0.10508378848909</v>
      </c>
      <c r="L1613" t="b">
        <v>0</v>
      </c>
      <c r="M1613" t="b">
        <v>0</v>
      </c>
      <c r="N1613" t="inlineStr">
        <is>
          <t>ref</t>
        </is>
      </c>
      <c r="O1613" t="n">
        <v>0</v>
      </c>
      <c r="P1613" t="n">
        <v>0</v>
      </c>
      <c r="Q1613" t="n">
        <v>10</v>
      </c>
      <c r="R1613" t="n">
        <v>0.002686</v>
      </c>
      <c r="S1613">
        <f>IMAGE("https://mitra.stanford.edu/kundaje/oak/projects/neuro-variants/variant_position/credible/roussos_2024/variant_figures/roussos_2024.adolescence.GLU/rs422112_count_position.png",4,220,900)</f>
        <v/>
      </c>
      <c r="T1613">
        <f>IMAGE("https://mitra.stanford.edu/kundaje/oak/projects/neuro-variants/variant_position/credible/roussos_2024/variant_figures/roussos_2024.adolescence.GLU/rs422112_profile_position.png",4,220,900)</f>
        <v/>
      </c>
    </row>
    <row r="1614">
      <c r="A1614" t="inlineStr">
        <is>
          <t>chr17</t>
        </is>
      </c>
      <c r="B1614" t="n">
        <v>45656779</v>
      </c>
      <c r="C1614" t="inlineStr">
        <is>
          <t>T</t>
        </is>
      </c>
      <c r="D1614" t="inlineStr">
        <is>
          <t>C</t>
        </is>
      </c>
      <c r="E1614" t="inlineStr">
        <is>
          <t>rs241032</t>
        </is>
      </c>
      <c r="F1614" t="n">
        <v>0.0314815259999999</v>
      </c>
      <c r="G1614" t="n">
        <v>0.1654135668305141</v>
      </c>
      <c r="H1614" t="n">
        <v>0.0124184405244134</v>
      </c>
      <c r="I1614" t="n">
        <v>0.3378328513512902</v>
      </c>
      <c r="J1614" t="n">
        <v>0.2688256853205306</v>
      </c>
      <c r="K1614" t="n">
        <v>0.3107215269891034</v>
      </c>
      <c r="L1614" t="b">
        <v>0</v>
      </c>
      <c r="M1614" t="b">
        <v>0</v>
      </c>
      <c r="N1614" t="inlineStr">
        <is>
          <t>alt</t>
        </is>
      </c>
      <c r="O1614" t="n">
        <v>30</v>
      </c>
      <c r="P1614" t="n">
        <v>0.006424</v>
      </c>
      <c r="Q1614" t="n">
        <v>55</v>
      </c>
      <c r="R1614" t="n">
        <v>0.1053</v>
      </c>
      <c r="S1614">
        <f>IMAGE("https://mitra.stanford.edu/kundaje/oak/projects/neuro-variants/variant_position/credible/roussos_2024/variant_figures/roussos_2024.adolescence.GLU/rs241032_count_position.png",4,220,900)</f>
        <v/>
      </c>
      <c r="T1614">
        <f>IMAGE("https://mitra.stanford.edu/kundaje/oak/projects/neuro-variants/variant_position/credible/roussos_2024/variant_figures/roussos_2024.adolescence.GLU/rs241032_profile_position.png",4,220,900)</f>
        <v/>
      </c>
    </row>
    <row r="1615">
      <c r="A1615" t="inlineStr">
        <is>
          <t>chr17</t>
        </is>
      </c>
      <c r="B1615" t="n">
        <v>45656938</v>
      </c>
      <c r="C1615" t="inlineStr">
        <is>
          <t>T</t>
        </is>
      </c>
      <c r="D1615" t="inlineStr">
        <is>
          <t>C</t>
        </is>
      </c>
      <c r="E1615" t="inlineStr">
        <is>
          <t>rs241031</t>
        </is>
      </c>
      <c r="F1615" t="n">
        <v>0.0924312878</v>
      </c>
      <c r="G1615" t="n">
        <v>0.0098517595110004</v>
      </c>
      <c r="H1615" t="n">
        <v>0.0163823554555198</v>
      </c>
      <c r="I1615" t="n">
        <v>0.1204167503601732</v>
      </c>
      <c r="J1615" t="n">
        <v>0.2663594601738931</v>
      </c>
      <c r="K1615" t="n">
        <v>0.3136674857873028</v>
      </c>
      <c r="L1615" t="b">
        <v>1</v>
      </c>
      <c r="M1615" t="b">
        <v>0</v>
      </c>
      <c r="N1615" t="inlineStr">
        <is>
          <t>alt</t>
        </is>
      </c>
      <c r="O1615" t="n">
        <v>-50</v>
      </c>
      <c r="P1615" t="n">
        <v>0.004654</v>
      </c>
      <c r="Q1615" t="n">
        <v>5</v>
      </c>
      <c r="R1615" t="n">
        <v>0.005005</v>
      </c>
      <c r="S1615">
        <f>IMAGE("https://mitra.stanford.edu/kundaje/oak/projects/neuro-variants/variant_position/credible/roussos_2024/variant_figures/roussos_2024.adolescence.GLU/rs241031_count_position.png",4,220,900)</f>
        <v/>
      </c>
      <c r="T1615">
        <f>IMAGE("https://mitra.stanford.edu/kundaje/oak/projects/neuro-variants/variant_position/credible/roussos_2024/variant_figures/roussos_2024.adolescence.GLU/rs241031_profile_position.png",4,220,900)</f>
        <v/>
      </c>
    </row>
    <row r="1616">
      <c r="A1616" t="inlineStr">
        <is>
          <t>chr17</t>
        </is>
      </c>
      <c r="B1616" t="n">
        <v>45660364</v>
      </c>
      <c r="C1616" t="inlineStr">
        <is>
          <t>T</t>
        </is>
      </c>
      <c r="D1616" t="inlineStr">
        <is>
          <t>C</t>
        </is>
      </c>
      <c r="E1616" t="inlineStr">
        <is>
          <t>rs241022</t>
        </is>
      </c>
      <c r="F1616" t="n">
        <v>0.0016373607599999</v>
      </c>
      <c r="G1616" t="n">
        <v>0.5894537864913361</v>
      </c>
      <c r="H1616" t="n">
        <v>0.0068460869992909</v>
      </c>
      <c r="I1616" t="n">
        <v>0.8935357935353183</v>
      </c>
      <c r="J1616" t="n">
        <v>0.3494881082509948</v>
      </c>
      <c r="K1616" t="n">
        <v>0.2153510752933702</v>
      </c>
      <c r="L1616" t="b">
        <v>0</v>
      </c>
      <c r="M1616" t="b">
        <v>0</v>
      </c>
      <c r="N1616" t="inlineStr">
        <is>
          <t>alt</t>
        </is>
      </c>
      <c r="O1616" t="n">
        <v>-95</v>
      </c>
      <c r="P1616" t="n">
        <v>0.001427</v>
      </c>
      <c r="Q1616" t="n">
        <v>35</v>
      </c>
      <c r="R1616" t="n">
        <v>0.01219</v>
      </c>
      <c r="S1616">
        <f>IMAGE("https://mitra.stanford.edu/kundaje/oak/projects/neuro-variants/variant_position/credible/roussos_2024/variant_figures/roussos_2024.adolescence.GLU/rs241022_count_position.png",4,220,900)</f>
        <v/>
      </c>
      <c r="T1616">
        <f>IMAGE("https://mitra.stanford.edu/kundaje/oak/projects/neuro-variants/variant_position/credible/roussos_2024/variant_figures/roussos_2024.adolescence.GLU/rs241022_profile_position.png",4,220,900)</f>
        <v/>
      </c>
    </row>
    <row r="1617">
      <c r="A1617" t="inlineStr">
        <is>
          <t>chr17</t>
        </is>
      </c>
      <c r="B1617" t="n">
        <v>45661310</v>
      </c>
      <c r="C1617" t="inlineStr">
        <is>
          <t>C</t>
        </is>
      </c>
      <c r="D1617" t="inlineStr">
        <is>
          <t>A</t>
        </is>
      </c>
      <c r="E1617" t="inlineStr">
        <is>
          <t>rs241020</t>
        </is>
      </c>
      <c r="F1617" t="n">
        <v>-9.83689400000003e-05</v>
      </c>
      <c r="G1617" t="n">
        <v>0.6037922255758505</v>
      </c>
      <c r="H1617" t="n">
        <v>0.0115206039435353</v>
      </c>
      <c r="I1617" t="n">
        <v>0.358360302181225</v>
      </c>
      <c r="J1617" t="n">
        <v>0.3741074936951225</v>
      </c>
      <c r="K1617" t="n">
        <v>0.1917910490471924</v>
      </c>
      <c r="L1617" t="b">
        <v>0</v>
      </c>
      <c r="M1617" t="b">
        <v>0</v>
      </c>
      <c r="N1617" t="inlineStr">
        <is>
          <t>ref</t>
        </is>
      </c>
      <c r="O1617" t="n">
        <v>-90</v>
      </c>
      <c r="P1617" t="n">
        <v>0.009090000000000001</v>
      </c>
      <c r="Q1617" t="n">
        <v>90</v>
      </c>
      <c r="R1617" t="n">
        <v>0.1755</v>
      </c>
      <c r="S1617">
        <f>IMAGE("https://mitra.stanford.edu/kundaje/oak/projects/neuro-variants/variant_position/credible/roussos_2024/variant_figures/roussos_2024.adolescence.GLU/rs241020_count_position.png",4,220,900)</f>
        <v/>
      </c>
      <c r="T1617">
        <f>IMAGE("https://mitra.stanford.edu/kundaje/oak/projects/neuro-variants/variant_position/credible/roussos_2024/variant_figures/roussos_2024.adolescence.GLU/rs241020_profile_position.png",4,220,900)</f>
        <v/>
      </c>
    </row>
    <row r="1618">
      <c r="A1618" t="inlineStr">
        <is>
          <t>chr17</t>
        </is>
      </c>
      <c r="B1618" t="n">
        <v>45669052</v>
      </c>
      <c r="C1618" t="inlineStr">
        <is>
          <t>T</t>
        </is>
      </c>
      <c r="D1618" t="inlineStr">
        <is>
          <t>A</t>
        </is>
      </c>
      <c r="E1618" t="inlineStr">
        <is>
          <t>rs79675109</t>
        </is>
      </c>
      <c r="F1618" t="n">
        <v>-0.00657997522</v>
      </c>
      <c r="G1618" t="n">
        <v>0.6722056897242826</v>
      </c>
      <c r="H1618" t="n">
        <v>0.0230316965976843</v>
      </c>
      <c r="I1618" t="n">
        <v>0.0286756776350168</v>
      </c>
      <c r="J1618" t="n">
        <v>0.3481506883568739</v>
      </c>
      <c r="K1618" t="n">
        <v>0.218040560242316</v>
      </c>
      <c r="L1618" t="b">
        <v>0</v>
      </c>
      <c r="M1618" t="b">
        <v>0</v>
      </c>
      <c r="N1618" t="inlineStr">
        <is>
          <t>ref</t>
        </is>
      </c>
      <c r="O1618" t="n">
        <v>-95</v>
      </c>
      <c r="P1618" t="n">
        <v>0.01126</v>
      </c>
      <c r="Q1618" t="n">
        <v>100</v>
      </c>
      <c r="R1618" t="n">
        <v>0.07729999999999999</v>
      </c>
      <c r="S1618">
        <f>IMAGE("https://mitra.stanford.edu/kundaje/oak/projects/neuro-variants/variant_position/credible/roussos_2024/variant_figures/roussos_2024.adolescence.GLU/rs79675109_count_position.png",4,220,900)</f>
        <v/>
      </c>
      <c r="T1618">
        <f>IMAGE("https://mitra.stanford.edu/kundaje/oak/projects/neuro-variants/variant_position/credible/roussos_2024/variant_figures/roussos_2024.adolescence.GLU/rs79675109_profile_position.png",4,220,900)</f>
        <v/>
      </c>
    </row>
    <row r="1619">
      <c r="A1619" t="inlineStr">
        <is>
          <t>chr17</t>
        </is>
      </c>
      <c r="B1619" t="n">
        <v>45671046</v>
      </c>
      <c r="C1619" t="inlineStr">
        <is>
          <t>A</t>
        </is>
      </c>
      <c r="D1619" t="inlineStr">
        <is>
          <t>G</t>
        </is>
      </c>
      <c r="E1619" t="inlineStr">
        <is>
          <t>rs62053950</t>
        </is>
      </c>
      <c r="F1619" t="n">
        <v>0.06782379099999999</v>
      </c>
      <c r="G1619" t="n">
        <v>0.0328545687698678</v>
      </c>
      <c r="H1619" t="n">
        <v>0.0128869774942681</v>
      </c>
      <c r="I1619" t="n">
        <v>0.2864292336037352</v>
      </c>
      <c r="J1619" t="n">
        <v>0.6035493066420902</v>
      </c>
      <c r="K1619" t="n">
        <v>0.0363917935012617</v>
      </c>
      <c r="L1619" t="b">
        <v>0</v>
      </c>
      <c r="M1619" t="b">
        <v>0</v>
      </c>
      <c r="N1619" t="inlineStr">
        <is>
          <t>alt</t>
        </is>
      </c>
      <c r="O1619" t="n">
        <v>-20</v>
      </c>
      <c r="P1619" t="n">
        <v>0.003906</v>
      </c>
      <c r="Q1619" t="n">
        <v>-20</v>
      </c>
      <c r="R1619" t="n">
        <v>0.04565</v>
      </c>
      <c r="S1619">
        <f>IMAGE("https://mitra.stanford.edu/kundaje/oak/projects/neuro-variants/variant_position/credible/roussos_2024/variant_figures/roussos_2024.adolescence.GLU/rs62053950_count_position.png",4,220,900)</f>
        <v/>
      </c>
      <c r="T1619">
        <f>IMAGE("https://mitra.stanford.edu/kundaje/oak/projects/neuro-variants/variant_position/credible/roussos_2024/variant_figures/roussos_2024.adolescence.GLU/rs62053950_profile_position.png",4,220,900)</f>
        <v/>
      </c>
    </row>
    <row r="1620">
      <c r="A1620" t="inlineStr">
        <is>
          <t>chr17</t>
        </is>
      </c>
      <c r="B1620" t="n">
        <v>45672088</v>
      </c>
      <c r="C1620" t="inlineStr">
        <is>
          <t>G</t>
        </is>
      </c>
      <c r="D1620" t="inlineStr">
        <is>
          <t>A</t>
        </is>
      </c>
      <c r="E1620" t="inlineStr">
        <is>
          <t>rs62053953</t>
        </is>
      </c>
      <c r="F1620" t="n">
        <v>0.0162776152</v>
      </c>
      <c r="G1620" t="n">
        <v>0.3392998168527676</v>
      </c>
      <c r="H1620" t="n">
        <v>0.008997642146777601</v>
      </c>
      <c r="I1620" t="n">
        <v>0.624916219465311</v>
      </c>
      <c r="J1620" t="n">
        <v>0.5637067678304792</v>
      </c>
      <c r="K1620" t="n">
        <v>0.0528269539859076</v>
      </c>
      <c r="L1620" t="b">
        <v>0</v>
      </c>
      <c r="M1620" t="b">
        <v>0</v>
      </c>
      <c r="N1620" t="inlineStr">
        <is>
          <t>alt</t>
        </is>
      </c>
      <c r="O1620" t="n">
        <v>-35</v>
      </c>
      <c r="P1620" t="n">
        <v>0.004875</v>
      </c>
      <c r="Q1620" t="n">
        <v>70</v>
      </c>
      <c r="R1620" t="n">
        <v>0.1287</v>
      </c>
      <c r="S1620">
        <f>IMAGE("https://mitra.stanford.edu/kundaje/oak/projects/neuro-variants/variant_position/credible/roussos_2024/variant_figures/roussos_2024.adolescence.GLU/rs62053953_count_position.png",4,220,900)</f>
        <v/>
      </c>
      <c r="T1620">
        <f>IMAGE("https://mitra.stanford.edu/kundaje/oak/projects/neuro-variants/variant_position/credible/roussos_2024/variant_figures/roussos_2024.adolescence.GLU/rs62053953_profile_position.png",4,220,900)</f>
        <v/>
      </c>
    </row>
    <row r="1621">
      <c r="A1621" t="inlineStr">
        <is>
          <t>chr17</t>
        </is>
      </c>
      <c r="B1621" t="n">
        <v>45672213</v>
      </c>
      <c r="C1621" t="inlineStr">
        <is>
          <t>T</t>
        </is>
      </c>
      <c r="D1621" t="inlineStr">
        <is>
          <t>C</t>
        </is>
      </c>
      <c r="E1621" t="inlineStr">
        <is>
          <t>rs17687534</t>
        </is>
      </c>
      <c r="F1621" t="n">
        <v>0.0329042954</v>
      </c>
      <c r="G1621" t="n">
        <v>0.1479713596252498</v>
      </c>
      <c r="H1621" t="n">
        <v>0.0083603216236081</v>
      </c>
      <c r="I1621" t="n">
        <v>0.7545058013036259</v>
      </c>
      <c r="J1621" t="n">
        <v>0.5890977416750613</v>
      </c>
      <c r="K1621" t="n">
        <v>0.0420655432463719</v>
      </c>
      <c r="L1621" t="b">
        <v>0</v>
      </c>
      <c r="M1621" t="b">
        <v>0</v>
      </c>
      <c r="N1621" t="inlineStr">
        <is>
          <t>alt</t>
        </is>
      </c>
      <c r="O1621" t="n">
        <v>100</v>
      </c>
      <c r="P1621" t="n">
        <v>0.013985</v>
      </c>
      <c r="Q1621" t="n">
        <v>95</v>
      </c>
      <c r="R1621" t="n">
        <v>0.0599</v>
      </c>
      <c r="S1621">
        <f>IMAGE("https://mitra.stanford.edu/kundaje/oak/projects/neuro-variants/variant_position/credible/roussos_2024/variant_figures/roussos_2024.adolescence.GLU/rs17687534_count_position.png",4,220,900)</f>
        <v/>
      </c>
      <c r="T1621">
        <f>IMAGE("https://mitra.stanford.edu/kundaje/oak/projects/neuro-variants/variant_position/credible/roussos_2024/variant_figures/roussos_2024.adolescence.GLU/rs17687534_profile_position.png",4,220,900)</f>
        <v/>
      </c>
    </row>
    <row r="1622">
      <c r="A1622" t="inlineStr">
        <is>
          <t>chr17</t>
        </is>
      </c>
      <c r="B1622" t="n">
        <v>45672576</v>
      </c>
      <c r="C1622" t="inlineStr">
        <is>
          <t>A</t>
        </is>
      </c>
      <c r="D1622" t="inlineStr">
        <is>
          <t>G</t>
        </is>
      </c>
      <c r="E1622" t="inlineStr">
        <is>
          <t>rs1631850</t>
        </is>
      </c>
      <c r="F1622" t="n">
        <v>0.0314237536</v>
      </c>
      <c r="G1622" t="n">
        <v>0.1523751506172778</v>
      </c>
      <c r="H1622" t="n">
        <v>0.0142217492125768</v>
      </c>
      <c r="I1622" t="n">
        <v>0.199526793951717</v>
      </c>
      <c r="J1622" t="n">
        <v>0.5730215544648535</v>
      </c>
      <c r="K1622" t="n">
        <v>0.0489912587434197</v>
      </c>
      <c r="L1622" t="b">
        <v>0</v>
      </c>
      <c r="M1622" t="b">
        <v>0</v>
      </c>
      <c r="N1622" t="inlineStr">
        <is>
          <t>alt</t>
        </is>
      </c>
      <c r="O1622" t="n">
        <v>-30</v>
      </c>
      <c r="P1622" t="n">
        <v>0.01004</v>
      </c>
      <c r="Q1622" t="n">
        <v>-30</v>
      </c>
      <c r="R1622" t="n">
        <v>0.0886</v>
      </c>
      <c r="S1622">
        <f>IMAGE("https://mitra.stanford.edu/kundaje/oak/projects/neuro-variants/variant_position/credible/roussos_2024/variant_figures/roussos_2024.adolescence.GLU/rs1631850_count_position.png",4,220,900)</f>
        <v/>
      </c>
      <c r="T1622">
        <f>IMAGE("https://mitra.stanford.edu/kundaje/oak/projects/neuro-variants/variant_position/credible/roussos_2024/variant_figures/roussos_2024.adolescence.GLU/rs1631850_profile_position.png",4,220,900)</f>
        <v/>
      </c>
    </row>
    <row r="1623">
      <c r="A1623" t="inlineStr">
        <is>
          <t>chr17</t>
        </is>
      </c>
      <c r="B1623" t="n">
        <v>45672614</v>
      </c>
      <c r="C1623" t="inlineStr">
        <is>
          <t>T</t>
        </is>
      </c>
      <c r="D1623" t="inlineStr">
        <is>
          <t>C</t>
        </is>
      </c>
      <c r="E1623" t="inlineStr">
        <is>
          <t>rs62053955</t>
        </is>
      </c>
      <c r="F1623" t="n">
        <v>0.0612735588</v>
      </c>
      <c r="G1623" t="n">
        <v>0.0355492096826073</v>
      </c>
      <c r="H1623" t="n">
        <v>0.0141729841609991</v>
      </c>
      <c r="I1623" t="n">
        <v>0.198281763179987</v>
      </c>
      <c r="J1623" t="n">
        <v>0.5682348486472197</v>
      </c>
      <c r="K1623" t="n">
        <v>0.0511319565489547</v>
      </c>
      <c r="L1623" t="b">
        <v>0</v>
      </c>
      <c r="M1623" t="b">
        <v>0</v>
      </c>
      <c r="N1623" t="inlineStr">
        <is>
          <t>alt</t>
        </is>
      </c>
      <c r="O1623" t="n">
        <v>-70</v>
      </c>
      <c r="P1623" t="n">
        <v>0.0319</v>
      </c>
      <c r="Q1623" t="n">
        <v>-70</v>
      </c>
      <c r="R1623" t="n">
        <v>0.2253</v>
      </c>
      <c r="S1623">
        <f>IMAGE("https://mitra.stanford.edu/kundaje/oak/projects/neuro-variants/variant_position/credible/roussos_2024/variant_figures/roussos_2024.adolescence.GLU/rs62053955_count_position.png",4,220,900)</f>
        <v/>
      </c>
      <c r="T1623">
        <f>IMAGE("https://mitra.stanford.edu/kundaje/oak/projects/neuro-variants/variant_position/credible/roussos_2024/variant_figures/roussos_2024.adolescence.GLU/rs62053955_profile_position.png",4,220,900)</f>
        <v/>
      </c>
    </row>
    <row r="1624">
      <c r="A1624" t="inlineStr">
        <is>
          <t>chr17</t>
        </is>
      </c>
      <c r="B1624" t="n">
        <v>45675200</v>
      </c>
      <c r="C1624" t="inlineStr">
        <is>
          <t>C</t>
        </is>
      </c>
      <c r="D1624" t="inlineStr">
        <is>
          <t>T</t>
        </is>
      </c>
      <c r="E1624" t="inlineStr">
        <is>
          <t>rs62055662</t>
        </is>
      </c>
      <c r="F1624" t="n">
        <v>-0.0055156196494</v>
      </c>
      <c r="G1624" t="n">
        <v>0.697774790991147</v>
      </c>
      <c r="H1624" t="n">
        <v>0.0083140410898412</v>
      </c>
      <c r="I1624" t="n">
        <v>0.760354069483805</v>
      </c>
      <c r="J1624" t="n">
        <v>0.2437862128583777</v>
      </c>
      <c r="K1624" t="n">
        <v>0.3431153804497068</v>
      </c>
      <c r="L1624" t="b">
        <v>0</v>
      </c>
      <c r="M1624" t="b">
        <v>0</v>
      </c>
      <c r="N1624" t="inlineStr">
        <is>
          <t>ref</t>
        </is>
      </c>
      <c r="O1624" t="n">
        <v>95</v>
      </c>
      <c r="P1624" t="n">
        <v>0.01479</v>
      </c>
      <c r="Q1624" t="n">
        <v>10</v>
      </c>
      <c r="R1624" t="n">
        <v>0.00928</v>
      </c>
      <c r="S1624">
        <f>IMAGE("https://mitra.stanford.edu/kundaje/oak/projects/neuro-variants/variant_position/credible/roussos_2024/variant_figures/roussos_2024.adolescence.GLU/rs62055662_count_position.png",4,220,900)</f>
        <v/>
      </c>
      <c r="T1624">
        <f>IMAGE("https://mitra.stanford.edu/kundaje/oak/projects/neuro-variants/variant_position/credible/roussos_2024/variant_figures/roussos_2024.adolescence.GLU/rs62055662_profile_position.png",4,220,900)</f>
        <v/>
      </c>
    </row>
    <row r="1625">
      <c r="A1625" t="inlineStr">
        <is>
          <t>chr17</t>
        </is>
      </c>
      <c r="B1625" t="n">
        <v>45679467</v>
      </c>
      <c r="C1625" t="inlineStr">
        <is>
          <t>C</t>
        </is>
      </c>
      <c r="D1625" t="inlineStr">
        <is>
          <t>A</t>
        </is>
      </c>
      <c r="E1625" t="inlineStr">
        <is>
          <t>rs757500</t>
        </is>
      </c>
      <c r="F1625" t="n">
        <v>0.0225753455999999</v>
      </c>
      <c r="G1625" t="n">
        <v>0.2453046229171402</v>
      </c>
      <c r="H1625" t="n">
        <v>0.0161157179805434</v>
      </c>
      <c r="I1625" t="n">
        <v>0.1342753363250035</v>
      </c>
      <c r="J1625" t="n">
        <v>0.3883104357331161</v>
      </c>
      <c r="K1625" t="n">
        <v>0.1776891017534755</v>
      </c>
      <c r="L1625" t="b">
        <v>0</v>
      </c>
      <c r="M1625" t="b">
        <v>0</v>
      </c>
      <c r="N1625" t="inlineStr">
        <is>
          <t>alt</t>
        </is>
      </c>
      <c r="O1625" t="n">
        <v>45</v>
      </c>
      <c r="P1625" t="n">
        <v>0.01018</v>
      </c>
      <c r="Q1625" t="n">
        <v>35</v>
      </c>
      <c r="R1625" t="n">
        <v>0.0492</v>
      </c>
      <c r="S1625">
        <f>IMAGE("https://mitra.stanford.edu/kundaje/oak/projects/neuro-variants/variant_position/credible/roussos_2024/variant_figures/roussos_2024.adolescence.GLU/rs757500_count_position.png",4,220,900)</f>
        <v/>
      </c>
      <c r="T1625">
        <f>IMAGE("https://mitra.stanford.edu/kundaje/oak/projects/neuro-variants/variant_position/credible/roussos_2024/variant_figures/roussos_2024.adolescence.GLU/rs757500_profile_position.png",4,220,900)</f>
        <v/>
      </c>
    </row>
    <row r="1626">
      <c r="A1626" t="inlineStr">
        <is>
          <t>chr17</t>
        </is>
      </c>
      <c r="B1626" t="n">
        <v>45679544</v>
      </c>
      <c r="C1626" t="inlineStr">
        <is>
          <t>T</t>
        </is>
      </c>
      <c r="D1626" t="inlineStr">
        <is>
          <t>C</t>
        </is>
      </c>
      <c r="E1626" t="inlineStr">
        <is>
          <t>rs62055693</t>
        </is>
      </c>
      <c r="F1626" t="n">
        <v>-0.0389661773999999</v>
      </c>
      <c r="G1626" t="n">
        <v>0.1187786789738173</v>
      </c>
      <c r="H1626" t="n">
        <v>0.0182950699528387</v>
      </c>
      <c r="I1626" t="n">
        <v>0.0930933879254477</v>
      </c>
      <c r="J1626" t="n">
        <v>0.3836008887555279</v>
      </c>
      <c r="K1626" t="n">
        <v>0.1824093457051016</v>
      </c>
      <c r="L1626" t="b">
        <v>0</v>
      </c>
      <c r="M1626" t="b">
        <v>0</v>
      </c>
      <c r="N1626" t="inlineStr">
        <is>
          <t>ref</t>
        </is>
      </c>
      <c r="O1626" t="n">
        <v>95</v>
      </c>
      <c r="P1626" t="n">
        <v>0.003235</v>
      </c>
      <c r="Q1626" t="n">
        <v>95</v>
      </c>
      <c r="R1626" t="n">
        <v>0.07630000000000001</v>
      </c>
      <c r="S1626">
        <f>IMAGE("https://mitra.stanford.edu/kundaje/oak/projects/neuro-variants/variant_position/credible/roussos_2024/variant_figures/roussos_2024.adolescence.GLU/rs62055693_count_position.png",4,220,900)</f>
        <v/>
      </c>
      <c r="T1626">
        <f>IMAGE("https://mitra.stanford.edu/kundaje/oak/projects/neuro-variants/variant_position/credible/roussos_2024/variant_figures/roussos_2024.adolescence.GLU/rs62055693_profile_position.png",4,220,900)</f>
        <v/>
      </c>
    </row>
    <row r="1627">
      <c r="A1627" t="inlineStr">
        <is>
          <t>chr17</t>
        </is>
      </c>
      <c r="B1627" t="n">
        <v>45682353</v>
      </c>
      <c r="C1627" t="inlineStr">
        <is>
          <t>A</t>
        </is>
      </c>
      <c r="D1627" t="inlineStr">
        <is>
          <t>G</t>
        </is>
      </c>
      <c r="E1627" t="inlineStr">
        <is>
          <t>rs17687849</t>
        </is>
      </c>
      <c r="F1627" t="n">
        <v>0.014155494</v>
      </c>
      <c r="G1627" t="n">
        <v>0.3915940622156715</v>
      </c>
      <c r="H1627" t="n">
        <v>0.008871936588625499</v>
      </c>
      <c r="I1627" t="n">
        <v>0.6442540506053367</v>
      </c>
      <c r="J1627" t="n">
        <v>0.3110229976209357</v>
      </c>
      <c r="K1627" t="n">
        <v>0.259179134626969</v>
      </c>
      <c r="L1627" t="b">
        <v>0</v>
      </c>
      <c r="M1627" t="b">
        <v>0</v>
      </c>
      <c r="N1627" t="inlineStr">
        <is>
          <t>alt</t>
        </is>
      </c>
      <c r="O1627" t="n">
        <v>-95</v>
      </c>
      <c r="P1627" t="n">
        <v>0.003521</v>
      </c>
      <c r="Q1627" t="n">
        <v>20</v>
      </c>
      <c r="R1627" t="n">
        <v>0.02309</v>
      </c>
      <c r="S1627">
        <f>IMAGE("https://mitra.stanford.edu/kundaje/oak/projects/neuro-variants/variant_position/credible/roussos_2024/variant_figures/roussos_2024.adolescence.GLU/rs17687849_count_position.png",4,220,900)</f>
        <v/>
      </c>
      <c r="T1627">
        <f>IMAGE("https://mitra.stanford.edu/kundaje/oak/projects/neuro-variants/variant_position/credible/roussos_2024/variant_figures/roussos_2024.adolescence.GLU/rs17687849_profile_position.png",4,220,900)</f>
        <v/>
      </c>
    </row>
    <row r="1628">
      <c r="A1628" t="inlineStr">
        <is>
          <t>chr17</t>
        </is>
      </c>
      <c r="B1628" t="n">
        <v>45683319</v>
      </c>
      <c r="C1628" t="inlineStr">
        <is>
          <t>T</t>
        </is>
      </c>
      <c r="D1628" t="inlineStr">
        <is>
          <t>C</t>
        </is>
      </c>
      <c r="E1628" t="inlineStr">
        <is>
          <t>rs62055706</t>
        </is>
      </c>
      <c r="F1628" t="n">
        <v>0.0018563884179999</v>
      </c>
      <c r="G1628" t="n">
        <v>0.8182521733309451</v>
      </c>
      <c r="H1628" t="n">
        <v>0.0192477875254496</v>
      </c>
      <c r="I1628" t="n">
        <v>0.06794498473414889</v>
      </c>
      <c r="J1628" t="n">
        <v>0.0361446299590629</v>
      </c>
      <c r="K1628" t="n">
        <v>0.7548228796079512</v>
      </c>
      <c r="L1628" t="b">
        <v>0</v>
      </c>
      <c r="M1628" t="b">
        <v>0</v>
      </c>
      <c r="N1628" t="inlineStr">
        <is>
          <t>alt</t>
        </is>
      </c>
      <c r="O1628" t="n">
        <v>-25</v>
      </c>
      <c r="P1628" t="n">
        <v>0.002642</v>
      </c>
      <c r="Q1628" t="n">
        <v>-100</v>
      </c>
      <c r="R1628" t="n">
        <v>0.08203000000000001</v>
      </c>
      <c r="S1628">
        <f>IMAGE("https://mitra.stanford.edu/kundaje/oak/projects/neuro-variants/variant_position/credible/roussos_2024/variant_figures/roussos_2024.adolescence.GLU/rs62055706_count_position.png",4,220,900)</f>
        <v/>
      </c>
      <c r="T1628">
        <f>IMAGE("https://mitra.stanford.edu/kundaje/oak/projects/neuro-variants/variant_position/credible/roussos_2024/variant_figures/roussos_2024.adolescence.GLU/rs62055706_profile_position.png",4,220,900)</f>
        <v/>
      </c>
    </row>
    <row r="1629">
      <c r="A1629" t="inlineStr">
        <is>
          <t>chr17</t>
        </is>
      </c>
      <c r="B1629" t="n">
        <v>45684573</v>
      </c>
      <c r="C1629" t="inlineStr">
        <is>
          <t>G</t>
        </is>
      </c>
      <c r="D1629" t="inlineStr">
        <is>
          <t>C</t>
        </is>
      </c>
      <c r="E1629" t="inlineStr">
        <is>
          <t>rs2158474</t>
        </is>
      </c>
      <c r="F1629" t="n">
        <v>-0.0152752804</v>
      </c>
      <c r="G1629" t="n">
        <v>0.4158466124190685</v>
      </c>
      <c r="H1629" t="n">
        <v>0.009097916901349401</v>
      </c>
      <c r="I1629" t="n">
        <v>0.649162573050827</v>
      </c>
      <c r="J1629" t="n">
        <v>0.08403740774874779</v>
      </c>
      <c r="K1629" t="n">
        <v>0.6011108727554734</v>
      </c>
      <c r="L1629" t="b">
        <v>0</v>
      </c>
      <c r="M1629" t="b">
        <v>0</v>
      </c>
      <c r="N1629" t="inlineStr">
        <is>
          <t>ref</t>
        </is>
      </c>
      <c r="O1629" t="n">
        <v>100</v>
      </c>
      <c r="P1629" t="n">
        <v>0.01923</v>
      </c>
      <c r="Q1629" t="n">
        <v>-20</v>
      </c>
      <c r="R1629" t="n">
        <v>0.01715</v>
      </c>
      <c r="S1629">
        <f>IMAGE("https://mitra.stanford.edu/kundaje/oak/projects/neuro-variants/variant_position/credible/roussos_2024/variant_figures/roussos_2024.adolescence.GLU/rs2158474_count_position.png",4,220,900)</f>
        <v/>
      </c>
      <c r="T1629">
        <f>IMAGE("https://mitra.stanford.edu/kundaje/oak/projects/neuro-variants/variant_position/credible/roussos_2024/variant_figures/roussos_2024.adolescence.GLU/rs2158474_profile_position.png",4,220,900)</f>
        <v/>
      </c>
    </row>
    <row r="1630">
      <c r="A1630" t="inlineStr">
        <is>
          <t>chr17</t>
        </is>
      </c>
      <c r="B1630" t="n">
        <v>45684608</v>
      </c>
      <c r="C1630" t="inlineStr">
        <is>
          <t>C</t>
        </is>
      </c>
      <c r="D1630" t="inlineStr">
        <is>
          <t>A</t>
        </is>
      </c>
      <c r="E1630" t="inlineStr">
        <is>
          <t>rs62055708</t>
        </is>
      </c>
      <c r="F1630" t="n">
        <v>-0.09384777478</v>
      </c>
      <c r="G1630" t="n">
        <v>0.0284756784642072</v>
      </c>
      <c r="H1630" t="n">
        <v>0.029497232715493</v>
      </c>
      <c r="I1630" t="n">
        <v>0.0271630910494041</v>
      </c>
      <c r="J1630" t="n">
        <v>0.0940894899657785</v>
      </c>
      <c r="K1630" t="n">
        <v>0.5783874757476155</v>
      </c>
      <c r="L1630" t="b">
        <v>0</v>
      </c>
      <c r="M1630" t="b">
        <v>0</v>
      </c>
      <c r="N1630" t="inlineStr">
        <is>
          <t>ref</t>
        </is>
      </c>
      <c r="O1630" t="n">
        <v>100</v>
      </c>
      <c r="P1630" t="n">
        <v>0.02765</v>
      </c>
      <c r="Q1630" t="n">
        <v>30</v>
      </c>
      <c r="R1630" t="n">
        <v>0.04437</v>
      </c>
      <c r="S1630">
        <f>IMAGE("https://mitra.stanford.edu/kundaje/oak/projects/neuro-variants/variant_position/credible/roussos_2024/variant_figures/roussos_2024.adolescence.GLU/rs62055708_count_position.png",4,220,900)</f>
        <v/>
      </c>
      <c r="T1630">
        <f>IMAGE("https://mitra.stanford.edu/kundaje/oak/projects/neuro-variants/variant_position/credible/roussos_2024/variant_figures/roussos_2024.adolescence.GLU/rs62055708_profile_position.png",4,220,900)</f>
        <v/>
      </c>
    </row>
    <row r="1631">
      <c r="A1631" t="inlineStr">
        <is>
          <t>chr17</t>
        </is>
      </c>
      <c r="B1631" t="n">
        <v>45687430</v>
      </c>
      <c r="C1631" t="inlineStr">
        <is>
          <t>G</t>
        </is>
      </c>
      <c r="D1631" t="inlineStr">
        <is>
          <t>T</t>
        </is>
      </c>
      <c r="E1631" t="inlineStr">
        <is>
          <t>rs62055714</t>
        </is>
      </c>
      <c r="F1631" t="n">
        <v>-0.00809365584</v>
      </c>
      <c r="G1631" t="n">
        <v>0.6090203711875738</v>
      </c>
      <c r="H1631" t="n">
        <v>0.0104501683863109</v>
      </c>
      <c r="I1631" t="n">
        <v>0.4836490808326585</v>
      </c>
      <c r="J1631" t="n">
        <v>0.1934815068835687</v>
      </c>
      <c r="K1631" t="n">
        <v>0.4079618258723109</v>
      </c>
      <c r="L1631" t="b">
        <v>0</v>
      </c>
      <c r="M1631" t="b">
        <v>0</v>
      </c>
      <c r="N1631" t="inlineStr">
        <is>
          <t>ref</t>
        </is>
      </c>
      <c r="O1631" t="n">
        <v>85</v>
      </c>
      <c r="P1631" t="n">
        <v>0.002613</v>
      </c>
      <c r="Q1631" t="n">
        <v>100</v>
      </c>
      <c r="R1631" t="n">
        <v>0.1162</v>
      </c>
      <c r="S1631">
        <f>IMAGE("https://mitra.stanford.edu/kundaje/oak/projects/neuro-variants/variant_position/credible/roussos_2024/variant_figures/roussos_2024.adolescence.GLU/rs62055714_count_position.png",4,220,900)</f>
        <v/>
      </c>
      <c r="T1631">
        <f>IMAGE("https://mitra.stanford.edu/kundaje/oak/projects/neuro-variants/variant_position/credible/roussos_2024/variant_figures/roussos_2024.adolescence.GLU/rs62055714_profile_position.png",4,220,900)</f>
        <v/>
      </c>
    </row>
    <row r="1632">
      <c r="A1632" t="inlineStr">
        <is>
          <t>chr17</t>
        </is>
      </c>
      <c r="B1632" t="n">
        <v>45691267</v>
      </c>
      <c r="C1632" t="inlineStr">
        <is>
          <t>G</t>
        </is>
      </c>
      <c r="D1632" t="inlineStr">
        <is>
          <t>A</t>
        </is>
      </c>
      <c r="E1632" t="inlineStr">
        <is>
          <t>rs56323832</t>
        </is>
      </c>
      <c r="F1632" t="n">
        <v>0.0162863978</v>
      </c>
      <c r="G1632" t="n">
        <v>0.3450398255135564</v>
      </c>
      <c r="H1632" t="n">
        <v>0.0084338857049367</v>
      </c>
      <c r="I1632" t="n">
        <v>0.7101326093503056</v>
      </c>
      <c r="J1632" t="n">
        <v>0.4879382157732673</v>
      </c>
      <c r="K1632" t="n">
        <v>0.09648947707920839</v>
      </c>
      <c r="L1632" t="b">
        <v>0</v>
      </c>
      <c r="M1632" t="b">
        <v>0</v>
      </c>
      <c r="N1632" t="inlineStr">
        <is>
          <t>alt</t>
        </is>
      </c>
      <c r="O1632" t="n">
        <v>-100</v>
      </c>
      <c r="P1632" t="n">
        <v>0.00856</v>
      </c>
      <c r="Q1632" t="n">
        <v>-35</v>
      </c>
      <c r="R1632" t="n">
        <v>0.04144</v>
      </c>
      <c r="S1632">
        <f>IMAGE("https://mitra.stanford.edu/kundaje/oak/projects/neuro-variants/variant_position/credible/roussos_2024/variant_figures/roussos_2024.adolescence.GLU/rs56323832_count_position.png",4,220,900)</f>
        <v/>
      </c>
      <c r="T1632">
        <f>IMAGE("https://mitra.stanford.edu/kundaje/oak/projects/neuro-variants/variant_position/credible/roussos_2024/variant_figures/roussos_2024.adolescence.GLU/rs56323832_profile_position.png",4,220,900)</f>
        <v/>
      </c>
    </row>
    <row r="1633">
      <c r="A1633" t="inlineStr">
        <is>
          <t>chr17</t>
        </is>
      </c>
      <c r="B1633" t="n">
        <v>45693629</v>
      </c>
      <c r="C1633" t="inlineStr">
        <is>
          <t>G</t>
        </is>
      </c>
      <c r="D1633" t="inlineStr">
        <is>
          <t>A</t>
        </is>
      </c>
      <c r="E1633" t="inlineStr">
        <is>
          <t>rs62056864</t>
        </is>
      </c>
      <c r="F1633" t="n">
        <v>-0.0205158956</v>
      </c>
      <c r="G1633" t="n">
        <v>0.2896625323949838</v>
      </c>
      <c r="H1633" t="n">
        <v>0.0083003167798787</v>
      </c>
      <c r="I1633" t="n">
        <v>0.7580594852823481</v>
      </c>
      <c r="J1633" t="n">
        <v>0.09370226689814309</v>
      </c>
      <c r="K1633" t="n">
        <v>0.5805573217071532</v>
      </c>
      <c r="L1633" t="b">
        <v>0</v>
      </c>
      <c r="M1633" t="b">
        <v>0</v>
      </c>
      <c r="N1633" t="inlineStr">
        <is>
          <t>ref</t>
        </is>
      </c>
      <c r="O1633" t="n">
        <v>-100</v>
      </c>
      <c r="P1633" t="n">
        <v>0.02606</v>
      </c>
      <c r="Q1633" t="n">
        <v>-100</v>
      </c>
      <c r="R1633" t="n">
        <v>0.06866</v>
      </c>
      <c r="S1633">
        <f>IMAGE("https://mitra.stanford.edu/kundaje/oak/projects/neuro-variants/variant_position/credible/roussos_2024/variant_figures/roussos_2024.adolescence.GLU/rs62056864_count_position.png",4,220,900)</f>
        <v/>
      </c>
      <c r="T1633">
        <f>IMAGE("https://mitra.stanford.edu/kundaje/oak/projects/neuro-variants/variant_position/credible/roussos_2024/variant_figures/roussos_2024.adolescence.GLU/rs62056864_profile_position.png",4,220,900)</f>
        <v/>
      </c>
    </row>
    <row r="1634">
      <c r="A1634" t="inlineStr">
        <is>
          <t>chr17</t>
        </is>
      </c>
      <c r="B1634" t="n">
        <v>45694652</v>
      </c>
      <c r="C1634" t="inlineStr">
        <is>
          <t>G</t>
        </is>
      </c>
      <c r="D1634" t="inlineStr">
        <is>
          <t>T</t>
        </is>
      </c>
      <c r="E1634" t="inlineStr">
        <is>
          <t>rs56200760</t>
        </is>
      </c>
      <c r="F1634" t="n">
        <v>0.0175994904</v>
      </c>
      <c r="G1634" t="n">
        <v>0.3181289180539509</v>
      </c>
      <c r="H1634" t="n">
        <v>0.0235262634254437</v>
      </c>
      <c r="I1634" t="n">
        <v>0.0283918447284305</v>
      </c>
      <c r="J1634" t="n">
        <v>0.2198298218916775</v>
      </c>
      <c r="K1634" t="n">
        <v>0.3707369224348194</v>
      </c>
      <c r="L1634" t="b">
        <v>0</v>
      </c>
      <c r="M1634" t="b">
        <v>0</v>
      </c>
      <c r="N1634" t="inlineStr">
        <is>
          <t>alt</t>
        </is>
      </c>
      <c r="O1634" t="n">
        <v>-100</v>
      </c>
      <c r="P1634" t="n">
        <v>0.00894</v>
      </c>
      <c r="Q1634" t="n">
        <v>100</v>
      </c>
      <c r="R1634" t="n">
        <v>0.1523</v>
      </c>
      <c r="S1634">
        <f>IMAGE("https://mitra.stanford.edu/kundaje/oak/projects/neuro-variants/variant_position/credible/roussos_2024/variant_figures/roussos_2024.adolescence.GLU/rs56200760_count_position.png",4,220,900)</f>
        <v/>
      </c>
      <c r="T1634">
        <f>IMAGE("https://mitra.stanford.edu/kundaje/oak/projects/neuro-variants/variant_position/credible/roussos_2024/variant_figures/roussos_2024.adolescence.GLU/rs56200760_profile_position.png",4,220,900)</f>
        <v/>
      </c>
    </row>
    <row r="1635">
      <c r="A1635" t="inlineStr">
        <is>
          <t>chr17</t>
        </is>
      </c>
      <c r="B1635" t="n">
        <v>45694743</v>
      </c>
      <c r="C1635" t="inlineStr">
        <is>
          <t>C</t>
        </is>
      </c>
      <c r="D1635" t="inlineStr">
        <is>
          <t>A</t>
        </is>
      </c>
      <c r="E1635" t="inlineStr">
        <is>
          <t>rs17688391</t>
        </is>
      </c>
      <c r="F1635" t="n">
        <v>0.0152175453999999</v>
      </c>
      <c r="G1635" t="n">
        <v>0.3654373629381369</v>
      </c>
      <c r="H1635" t="n">
        <v>0.0180403239438477</v>
      </c>
      <c r="I1635" t="n">
        <v>0.084725181643069</v>
      </c>
      <c r="J1635" t="n">
        <v>0.2576290803094926</v>
      </c>
      <c r="K1635" t="n">
        <v>0.321847227165311</v>
      </c>
      <c r="L1635" t="b">
        <v>0</v>
      </c>
      <c r="M1635" t="b">
        <v>0</v>
      </c>
      <c r="N1635" t="inlineStr">
        <is>
          <t>alt</t>
        </is>
      </c>
      <c r="O1635" t="n">
        <v>80</v>
      </c>
      <c r="P1635" t="n">
        <v>0.008765999999999999</v>
      </c>
      <c r="Q1635" t="n">
        <v>45</v>
      </c>
      <c r="R1635" t="n">
        <v>0.04382</v>
      </c>
      <c r="S1635">
        <f>IMAGE("https://mitra.stanford.edu/kundaje/oak/projects/neuro-variants/variant_position/credible/roussos_2024/variant_figures/roussos_2024.adolescence.GLU/rs17688391_count_position.png",4,220,900)</f>
        <v/>
      </c>
      <c r="T1635">
        <f>IMAGE("https://mitra.stanford.edu/kundaje/oak/projects/neuro-variants/variant_position/credible/roussos_2024/variant_figures/roussos_2024.adolescence.GLU/rs17688391_profile_position.png",4,220,900)</f>
        <v/>
      </c>
    </row>
    <row r="1636">
      <c r="A1636" t="inlineStr">
        <is>
          <t>chr17</t>
        </is>
      </c>
      <c r="B1636" t="n">
        <v>45694885</v>
      </c>
      <c r="C1636" t="inlineStr">
        <is>
          <t>C</t>
        </is>
      </c>
      <c r="D1636" t="inlineStr">
        <is>
          <t>T</t>
        </is>
      </c>
      <c r="E1636" t="inlineStr">
        <is>
          <t>rs17688410</t>
        </is>
      </c>
      <c r="F1636" t="n">
        <v>-0.0461523034</v>
      </c>
      <c r="G1636" t="n">
        <v>0.0823332334901319</v>
      </c>
      <c r="H1636" t="n">
        <v>0.0125317788978951</v>
      </c>
      <c r="I1636" t="n">
        <v>0.2864676613818182</v>
      </c>
      <c r="J1636" t="n">
        <v>0.3084724692972115</v>
      </c>
      <c r="K1636" t="n">
        <v>0.2618468445732813</v>
      </c>
      <c r="L1636" t="b">
        <v>0</v>
      </c>
      <c r="M1636" t="b">
        <v>0</v>
      </c>
      <c r="N1636" t="inlineStr">
        <is>
          <t>ref</t>
        </is>
      </c>
      <c r="O1636" t="n">
        <v>-25</v>
      </c>
      <c r="P1636" t="n">
        <v>0.00224</v>
      </c>
      <c r="Q1636" t="n">
        <v>-95</v>
      </c>
      <c r="R1636" t="n">
        <v>0.0631</v>
      </c>
      <c r="S1636">
        <f>IMAGE("https://mitra.stanford.edu/kundaje/oak/projects/neuro-variants/variant_position/credible/roussos_2024/variant_figures/roussos_2024.adolescence.GLU/rs17688410_count_position.png",4,220,900)</f>
        <v/>
      </c>
      <c r="T1636">
        <f>IMAGE("https://mitra.stanford.edu/kundaje/oak/projects/neuro-variants/variant_position/credible/roussos_2024/variant_figures/roussos_2024.adolescence.GLU/rs17688410_profile_position.png",4,220,900)</f>
        <v/>
      </c>
    </row>
    <row r="1637">
      <c r="A1637" t="inlineStr">
        <is>
          <t>chr17</t>
        </is>
      </c>
      <c r="B1637" t="n">
        <v>45696577</v>
      </c>
      <c r="C1637" t="inlineStr">
        <is>
          <t>A</t>
        </is>
      </c>
      <c r="D1637" t="inlineStr">
        <is>
          <t>G</t>
        </is>
      </c>
      <c r="E1637" t="inlineStr">
        <is>
          <t>rs17688558</t>
        </is>
      </c>
      <c r="F1637" t="n">
        <v>0.02398242528</v>
      </c>
      <c r="G1637" t="n">
        <v>0.2645001523150542</v>
      </c>
      <c r="H1637" t="n">
        <v>0.0110442421579713</v>
      </c>
      <c r="I1637" t="n">
        <v>0.4137817133178146</v>
      </c>
      <c r="J1637" t="n">
        <v>0.1402576247937072</v>
      </c>
      <c r="K1637" t="n">
        <v>0.4890312722078048</v>
      </c>
      <c r="L1637" t="b">
        <v>0</v>
      </c>
      <c r="M1637" t="b">
        <v>0</v>
      </c>
      <c r="N1637" t="inlineStr">
        <is>
          <t>alt</t>
        </is>
      </c>
      <c r="O1637" t="n">
        <v>60</v>
      </c>
      <c r="P1637" t="n">
        <v>0.003904</v>
      </c>
      <c r="Q1637" t="n">
        <v>-65</v>
      </c>
      <c r="R1637" t="n">
        <v>0.0348</v>
      </c>
      <c r="S1637">
        <f>IMAGE("https://mitra.stanford.edu/kundaje/oak/projects/neuro-variants/variant_position/credible/roussos_2024/variant_figures/roussos_2024.adolescence.GLU/rs17688558_count_position.png",4,220,900)</f>
        <v/>
      </c>
      <c r="T1637">
        <f>IMAGE("https://mitra.stanford.edu/kundaje/oak/projects/neuro-variants/variant_position/credible/roussos_2024/variant_figures/roussos_2024.adolescence.GLU/rs17688558_profile_position.png",4,220,900)</f>
        <v/>
      </c>
    </row>
    <row r="1638">
      <c r="A1638" t="inlineStr">
        <is>
          <t>chr17</t>
        </is>
      </c>
      <c r="B1638" t="n">
        <v>45697131</v>
      </c>
      <c r="C1638" t="inlineStr">
        <is>
          <t>A</t>
        </is>
      </c>
      <c r="D1638" t="inlineStr">
        <is>
          <t>T</t>
        </is>
      </c>
      <c r="E1638" t="inlineStr">
        <is>
          <t>rs56162163</t>
        </is>
      </c>
      <c r="F1638" t="n">
        <v>0.0052964229</v>
      </c>
      <c r="G1638" t="n">
        <v>0.7078608778057646</v>
      </c>
      <c r="H1638" t="n">
        <v>0.0127753645195976</v>
      </c>
      <c r="I1638" t="n">
        <v>0.2621270818016643</v>
      </c>
      <c r="J1638" t="n">
        <v>0.1319530474169649</v>
      </c>
      <c r="K1638" t="n">
        <v>0.5112680891794058</v>
      </c>
      <c r="L1638" t="b">
        <v>0</v>
      </c>
      <c r="M1638" t="b">
        <v>0</v>
      </c>
      <c r="N1638" t="inlineStr">
        <is>
          <t>alt</t>
        </is>
      </c>
      <c r="O1638" t="n">
        <v>-75</v>
      </c>
      <c r="P1638" t="n">
        <v>0.0001793</v>
      </c>
      <c r="Q1638" t="n">
        <v>35</v>
      </c>
      <c r="R1638" t="n">
        <v>0.02008</v>
      </c>
      <c r="S1638">
        <f>IMAGE("https://mitra.stanford.edu/kundaje/oak/projects/neuro-variants/variant_position/credible/roussos_2024/variant_figures/roussos_2024.adolescence.GLU/rs56162163_count_position.png",4,220,900)</f>
        <v/>
      </c>
      <c r="T1638">
        <f>IMAGE("https://mitra.stanford.edu/kundaje/oak/projects/neuro-variants/variant_position/credible/roussos_2024/variant_figures/roussos_2024.adolescence.GLU/rs56162163_profile_position.png",4,220,900)</f>
        <v/>
      </c>
    </row>
    <row r="1639">
      <c r="A1639" t="inlineStr">
        <is>
          <t>chr17</t>
        </is>
      </c>
      <c r="B1639" t="n">
        <v>45697479</v>
      </c>
      <c r="C1639" t="inlineStr">
        <is>
          <t>C</t>
        </is>
      </c>
      <c r="D1639" t="inlineStr">
        <is>
          <t>T</t>
        </is>
      </c>
      <c r="E1639" t="inlineStr">
        <is>
          <t>rs56391096</t>
        </is>
      </c>
      <c r="F1639" t="n">
        <v>-0.0071066410599999</v>
      </c>
      <c r="G1639" t="n">
        <v>0.633510000150969</v>
      </c>
      <c r="H1639" t="n">
        <v>0.0172950527857244</v>
      </c>
      <c r="I1639" t="n">
        <v>0.0988328088601742</v>
      </c>
      <c r="J1639" t="n">
        <v>0.164785562723707</v>
      </c>
      <c r="K1639" t="n">
        <v>0.4574375226289264</v>
      </c>
      <c r="L1639" t="b">
        <v>0</v>
      </c>
      <c r="M1639" t="b">
        <v>0</v>
      </c>
      <c r="N1639" t="inlineStr">
        <is>
          <t>ref</t>
        </is>
      </c>
      <c r="O1639" t="n">
        <v>-30</v>
      </c>
      <c r="P1639" t="n">
        <v>0.001026</v>
      </c>
      <c r="Q1639" t="n">
        <v>-95</v>
      </c>
      <c r="R1639" t="n">
        <v>0.03705</v>
      </c>
      <c r="S1639">
        <f>IMAGE("https://mitra.stanford.edu/kundaje/oak/projects/neuro-variants/variant_position/credible/roussos_2024/variant_figures/roussos_2024.adolescence.GLU/rs56391096_count_position.png",4,220,900)</f>
        <v/>
      </c>
      <c r="T1639">
        <f>IMAGE("https://mitra.stanford.edu/kundaje/oak/projects/neuro-variants/variant_position/credible/roussos_2024/variant_figures/roussos_2024.adolescence.GLU/rs56391096_profile_position.png",4,220,900)</f>
        <v/>
      </c>
    </row>
    <row r="1640">
      <c r="A1640" t="inlineStr">
        <is>
          <t>chr17</t>
        </is>
      </c>
      <c r="B1640" t="n">
        <v>45697649</v>
      </c>
      <c r="C1640" t="inlineStr">
        <is>
          <t>T</t>
        </is>
      </c>
      <c r="D1640" t="inlineStr">
        <is>
          <t>C</t>
        </is>
      </c>
      <c r="E1640" t="inlineStr">
        <is>
          <t>rs62056872</t>
        </is>
      </c>
      <c r="F1640" t="n">
        <v>0.0066344038859999</v>
      </c>
      <c r="G1640" t="n">
        <v>0.6192301102981483</v>
      </c>
      <c r="H1640" t="n">
        <v>0.0101296219310578</v>
      </c>
      <c r="I1640" t="n">
        <v>0.5267892411225975</v>
      </c>
      <c r="J1640" t="n">
        <v>0.1860999778525551</v>
      </c>
      <c r="K1640" t="n">
        <v>0.4238317143831299</v>
      </c>
      <c r="L1640" t="b">
        <v>0</v>
      </c>
      <c r="M1640" t="b">
        <v>0</v>
      </c>
      <c r="N1640" t="inlineStr">
        <is>
          <t>alt</t>
        </is>
      </c>
      <c r="O1640" t="n">
        <v>65</v>
      </c>
      <c r="P1640" t="n">
        <v>0.007675</v>
      </c>
      <c r="Q1640" t="n">
        <v>95</v>
      </c>
      <c r="R1640" t="n">
        <v>0.1927</v>
      </c>
      <c r="S1640">
        <f>IMAGE("https://mitra.stanford.edu/kundaje/oak/projects/neuro-variants/variant_position/credible/roussos_2024/variant_figures/roussos_2024.adolescence.GLU/rs62056872_count_position.png",4,220,900)</f>
        <v/>
      </c>
      <c r="T1640">
        <f>IMAGE("https://mitra.stanford.edu/kundaje/oak/projects/neuro-variants/variant_position/credible/roussos_2024/variant_figures/roussos_2024.adolescence.GLU/rs62056872_profile_position.png",4,220,900)</f>
        <v/>
      </c>
    </row>
    <row r="1641">
      <c r="A1641" t="inlineStr">
        <is>
          <t>chr17</t>
        </is>
      </c>
      <c r="B1641" t="n">
        <v>45698036</v>
      </c>
      <c r="C1641" t="inlineStr">
        <is>
          <t>T</t>
        </is>
      </c>
      <c r="D1641" t="inlineStr">
        <is>
          <t>C</t>
        </is>
      </c>
      <c r="E1641" t="inlineStr">
        <is>
          <t>rs12150608</t>
        </is>
      </c>
      <c r="F1641" t="n">
        <v>0.0254605132</v>
      </c>
      <c r="G1641" t="n">
        <v>0.2120117061876253</v>
      </c>
      <c r="H1641" t="n">
        <v>0.01686129076858</v>
      </c>
      <c r="I1641" t="n">
        <v>0.121224751009565</v>
      </c>
      <c r="J1641" t="n">
        <v>0.2167877631795157</v>
      </c>
      <c r="K1641" t="n">
        <v>0.3788124441277181</v>
      </c>
      <c r="L1641" t="b">
        <v>0</v>
      </c>
      <c r="M1641" t="b">
        <v>0</v>
      </c>
      <c r="N1641" t="inlineStr">
        <is>
          <t>alt</t>
        </is>
      </c>
      <c r="O1641" t="n">
        <v>-75</v>
      </c>
      <c r="P1641" t="n">
        <v>0.00598</v>
      </c>
      <c r="Q1641" t="n">
        <v>60</v>
      </c>
      <c r="R1641" t="n">
        <v>0.04395</v>
      </c>
      <c r="S1641">
        <f>IMAGE("https://mitra.stanford.edu/kundaje/oak/projects/neuro-variants/variant_position/credible/roussos_2024/variant_figures/roussos_2024.adolescence.GLU/rs12150608_count_position.png",4,220,900)</f>
        <v/>
      </c>
      <c r="T1641">
        <f>IMAGE("https://mitra.stanford.edu/kundaje/oak/projects/neuro-variants/variant_position/credible/roussos_2024/variant_figures/roussos_2024.adolescence.GLU/rs12150608_profile_position.png",4,220,900)</f>
        <v/>
      </c>
    </row>
    <row r="1642">
      <c r="A1642" t="inlineStr">
        <is>
          <t>chr17</t>
        </is>
      </c>
      <c r="B1642" t="n">
        <v>45698180</v>
      </c>
      <c r="C1642" t="inlineStr">
        <is>
          <t>A</t>
        </is>
      </c>
      <c r="D1642" t="inlineStr">
        <is>
          <t>G</t>
        </is>
      </c>
      <c r="E1642" t="inlineStr">
        <is>
          <t>rs12150547</t>
        </is>
      </c>
      <c r="F1642" t="n">
        <v>0.0454220065999999</v>
      </c>
      <c r="G1642" t="n">
        <v>0.0786325068860781</v>
      </c>
      <c r="H1642" t="n">
        <v>0.0103288591982326</v>
      </c>
      <c r="I1642" t="n">
        <v>0.4924227440916328</v>
      </c>
      <c r="J1642" t="n">
        <v>0.238436533281894</v>
      </c>
      <c r="K1642" t="n">
        <v>0.350467100143232</v>
      </c>
      <c r="L1642" t="b">
        <v>0</v>
      </c>
      <c r="M1642" t="b">
        <v>0</v>
      </c>
      <c r="N1642" t="inlineStr">
        <is>
          <t>alt</t>
        </is>
      </c>
      <c r="O1642" t="n">
        <v>-75</v>
      </c>
      <c r="P1642" t="n">
        <v>0.003721</v>
      </c>
      <c r="Q1642" t="n">
        <v>-85</v>
      </c>
      <c r="R1642" t="n">
        <v>0.0349</v>
      </c>
      <c r="S1642">
        <f>IMAGE("https://mitra.stanford.edu/kundaje/oak/projects/neuro-variants/variant_position/credible/roussos_2024/variant_figures/roussos_2024.adolescence.GLU/rs12150547_count_position.png",4,220,900)</f>
        <v/>
      </c>
      <c r="T1642">
        <f>IMAGE("https://mitra.stanford.edu/kundaje/oak/projects/neuro-variants/variant_position/credible/roussos_2024/variant_figures/roussos_2024.adolescence.GLU/rs12150547_profile_position.png",4,220,900)</f>
        <v/>
      </c>
    </row>
    <row r="1643">
      <c r="A1643" t="inlineStr">
        <is>
          <t>chr17</t>
        </is>
      </c>
      <c r="B1643" t="n">
        <v>45700212</v>
      </c>
      <c r="C1643" t="inlineStr">
        <is>
          <t>C</t>
        </is>
      </c>
      <c r="D1643" t="inlineStr">
        <is>
          <t>T</t>
        </is>
      </c>
      <c r="E1643" t="inlineStr">
        <is>
          <t>rs62056874</t>
        </is>
      </c>
      <c r="F1643" t="n">
        <v>-0.004100349006</v>
      </c>
      <c r="G1643" t="n">
        <v>0.794049861327536</v>
      </c>
      <c r="H1643" t="n">
        <v>0.0113821197687898</v>
      </c>
      <c r="I1643" t="n">
        <v>0.3796719490910675</v>
      </c>
      <c r="J1643" t="n">
        <v>0.3363925384543941</v>
      </c>
      <c r="K1643" t="n">
        <v>0.231535765825552</v>
      </c>
      <c r="L1643" t="b">
        <v>0</v>
      </c>
      <c r="M1643" t="b">
        <v>0</v>
      </c>
      <c r="N1643" t="inlineStr">
        <is>
          <t>ref</t>
        </is>
      </c>
      <c r="O1643" t="n">
        <v>-15</v>
      </c>
      <c r="P1643" t="n">
        <v>0.0001593</v>
      </c>
      <c r="Q1643" t="n">
        <v>100</v>
      </c>
      <c r="R1643" t="n">
        <v>0.0824</v>
      </c>
      <c r="S1643">
        <f>IMAGE("https://mitra.stanford.edu/kundaje/oak/projects/neuro-variants/variant_position/credible/roussos_2024/variant_figures/roussos_2024.adolescence.GLU/rs62056874_count_position.png",4,220,900)</f>
        <v/>
      </c>
      <c r="T1643">
        <f>IMAGE("https://mitra.stanford.edu/kundaje/oak/projects/neuro-variants/variant_position/credible/roussos_2024/variant_figures/roussos_2024.adolescence.GLU/rs62056874_profile_position.png",4,220,900)</f>
        <v/>
      </c>
    </row>
    <row r="1644">
      <c r="A1644" t="inlineStr">
        <is>
          <t>chr17</t>
        </is>
      </c>
      <c r="B1644" t="n">
        <v>45703582</v>
      </c>
      <c r="C1644" t="inlineStr">
        <is>
          <t>T</t>
        </is>
      </c>
      <c r="D1644" t="inlineStr">
        <is>
          <t>C</t>
        </is>
      </c>
      <c r="E1644" t="inlineStr">
        <is>
          <t>rs17762308</t>
        </is>
      </c>
      <c r="F1644" t="n">
        <v>0.00599824012</v>
      </c>
      <c r="G1644" t="n">
        <v>0.6156716217187505</v>
      </c>
      <c r="H1644" t="n">
        <v>0.0074052093547704</v>
      </c>
      <c r="I1644" t="n">
        <v>0.8524917353418701</v>
      </c>
      <c r="J1644" t="n">
        <v>0.3064620528538054</v>
      </c>
      <c r="K1644" t="n">
        <v>0.2622595614404994</v>
      </c>
      <c r="L1644" t="b">
        <v>0</v>
      </c>
      <c r="M1644" t="b">
        <v>0</v>
      </c>
      <c r="N1644" t="inlineStr">
        <is>
          <t>alt</t>
        </is>
      </c>
      <c r="O1644" t="n">
        <v>-95</v>
      </c>
      <c r="P1644" t="n">
        <v>0.007053</v>
      </c>
      <c r="Q1644" t="n">
        <v>45</v>
      </c>
      <c r="R1644" t="n">
        <v>0.04895</v>
      </c>
      <c r="S1644">
        <f>IMAGE("https://mitra.stanford.edu/kundaje/oak/projects/neuro-variants/variant_position/credible/roussos_2024/variant_figures/roussos_2024.adolescence.GLU/rs17762308_count_position.png",4,220,900)</f>
        <v/>
      </c>
      <c r="T1644">
        <f>IMAGE("https://mitra.stanford.edu/kundaje/oak/projects/neuro-variants/variant_position/credible/roussos_2024/variant_figures/roussos_2024.adolescence.GLU/rs17762308_profile_position.png",4,220,900)</f>
        <v/>
      </c>
    </row>
    <row r="1645">
      <c r="A1645" t="inlineStr">
        <is>
          <t>chr17</t>
        </is>
      </c>
      <c r="B1645" t="n">
        <v>45706437</v>
      </c>
      <c r="C1645" t="inlineStr">
        <is>
          <t>A</t>
        </is>
      </c>
      <c r="D1645" t="inlineStr">
        <is>
          <t>G</t>
        </is>
      </c>
      <c r="E1645" t="inlineStr">
        <is>
          <t>rs62056909</t>
        </is>
      </c>
      <c r="F1645" t="n">
        <v>0.0530708776</v>
      </c>
      <c r="G1645" t="n">
        <v>0.0595713108552089</v>
      </c>
      <c r="H1645" t="n">
        <v>0.0124900121821133</v>
      </c>
      <c r="I1645" t="n">
        <v>0.305625810158216</v>
      </c>
      <c r="J1645" t="n">
        <v>0.3098670438876624</v>
      </c>
      <c r="K1645" t="n">
        <v>0.2578852384704002</v>
      </c>
      <c r="L1645" t="b">
        <v>0</v>
      </c>
      <c r="M1645" t="b">
        <v>0</v>
      </c>
      <c r="N1645" t="inlineStr">
        <is>
          <t>alt</t>
        </is>
      </c>
      <c r="O1645" t="n">
        <v>70</v>
      </c>
      <c r="P1645" t="n">
        <v>0.00772</v>
      </c>
      <c r="Q1645" t="n">
        <v>-55</v>
      </c>
      <c r="R1645" t="n">
        <v>0.04422</v>
      </c>
      <c r="S1645">
        <f>IMAGE("https://mitra.stanford.edu/kundaje/oak/projects/neuro-variants/variant_position/credible/roussos_2024/variant_figures/roussos_2024.adolescence.GLU/rs62056909_count_position.png",4,220,900)</f>
        <v/>
      </c>
      <c r="T1645">
        <f>IMAGE("https://mitra.stanford.edu/kundaje/oak/projects/neuro-variants/variant_position/credible/roussos_2024/variant_figures/roussos_2024.adolescence.GLU/rs62056909_profile_position.png",4,220,900)</f>
        <v/>
      </c>
    </row>
    <row r="1646">
      <c r="A1646" t="inlineStr">
        <is>
          <t>chr17</t>
        </is>
      </c>
      <c r="B1646" t="n">
        <v>45706856</v>
      </c>
      <c r="C1646" t="inlineStr">
        <is>
          <t>T</t>
        </is>
      </c>
      <c r="D1646" t="inlineStr">
        <is>
          <t>C</t>
        </is>
      </c>
      <c r="E1646" t="inlineStr">
        <is>
          <t>rs62056910</t>
        </is>
      </c>
      <c r="F1646" t="n">
        <v>0.00453707928</v>
      </c>
      <c r="G1646" t="n">
        <v>0.5577860674238191</v>
      </c>
      <c r="H1646" t="n">
        <v>0.0124041643202259</v>
      </c>
      <c r="I1646" t="n">
        <v>0.2963199618852918</v>
      </c>
      <c r="J1646" t="n">
        <v>0.3544719977709668</v>
      </c>
      <c r="K1646" t="n">
        <v>0.2121731110143623</v>
      </c>
      <c r="L1646" t="b">
        <v>0</v>
      </c>
      <c r="M1646" t="b">
        <v>0</v>
      </c>
      <c r="N1646" t="inlineStr">
        <is>
          <t>alt</t>
        </is>
      </c>
      <c r="O1646" t="n">
        <v>85</v>
      </c>
      <c r="P1646" t="n">
        <v>0.002419</v>
      </c>
      <c r="Q1646" t="n">
        <v>15</v>
      </c>
      <c r="R1646" t="n">
        <v>0.02786</v>
      </c>
      <c r="S1646">
        <f>IMAGE("https://mitra.stanford.edu/kundaje/oak/projects/neuro-variants/variant_position/credible/roussos_2024/variant_figures/roussos_2024.adolescence.GLU/rs62056910_count_position.png",4,220,900)</f>
        <v/>
      </c>
      <c r="T1646">
        <f>IMAGE("https://mitra.stanford.edu/kundaje/oak/projects/neuro-variants/variant_position/credible/roussos_2024/variant_figures/roussos_2024.adolescence.GLU/rs62056910_profile_position.png",4,220,900)</f>
        <v/>
      </c>
    </row>
    <row r="1647">
      <c r="A1647" t="inlineStr">
        <is>
          <t>chr17</t>
        </is>
      </c>
      <c r="B1647" t="n">
        <v>45707582</v>
      </c>
      <c r="C1647" t="inlineStr">
        <is>
          <t>G</t>
        </is>
      </c>
      <c r="D1647" t="inlineStr">
        <is>
          <t>T</t>
        </is>
      </c>
      <c r="E1647" t="inlineStr">
        <is>
          <t>rs62056912</t>
        </is>
      </c>
      <c r="F1647" t="n">
        <v>-0.0128827276</v>
      </c>
      <c r="G1647" t="n">
        <v>0.4446236224423214</v>
      </c>
      <c r="H1647" t="n">
        <v>0.0079989552243632</v>
      </c>
      <c r="I1647" t="n">
        <v>0.79912511070832</v>
      </c>
      <c r="J1647" t="n">
        <v>0.368219131105729</v>
      </c>
      <c r="K1647" t="n">
        <v>0.1975888433323992</v>
      </c>
      <c r="L1647" t="b">
        <v>0</v>
      </c>
      <c r="M1647" t="b">
        <v>0</v>
      </c>
      <c r="N1647" t="inlineStr">
        <is>
          <t>ref</t>
        </is>
      </c>
      <c r="O1647" t="n">
        <v>65</v>
      </c>
      <c r="P1647" t="n">
        <v>0.02017</v>
      </c>
      <c r="Q1647" t="n">
        <v>10</v>
      </c>
      <c r="R1647" t="n">
        <v>0.006714</v>
      </c>
      <c r="S1647">
        <f>IMAGE("https://mitra.stanford.edu/kundaje/oak/projects/neuro-variants/variant_position/credible/roussos_2024/variant_figures/roussos_2024.adolescence.GLU/rs62056912_count_position.png",4,220,900)</f>
        <v/>
      </c>
      <c r="T1647">
        <f>IMAGE("https://mitra.stanford.edu/kundaje/oak/projects/neuro-variants/variant_position/credible/roussos_2024/variant_figures/roussos_2024.adolescence.GLU/rs62056912_profile_position.png",4,220,900)</f>
        <v/>
      </c>
    </row>
    <row r="1648">
      <c r="A1648" t="inlineStr">
        <is>
          <t>chr17</t>
        </is>
      </c>
      <c r="B1648" t="n">
        <v>45707983</v>
      </c>
      <c r="C1648" t="inlineStr">
        <is>
          <t>T</t>
        </is>
      </c>
      <c r="D1648" t="inlineStr">
        <is>
          <t>C</t>
        </is>
      </c>
      <c r="E1648" t="inlineStr">
        <is>
          <t>rs61667602</t>
        </is>
      </c>
      <c r="F1648" t="n">
        <v>0.0238432746</v>
      </c>
      <c r="G1648" t="n">
        <v>0.2343660935768765</v>
      </c>
      <c r="H1648" t="n">
        <v>0.0100085640042432</v>
      </c>
      <c r="I1648" t="n">
        <v>0.4939845895546683</v>
      </c>
      <c r="J1648" t="n">
        <v>0.3371969908052382</v>
      </c>
      <c r="K1648" t="n">
        <v>0.2289104922677137</v>
      </c>
      <c r="L1648" t="b">
        <v>0</v>
      </c>
      <c r="M1648" t="b">
        <v>0</v>
      </c>
      <c r="N1648" t="inlineStr">
        <is>
          <t>alt</t>
        </is>
      </c>
      <c r="O1648" t="n">
        <v>-100</v>
      </c>
      <c r="P1648" t="n">
        <v>0.01569</v>
      </c>
      <c r="Q1648" t="n">
        <v>45</v>
      </c>
      <c r="R1648" t="n">
        <v>0.1045</v>
      </c>
      <c r="S1648">
        <f>IMAGE("https://mitra.stanford.edu/kundaje/oak/projects/neuro-variants/variant_position/credible/roussos_2024/variant_figures/roussos_2024.adolescence.GLU/rs61667602_count_position.png",4,220,900)</f>
        <v/>
      </c>
      <c r="T1648">
        <f>IMAGE("https://mitra.stanford.edu/kundaje/oak/projects/neuro-variants/variant_position/credible/roussos_2024/variant_figures/roussos_2024.adolescence.GLU/rs61667602_profile_position.png",4,220,900)</f>
        <v/>
      </c>
    </row>
    <row r="1649">
      <c r="A1649" t="inlineStr">
        <is>
          <t>chr17</t>
        </is>
      </c>
      <c r="B1649" t="n">
        <v>45708572</v>
      </c>
      <c r="C1649" t="inlineStr">
        <is>
          <t>C</t>
        </is>
      </c>
      <c r="D1649" t="inlineStr">
        <is>
          <t>T</t>
        </is>
      </c>
      <c r="E1649" t="inlineStr">
        <is>
          <t>rs62056916</t>
        </is>
      </c>
      <c r="F1649" t="n">
        <v>0.00220281608</v>
      </c>
      <c r="G1649" t="n">
        <v>0.7798066803662779</v>
      </c>
      <c r="H1649" t="n">
        <v>0.0084313836082464</v>
      </c>
      <c r="I1649" t="n">
        <v>0.7294096443700199</v>
      </c>
      <c r="J1649" t="n">
        <v>0.3917954433418351</v>
      </c>
      <c r="K1649" t="n">
        <v>0.1730653752589522</v>
      </c>
      <c r="L1649" t="b">
        <v>0</v>
      </c>
      <c r="M1649" t="b">
        <v>0</v>
      </c>
      <c r="N1649" t="inlineStr">
        <is>
          <t>alt</t>
        </is>
      </c>
      <c r="O1649" t="n">
        <v>100</v>
      </c>
      <c r="P1649" t="n">
        <v>0.0561</v>
      </c>
      <c r="Q1649" t="n">
        <v>80</v>
      </c>
      <c r="R1649" t="n">
        <v>0.2095</v>
      </c>
      <c r="S1649">
        <f>IMAGE("https://mitra.stanford.edu/kundaje/oak/projects/neuro-variants/variant_position/credible/roussos_2024/variant_figures/roussos_2024.adolescence.GLU/rs62056916_count_position.png",4,220,900)</f>
        <v/>
      </c>
      <c r="T1649">
        <f>IMAGE("https://mitra.stanford.edu/kundaje/oak/projects/neuro-variants/variant_position/credible/roussos_2024/variant_figures/roussos_2024.adolescence.GLU/rs62056916_profile_position.png",4,220,900)</f>
        <v/>
      </c>
    </row>
    <row r="1650">
      <c r="A1650" t="inlineStr">
        <is>
          <t>chr17</t>
        </is>
      </c>
      <c r="B1650" t="n">
        <v>45708647</v>
      </c>
      <c r="C1650" t="inlineStr">
        <is>
          <t>G</t>
        </is>
      </c>
      <c r="D1650" t="inlineStr">
        <is>
          <t>T</t>
        </is>
      </c>
      <c r="E1650" t="inlineStr">
        <is>
          <t>rs62056917</t>
        </is>
      </c>
      <c r="F1650" t="n">
        <v>-0.002792888756</v>
      </c>
      <c r="G1650" t="n">
        <v>0.7398091725508785</v>
      </c>
      <c r="H1650" t="n">
        <v>0.009564323145550601</v>
      </c>
      <c r="I1650" t="n">
        <v>0.5841349817374967</v>
      </c>
      <c r="J1650" t="n">
        <v>0.3916697030099091</v>
      </c>
      <c r="K1650" t="n">
        <v>0.1733252098091632</v>
      </c>
      <c r="L1650" t="b">
        <v>0</v>
      </c>
      <c r="M1650" t="b">
        <v>0</v>
      </c>
      <c r="N1650" t="inlineStr">
        <is>
          <t>ref</t>
        </is>
      </c>
      <c r="O1650" t="n">
        <v>25</v>
      </c>
      <c r="P1650" t="n">
        <v>0.01685</v>
      </c>
      <c r="Q1650" t="n">
        <v>5</v>
      </c>
      <c r="R1650" t="n">
        <v>0.001221</v>
      </c>
      <c r="S1650">
        <f>IMAGE("https://mitra.stanford.edu/kundaje/oak/projects/neuro-variants/variant_position/credible/roussos_2024/variant_figures/roussos_2024.adolescence.GLU/rs62056917_count_position.png",4,220,900)</f>
        <v/>
      </c>
      <c r="T1650">
        <f>IMAGE("https://mitra.stanford.edu/kundaje/oak/projects/neuro-variants/variant_position/credible/roussos_2024/variant_figures/roussos_2024.adolescence.GLU/rs62056917_profile_position.png",4,220,900)</f>
        <v/>
      </c>
    </row>
    <row r="1651">
      <c r="A1651" t="inlineStr">
        <is>
          <t>chr17</t>
        </is>
      </c>
      <c r="B1651" t="n">
        <v>45709764</v>
      </c>
      <c r="C1651" t="inlineStr">
        <is>
          <t>T</t>
        </is>
      </c>
      <c r="D1651" t="inlineStr">
        <is>
          <t>C</t>
        </is>
      </c>
      <c r="E1651" t="inlineStr">
        <is>
          <t>rs17762535</t>
        </is>
      </c>
      <c r="F1651" t="n">
        <v>0.0552368589999999</v>
      </c>
      <c r="G1651" t="n">
        <v>0.0493625627238757</v>
      </c>
      <c r="H1651" t="n">
        <v>0.0105968949744825</v>
      </c>
      <c r="I1651" t="n">
        <v>0.4684658005330238</v>
      </c>
      <c r="J1651" t="n">
        <v>0.3348293575097699</v>
      </c>
      <c r="K1651" t="n">
        <v>0.2311947416018915</v>
      </c>
      <c r="L1651" t="b">
        <v>0</v>
      </c>
      <c r="M1651" t="b">
        <v>0</v>
      </c>
      <c r="N1651" t="inlineStr">
        <is>
          <t>alt</t>
        </is>
      </c>
      <c r="O1651" t="n">
        <v>90</v>
      </c>
      <c r="P1651" t="n">
        <v>0.004982</v>
      </c>
      <c r="Q1651" t="n">
        <v>90</v>
      </c>
      <c r="R1651" t="n">
        <v>0.07214</v>
      </c>
      <c r="S1651">
        <f>IMAGE("https://mitra.stanford.edu/kundaje/oak/projects/neuro-variants/variant_position/credible/roussos_2024/variant_figures/roussos_2024.adolescence.GLU/rs17762535_count_position.png",4,220,900)</f>
        <v/>
      </c>
      <c r="T1651">
        <f>IMAGE("https://mitra.stanford.edu/kundaje/oak/projects/neuro-variants/variant_position/credible/roussos_2024/variant_figures/roussos_2024.adolescence.GLU/rs17762535_profile_position.png",4,220,900)</f>
        <v/>
      </c>
    </row>
    <row r="1652">
      <c r="A1652" t="inlineStr">
        <is>
          <t>chr17</t>
        </is>
      </c>
      <c r="B1652" t="n">
        <v>45709860</v>
      </c>
      <c r="C1652" t="inlineStr">
        <is>
          <t>G</t>
        </is>
      </c>
      <c r="D1652" t="inlineStr">
        <is>
          <t>A</t>
        </is>
      </c>
      <c r="E1652" t="inlineStr">
        <is>
          <t>rs62056920</t>
        </is>
      </c>
      <c r="F1652" t="n">
        <v>-0.0409554594</v>
      </c>
      <c r="G1652" t="n">
        <v>0.1058277224332248</v>
      </c>
      <c r="H1652" t="n">
        <v>0.0140331102495963</v>
      </c>
      <c r="I1652" t="n">
        <v>0.2130299043819274</v>
      </c>
      <c r="J1652" t="n">
        <v>0.3329618278071885</v>
      </c>
      <c r="K1652" t="n">
        <v>0.2335069902351894</v>
      </c>
      <c r="L1652" t="b">
        <v>0</v>
      </c>
      <c r="M1652" t="b">
        <v>0</v>
      </c>
      <c r="N1652" t="inlineStr">
        <is>
          <t>ref</t>
        </is>
      </c>
      <c r="O1652" t="n">
        <v>-5</v>
      </c>
      <c r="P1652" t="n">
        <v>0.0001068</v>
      </c>
      <c r="Q1652" t="n">
        <v>-5</v>
      </c>
      <c r="R1652" t="n">
        <v>0.001953</v>
      </c>
      <c r="S1652">
        <f>IMAGE("https://mitra.stanford.edu/kundaje/oak/projects/neuro-variants/variant_position/credible/roussos_2024/variant_figures/roussos_2024.adolescence.GLU/rs62056920_count_position.png",4,220,900)</f>
        <v/>
      </c>
      <c r="T1652">
        <f>IMAGE("https://mitra.stanford.edu/kundaje/oak/projects/neuro-variants/variant_position/credible/roussos_2024/variant_figures/roussos_2024.adolescence.GLU/rs62056920_profile_position.png",4,220,900)</f>
        <v/>
      </c>
    </row>
    <row r="1653">
      <c r="A1653" t="inlineStr">
        <is>
          <t>chr17</t>
        </is>
      </c>
      <c r="B1653" t="n">
        <v>45714886</v>
      </c>
      <c r="C1653" t="inlineStr">
        <is>
          <t>C</t>
        </is>
      </c>
      <c r="D1653" t="inlineStr">
        <is>
          <t>A</t>
        </is>
      </c>
      <c r="E1653" t="inlineStr">
        <is>
          <t>rs55973918</t>
        </is>
      </c>
      <c r="F1653" t="n">
        <v>0.000893708264</v>
      </c>
      <c r="G1653" t="n">
        <v>0.9005272925199466</v>
      </c>
      <c r="H1653" t="n">
        <v>0.0248562604836002</v>
      </c>
      <c r="I1653" t="n">
        <v>0.022407980414067</v>
      </c>
      <c r="J1653" t="n">
        <v>0.2268069814461566</v>
      </c>
      <c r="K1653" t="n">
        <v>0.3656676891377533</v>
      </c>
      <c r="L1653" t="b">
        <v>0</v>
      </c>
      <c r="M1653" t="b">
        <v>0</v>
      </c>
      <c r="N1653" t="inlineStr">
        <is>
          <t>alt</t>
        </is>
      </c>
      <c r="O1653" t="n">
        <v>-95</v>
      </c>
      <c r="P1653" t="n">
        <v>0.00812</v>
      </c>
      <c r="Q1653" t="n">
        <v>100</v>
      </c>
      <c r="R1653" t="n">
        <v>0.07043000000000001</v>
      </c>
      <c r="S1653">
        <f>IMAGE("https://mitra.stanford.edu/kundaje/oak/projects/neuro-variants/variant_position/credible/roussos_2024/variant_figures/roussos_2024.adolescence.GLU/rs55973918_count_position.png",4,220,900)</f>
        <v/>
      </c>
      <c r="T1653">
        <f>IMAGE("https://mitra.stanford.edu/kundaje/oak/projects/neuro-variants/variant_position/credible/roussos_2024/variant_figures/roussos_2024.adolescence.GLU/rs55973918_profile_position.png",4,220,900)</f>
        <v/>
      </c>
    </row>
    <row r="1654">
      <c r="A1654" t="inlineStr">
        <is>
          <t>chr17</t>
        </is>
      </c>
      <c r="B1654" t="n">
        <v>45716299</v>
      </c>
      <c r="C1654" t="inlineStr">
        <is>
          <t>A</t>
        </is>
      </c>
      <c r="D1654" t="inlineStr">
        <is>
          <t>G</t>
        </is>
      </c>
      <c r="E1654" t="inlineStr">
        <is>
          <t>rs7502937</t>
        </is>
      </c>
      <c r="F1654" t="n">
        <v>-0.00381947668</v>
      </c>
      <c r="G1654" t="n">
        <v>0.5968078880568688</v>
      </c>
      <c r="H1654" t="n">
        <v>0.0098210679720169</v>
      </c>
      <c r="I1654" t="n">
        <v>0.5570066527666</v>
      </c>
      <c r="J1654" t="n">
        <v>0.3813761422008845</v>
      </c>
      <c r="K1654" t="n">
        <v>0.1836096807687102</v>
      </c>
      <c r="L1654" t="b">
        <v>0</v>
      </c>
      <c r="M1654" t="b">
        <v>0</v>
      </c>
      <c r="N1654" t="inlineStr">
        <is>
          <t>ref</t>
        </is>
      </c>
      <c r="O1654" t="n">
        <v>100</v>
      </c>
      <c r="P1654" t="n">
        <v>0.005116</v>
      </c>
      <c r="Q1654" t="n">
        <v>100</v>
      </c>
      <c r="R1654" t="n">
        <v>0.1499</v>
      </c>
      <c r="S1654">
        <f>IMAGE("https://mitra.stanford.edu/kundaje/oak/projects/neuro-variants/variant_position/credible/roussos_2024/variant_figures/roussos_2024.adolescence.GLU/rs7502937_count_position.png",4,220,900)</f>
        <v/>
      </c>
      <c r="T1654">
        <f>IMAGE("https://mitra.stanford.edu/kundaje/oak/projects/neuro-variants/variant_position/credible/roussos_2024/variant_figures/roussos_2024.adolescence.GLU/rs7502937_profile_position.png",4,220,900)</f>
        <v/>
      </c>
    </row>
    <row r="1655">
      <c r="A1655" t="inlineStr">
        <is>
          <t>chr17</t>
        </is>
      </c>
      <c r="B1655" t="n">
        <v>45716920</v>
      </c>
      <c r="C1655" t="inlineStr">
        <is>
          <t>C</t>
        </is>
      </c>
      <c r="D1655" t="inlineStr">
        <is>
          <t>T</t>
        </is>
      </c>
      <c r="E1655" t="inlineStr">
        <is>
          <t>rs75310534</t>
        </is>
      </c>
      <c r="F1655" t="n">
        <v>-0.0678272566</v>
      </c>
      <c r="G1655" t="n">
        <v>0.0267274878399913</v>
      </c>
      <c r="H1655" t="n">
        <v>0.0110329771153893</v>
      </c>
      <c r="I1655" t="n">
        <v>0.4320939021768155</v>
      </c>
      <c r="J1655" t="n">
        <v>0.3350322566817412</v>
      </c>
      <c r="K1655" t="n">
        <v>0.2319044389551019</v>
      </c>
      <c r="L1655" t="b">
        <v>0</v>
      </c>
      <c r="M1655" t="b">
        <v>0</v>
      </c>
      <c r="N1655" t="inlineStr">
        <is>
          <t>ref</t>
        </is>
      </c>
      <c r="O1655" t="n">
        <v>50</v>
      </c>
      <c r="P1655" t="n">
        <v>0.00681</v>
      </c>
      <c r="Q1655" t="n">
        <v>90</v>
      </c>
      <c r="R1655" t="n">
        <v>0.009520000000000001</v>
      </c>
      <c r="S1655">
        <f>IMAGE("https://mitra.stanford.edu/kundaje/oak/projects/neuro-variants/variant_position/credible/roussos_2024/variant_figures/roussos_2024.adolescence.GLU/rs75310534_count_position.png",4,220,900)</f>
        <v/>
      </c>
      <c r="T1655">
        <f>IMAGE("https://mitra.stanford.edu/kundaje/oak/projects/neuro-variants/variant_position/credible/roussos_2024/variant_figures/roussos_2024.adolescence.GLU/rs75310534_profile_position.png",4,220,900)</f>
        <v/>
      </c>
    </row>
    <row r="1656">
      <c r="A1656" t="inlineStr">
        <is>
          <t>chr17</t>
        </is>
      </c>
      <c r="B1656" t="n">
        <v>45718207</v>
      </c>
      <c r="C1656" t="inlineStr">
        <is>
          <t>C</t>
        </is>
      </c>
      <c r="D1656" t="inlineStr">
        <is>
          <t>T</t>
        </is>
      </c>
      <c r="E1656" t="inlineStr">
        <is>
          <t>rs111415173</t>
        </is>
      </c>
      <c r="F1656" t="n">
        <v>0.0159816212</v>
      </c>
      <c r="G1656" t="n">
        <v>0.3711287077587901</v>
      </c>
      <c r="H1656" t="n">
        <v>0.0230815635951765</v>
      </c>
      <c r="I1656" t="n">
        <v>0.0332451647723929</v>
      </c>
      <c r="J1656" t="n">
        <v>0.0257110401440297</v>
      </c>
      <c r="K1656" t="n">
        <v>0.7873334931257329</v>
      </c>
      <c r="L1656" t="b">
        <v>0</v>
      </c>
      <c r="M1656" t="b">
        <v>0</v>
      </c>
      <c r="N1656" t="inlineStr">
        <is>
          <t>alt</t>
        </is>
      </c>
      <c r="O1656" t="n">
        <v>30</v>
      </c>
      <c r="P1656" t="n">
        <v>0.04498</v>
      </c>
      <c r="Q1656" t="n">
        <v>-30</v>
      </c>
      <c r="R1656" t="n">
        <v>0.00496</v>
      </c>
      <c r="S1656">
        <f>IMAGE("https://mitra.stanford.edu/kundaje/oak/projects/neuro-variants/variant_position/credible/roussos_2024/variant_figures/roussos_2024.adolescence.GLU/rs111415173_count_position.png",4,220,900)</f>
        <v/>
      </c>
      <c r="T1656">
        <f>IMAGE("https://mitra.stanford.edu/kundaje/oak/projects/neuro-variants/variant_position/credible/roussos_2024/variant_figures/roussos_2024.adolescence.GLU/rs111415173_profile_position.png",4,220,900)</f>
        <v/>
      </c>
    </row>
    <row r="1657">
      <c r="A1657" t="inlineStr">
        <is>
          <t>chr17</t>
        </is>
      </c>
      <c r="B1657" t="n">
        <v>45718268</v>
      </c>
      <c r="C1657" t="inlineStr">
        <is>
          <t>C</t>
        </is>
      </c>
      <c r="D1657" t="inlineStr">
        <is>
          <t>T</t>
        </is>
      </c>
      <c r="E1657" t="inlineStr">
        <is>
          <t>rs113991678</t>
        </is>
      </c>
      <c r="F1657" t="n">
        <v>-0.0454216874</v>
      </c>
      <c r="G1657" t="n">
        <v>0.0967156604003877</v>
      </c>
      <c r="H1657" t="n">
        <v>0.0153457666055344</v>
      </c>
      <c r="I1657" t="n">
        <v>0.1891299970492576</v>
      </c>
      <c r="J1657" t="n">
        <v>0.0292974973387344</v>
      </c>
      <c r="K1657" t="n">
        <v>0.7723357533172786</v>
      </c>
      <c r="L1657" t="b">
        <v>0</v>
      </c>
      <c r="M1657" t="b">
        <v>0</v>
      </c>
      <c r="N1657" t="inlineStr">
        <is>
          <t>ref</t>
        </is>
      </c>
      <c r="O1657" t="n">
        <v>100</v>
      </c>
      <c r="P1657" t="n">
        <v>0.00586</v>
      </c>
      <c r="Q1657" t="n">
        <v>60</v>
      </c>
      <c r="R1657" t="n">
        <v>0.01997</v>
      </c>
      <c r="S1657">
        <f>IMAGE("https://mitra.stanford.edu/kundaje/oak/projects/neuro-variants/variant_position/credible/roussos_2024/variant_figures/roussos_2024.adolescence.GLU/rs113991678_count_position.png",4,220,900)</f>
        <v/>
      </c>
      <c r="T1657">
        <f>IMAGE("https://mitra.stanford.edu/kundaje/oak/projects/neuro-variants/variant_position/credible/roussos_2024/variant_figures/roussos_2024.adolescence.GLU/rs113991678_profile_position.png",4,220,900)</f>
        <v/>
      </c>
    </row>
    <row r="1658">
      <c r="A1658" t="inlineStr">
        <is>
          <t>chr17</t>
        </is>
      </c>
      <c r="B1658" t="n">
        <v>45721536</v>
      </c>
      <c r="C1658" t="inlineStr">
        <is>
          <t>C</t>
        </is>
      </c>
      <c r="D1658" t="inlineStr">
        <is>
          <t>T</t>
        </is>
      </c>
      <c r="E1658" t="inlineStr">
        <is>
          <t>rs55838058</t>
        </is>
      </c>
      <c r="F1658" t="n">
        <v>0.06610817174</v>
      </c>
      <c r="G1658" t="n">
        <v>0.0528248632964739</v>
      </c>
      <c r="H1658" t="n">
        <v>0.0233604969529492</v>
      </c>
      <c r="I1658" t="n">
        <v>0.0664595079013363</v>
      </c>
      <c r="J1658" t="n">
        <v>0.2628758814325824</v>
      </c>
      <c r="K1658" t="n">
        <v>0.3169637944750041</v>
      </c>
      <c r="L1658" t="b">
        <v>0</v>
      </c>
      <c r="M1658" t="b">
        <v>0</v>
      </c>
      <c r="N1658" t="inlineStr">
        <is>
          <t>alt</t>
        </is>
      </c>
      <c r="O1658" t="n">
        <v>90</v>
      </c>
      <c r="P1658" t="n">
        <v>0.00784</v>
      </c>
      <c r="Q1658" t="n">
        <v>-25</v>
      </c>
      <c r="R1658" t="n">
        <v>0.0105</v>
      </c>
      <c r="S1658">
        <f>IMAGE("https://mitra.stanford.edu/kundaje/oak/projects/neuro-variants/variant_position/credible/roussos_2024/variant_figures/roussos_2024.adolescence.GLU/rs55838058_count_position.png",4,220,900)</f>
        <v/>
      </c>
      <c r="T1658">
        <f>IMAGE("https://mitra.stanford.edu/kundaje/oak/projects/neuro-variants/variant_position/credible/roussos_2024/variant_figures/roussos_2024.adolescence.GLU/rs55838058_profile_position.png",4,220,900)</f>
        <v/>
      </c>
    </row>
    <row r="1659">
      <c r="A1659" t="inlineStr">
        <is>
          <t>chr17</t>
        </is>
      </c>
      <c r="B1659" t="n">
        <v>45722301</v>
      </c>
      <c r="C1659" t="inlineStr">
        <is>
          <t>C</t>
        </is>
      </c>
      <c r="D1659" t="inlineStr">
        <is>
          <t>A</t>
        </is>
      </c>
      <c r="E1659" t="inlineStr">
        <is>
          <t>rs62054378</t>
        </is>
      </c>
      <c r="F1659" t="n">
        <v>0.0258575698</v>
      </c>
      <c r="G1659" t="n">
        <v>0.2159662767125191</v>
      </c>
      <c r="H1659" t="n">
        <v>0.0278395988282752</v>
      </c>
      <c r="I1659" t="n">
        <v>0.013877304847966</v>
      </c>
      <c r="J1659" t="n">
        <v>0.4777318158761458</v>
      </c>
      <c r="K1659" t="n">
        <v>0.1042914816449855</v>
      </c>
      <c r="L1659" t="b">
        <v>1</v>
      </c>
      <c r="M1659" t="b">
        <v>0</v>
      </c>
      <c r="N1659" t="inlineStr">
        <is>
          <t>alt</t>
        </is>
      </c>
      <c r="O1659" t="n">
        <v>35</v>
      </c>
      <c r="P1659" t="n">
        <v>0.002808</v>
      </c>
      <c r="Q1659" t="n">
        <v>75</v>
      </c>
      <c r="R1659" t="n">
        <v>0.09546</v>
      </c>
      <c r="S1659">
        <f>IMAGE("https://mitra.stanford.edu/kundaje/oak/projects/neuro-variants/variant_position/credible/roussos_2024/variant_figures/roussos_2024.adolescence.GLU/rs62054378_count_position.png",4,220,900)</f>
        <v/>
      </c>
      <c r="T1659">
        <f>IMAGE("https://mitra.stanford.edu/kundaje/oak/projects/neuro-variants/variant_position/credible/roussos_2024/variant_figures/roussos_2024.adolescence.GLU/rs62054378_profile_position.png",4,220,900)</f>
        <v/>
      </c>
    </row>
    <row r="1660">
      <c r="A1660" t="inlineStr">
        <is>
          <t>chr17</t>
        </is>
      </c>
      <c r="B1660" t="n">
        <v>45722438</v>
      </c>
      <c r="C1660" t="inlineStr">
        <is>
          <t>C</t>
        </is>
      </c>
      <c r="D1660" t="inlineStr">
        <is>
          <t>A</t>
        </is>
      </c>
      <c r="E1660" t="inlineStr">
        <is>
          <t>rs77819001</t>
        </is>
      </c>
      <c r="F1660" t="n">
        <v>-0.0085674437</v>
      </c>
      <c r="G1660" t="n">
        <v>0.5980363092610551</v>
      </c>
      <c r="H1660" t="n">
        <v>0.0111282234241694</v>
      </c>
      <c r="I1660" t="n">
        <v>0.4066317734657284</v>
      </c>
      <c r="J1660" t="n">
        <v>0.4430360574690472</v>
      </c>
      <c r="K1660" t="n">
        <v>0.130298212128495</v>
      </c>
      <c r="L1660" t="b">
        <v>0</v>
      </c>
      <c r="M1660" t="b">
        <v>0</v>
      </c>
      <c r="N1660" t="inlineStr">
        <is>
          <t>ref</t>
        </is>
      </c>
      <c r="O1660" t="n">
        <v>40</v>
      </c>
      <c r="P1660" t="n">
        <v>0.007263</v>
      </c>
      <c r="Q1660" t="n">
        <v>-25</v>
      </c>
      <c r="R1660" t="n">
        <v>0.0271</v>
      </c>
      <c r="S1660">
        <f>IMAGE("https://mitra.stanford.edu/kundaje/oak/projects/neuro-variants/variant_position/credible/roussos_2024/variant_figures/roussos_2024.adolescence.GLU/rs77819001_count_position.png",4,220,900)</f>
        <v/>
      </c>
      <c r="T1660">
        <f>IMAGE("https://mitra.stanford.edu/kundaje/oak/projects/neuro-variants/variant_position/credible/roussos_2024/variant_figures/roussos_2024.adolescence.GLU/rs77819001_profile_position.png",4,220,900)</f>
        <v/>
      </c>
    </row>
    <row r="1661">
      <c r="A1661" t="inlineStr">
        <is>
          <t>chr17</t>
        </is>
      </c>
      <c r="B1661" t="n">
        <v>45722444</v>
      </c>
      <c r="C1661" t="inlineStr">
        <is>
          <t>G</t>
        </is>
      </c>
      <c r="D1661" t="inlineStr">
        <is>
          <t>C</t>
        </is>
      </c>
      <c r="E1661" t="inlineStr">
        <is>
          <t>rs76667867</t>
        </is>
      </c>
      <c r="F1661" t="n">
        <v>-0.0414599744</v>
      </c>
      <c r="G1661" t="n">
        <v>0.106409569293015</v>
      </c>
      <c r="H1661" t="n">
        <v>0.0192290970652115</v>
      </c>
      <c r="I1661" t="n">
        <v>0.0631279107572536</v>
      </c>
      <c r="J1661" t="n">
        <v>0.4414685899221982</v>
      </c>
      <c r="K1661" t="n">
        <v>0.1315574983279411</v>
      </c>
      <c r="L1661" t="b">
        <v>0</v>
      </c>
      <c r="M1661" t="b">
        <v>0</v>
      </c>
      <c r="N1661" t="inlineStr">
        <is>
          <t>ref</t>
        </is>
      </c>
      <c r="O1661" t="n">
        <v>35</v>
      </c>
      <c r="P1661" t="n">
        <v>0.00708</v>
      </c>
      <c r="Q1661" t="n">
        <v>-70</v>
      </c>
      <c r="R1661" t="n">
        <v>0.02393</v>
      </c>
      <c r="S1661">
        <f>IMAGE("https://mitra.stanford.edu/kundaje/oak/projects/neuro-variants/variant_position/credible/roussos_2024/variant_figures/roussos_2024.adolescence.GLU/rs76667867_count_position.png",4,220,900)</f>
        <v/>
      </c>
      <c r="T1661">
        <f>IMAGE("https://mitra.stanford.edu/kundaje/oak/projects/neuro-variants/variant_position/credible/roussos_2024/variant_figures/roussos_2024.adolescence.GLU/rs76667867_profile_position.png",4,220,900)</f>
        <v/>
      </c>
    </row>
    <row r="1662">
      <c r="A1662" t="inlineStr">
        <is>
          <t>chr17</t>
        </is>
      </c>
      <c r="B1662" t="n">
        <v>45723819</v>
      </c>
      <c r="C1662" t="inlineStr">
        <is>
          <t>A</t>
        </is>
      </c>
      <c r="D1662" t="inlineStr">
        <is>
          <t>G</t>
        </is>
      </c>
      <c r="E1662" t="inlineStr">
        <is>
          <t>rs62054381</t>
        </is>
      </c>
      <c r="F1662" t="n">
        <v>-0.0232164216799999</v>
      </c>
      <c r="G1662" t="n">
        <v>0.2540111573079199</v>
      </c>
      <c r="H1662" t="n">
        <v>0.0181906615959057</v>
      </c>
      <c r="I1662" t="n">
        <v>0.1059014498522042</v>
      </c>
      <c r="J1662" t="n">
        <v>0.1614148645076479</v>
      </c>
      <c r="K1662" t="n">
        <v>0.4636327659355855</v>
      </c>
      <c r="L1662" t="b">
        <v>0</v>
      </c>
      <c r="M1662" t="b">
        <v>0</v>
      </c>
      <c r="N1662" t="inlineStr">
        <is>
          <t>ref</t>
        </is>
      </c>
      <c r="O1662" t="n">
        <v>90</v>
      </c>
      <c r="P1662" t="n">
        <v>0.006683</v>
      </c>
      <c r="Q1662" t="n">
        <v>90</v>
      </c>
      <c r="R1662" t="n">
        <v>0.0561</v>
      </c>
      <c r="S1662">
        <f>IMAGE("https://mitra.stanford.edu/kundaje/oak/projects/neuro-variants/variant_position/credible/roussos_2024/variant_figures/roussos_2024.adolescence.GLU/rs62054381_count_position.png",4,220,900)</f>
        <v/>
      </c>
      <c r="T1662">
        <f>IMAGE("https://mitra.stanford.edu/kundaje/oak/projects/neuro-variants/variant_position/credible/roussos_2024/variant_figures/roussos_2024.adolescence.GLU/rs62054381_profile_position.png",4,220,900)</f>
        <v/>
      </c>
    </row>
    <row r="1663">
      <c r="A1663" t="inlineStr">
        <is>
          <t>chr17</t>
        </is>
      </c>
      <c r="B1663" t="n">
        <v>45725541</v>
      </c>
      <c r="C1663" t="inlineStr">
        <is>
          <t>T</t>
        </is>
      </c>
      <c r="D1663" t="inlineStr">
        <is>
          <t>C</t>
        </is>
      </c>
      <c r="E1663" t="inlineStr">
        <is>
          <t>rs62054383</t>
        </is>
      </c>
      <c r="F1663" t="n">
        <v>0.078183436</v>
      </c>
      <c r="G1663" t="n">
        <v>0.0187920867374123</v>
      </c>
      <c r="H1663" t="n">
        <v>0.0155448071722739</v>
      </c>
      <c r="I1663" t="n">
        <v>0.1626308248353929</v>
      </c>
      <c r="J1663" t="n">
        <v>0.1944131284337469</v>
      </c>
      <c r="K1663" t="n">
        <v>0.4122498177014257</v>
      </c>
      <c r="L1663" t="b">
        <v>1</v>
      </c>
      <c r="M1663" t="b">
        <v>0</v>
      </c>
      <c r="N1663" t="inlineStr">
        <is>
          <t>alt</t>
        </is>
      </c>
      <c r="O1663" t="n">
        <v>-35</v>
      </c>
      <c r="P1663" t="n">
        <v>0.003479</v>
      </c>
      <c r="Q1663" t="n">
        <v>75</v>
      </c>
      <c r="R1663" t="n">
        <v>0.0643</v>
      </c>
      <c r="S1663">
        <f>IMAGE("https://mitra.stanford.edu/kundaje/oak/projects/neuro-variants/variant_position/credible/roussos_2024/variant_figures/roussos_2024.adolescence.GLU/rs62054383_count_position.png",4,220,900)</f>
        <v/>
      </c>
      <c r="T1663">
        <f>IMAGE("https://mitra.stanford.edu/kundaje/oak/projects/neuro-variants/variant_position/credible/roussos_2024/variant_figures/roussos_2024.adolescence.GLU/rs62054383_profile_position.png",4,220,900)</f>
        <v/>
      </c>
    </row>
    <row r="1664">
      <c r="A1664" t="inlineStr">
        <is>
          <t>chr17</t>
        </is>
      </c>
      <c r="B1664" t="n">
        <v>45727253</v>
      </c>
      <c r="C1664" t="inlineStr">
        <is>
          <t>C</t>
        </is>
      </c>
      <c r="D1664" t="inlineStr">
        <is>
          <t>T</t>
        </is>
      </c>
      <c r="E1664" t="inlineStr">
        <is>
          <t>rs56380663</t>
        </is>
      </c>
      <c r="F1664" t="n">
        <v>-0.053505248</v>
      </c>
      <c r="G1664" t="n">
        <v>0.0574914257364394</v>
      </c>
      <c r="H1664" t="n">
        <v>0.0101636947419058</v>
      </c>
      <c r="I1664" t="n">
        <v>0.4844084166946525</v>
      </c>
      <c r="J1664" t="n">
        <v>0.3127590715219581</v>
      </c>
      <c r="K1664" t="n">
        <v>0.2575497884908417</v>
      </c>
      <c r="L1664" t="b">
        <v>0</v>
      </c>
      <c r="M1664" t="b">
        <v>0</v>
      </c>
      <c r="N1664" t="inlineStr">
        <is>
          <t>ref</t>
        </is>
      </c>
      <c r="O1664" t="n">
        <v>50</v>
      </c>
      <c r="P1664" t="n">
        <v>0.002434</v>
      </c>
      <c r="Q1664" t="n">
        <v>-55</v>
      </c>
      <c r="R1664" t="n">
        <v>0.03754</v>
      </c>
      <c r="S1664">
        <f>IMAGE("https://mitra.stanford.edu/kundaje/oak/projects/neuro-variants/variant_position/credible/roussos_2024/variant_figures/roussos_2024.adolescence.GLU/rs56380663_count_position.png",4,220,900)</f>
        <v/>
      </c>
      <c r="T1664">
        <f>IMAGE("https://mitra.stanford.edu/kundaje/oak/projects/neuro-variants/variant_position/credible/roussos_2024/variant_figures/roussos_2024.adolescence.GLU/rs56380663_profile_position.png",4,220,900)</f>
        <v/>
      </c>
    </row>
    <row r="1665">
      <c r="A1665" t="inlineStr">
        <is>
          <t>chr17</t>
        </is>
      </c>
      <c r="B1665" t="n">
        <v>45728224</v>
      </c>
      <c r="C1665" t="inlineStr">
        <is>
          <t>C</t>
        </is>
      </c>
      <c r="D1665" t="inlineStr">
        <is>
          <t>T</t>
        </is>
      </c>
      <c r="E1665" t="inlineStr">
        <is>
          <t>rs62054388</t>
        </is>
      </c>
      <c r="F1665" t="n">
        <v>-0.120309372</v>
      </c>
      <c r="G1665" t="n">
        <v>0.0048805082823351</v>
      </c>
      <c r="H1665" t="n">
        <v>0.0434356301221882</v>
      </c>
      <c r="I1665" t="n">
        <v>0.0026543582986536</v>
      </c>
      <c r="J1665" t="n">
        <v>0.3903551449943202</v>
      </c>
      <c r="K1665" t="n">
        <v>0.1762126852076814</v>
      </c>
      <c r="L1665" t="b">
        <v>1</v>
      </c>
      <c r="M1665" t="b">
        <v>1</v>
      </c>
      <c r="N1665" t="inlineStr">
        <is>
          <t>ref</t>
        </is>
      </c>
      <c r="O1665" t="n">
        <v>-80</v>
      </c>
      <c r="P1665" t="n">
        <v>0.0104</v>
      </c>
      <c r="Q1665" t="n">
        <v>-100</v>
      </c>
      <c r="R1665" t="n">
        <v>0.10126</v>
      </c>
      <c r="S1665">
        <f>IMAGE("https://mitra.stanford.edu/kundaje/oak/projects/neuro-variants/variant_position/credible/roussos_2024/variant_figures/roussos_2024.adolescence.GLU/rs62054388_count_position.png",4,220,900)</f>
        <v/>
      </c>
      <c r="T1665">
        <f>IMAGE("https://mitra.stanford.edu/kundaje/oak/projects/neuro-variants/variant_position/credible/roussos_2024/variant_figures/roussos_2024.adolescence.GLU/rs62054388_profile_position.png",4,220,900)</f>
        <v/>
      </c>
    </row>
    <row r="1666">
      <c r="A1666" t="inlineStr">
        <is>
          <t>chr17</t>
        </is>
      </c>
      <c r="B1666" t="n">
        <v>45728649</v>
      </c>
      <c r="C1666" t="inlineStr">
        <is>
          <t>G</t>
        </is>
      </c>
      <c r="D1666" t="inlineStr">
        <is>
          <t>A</t>
        </is>
      </c>
      <c r="E1666" t="inlineStr">
        <is>
          <t>rs4401083</t>
        </is>
      </c>
      <c r="F1666" t="n">
        <v>-0.0432724245999999</v>
      </c>
      <c r="G1666" t="n">
        <v>0.09391562767835621</v>
      </c>
      <c r="H1666" t="n">
        <v>0.0110028626464057</v>
      </c>
      <c r="I1666" t="n">
        <v>0.4055944764682344</v>
      </c>
      <c r="J1666" t="n">
        <v>0.3862514377978295</v>
      </c>
      <c r="K1666" t="n">
        <v>0.1785991215795361</v>
      </c>
      <c r="L1666" t="b">
        <v>0</v>
      </c>
      <c r="M1666" t="b">
        <v>0</v>
      </c>
      <c r="N1666" t="inlineStr">
        <is>
          <t>ref</t>
        </is>
      </c>
      <c r="O1666" t="n">
        <v>90</v>
      </c>
      <c r="P1666" t="n">
        <v>0.02393</v>
      </c>
      <c r="Q1666" t="n">
        <v>90</v>
      </c>
      <c r="R1666" t="n">
        <v>0.07574</v>
      </c>
      <c r="S1666">
        <f>IMAGE("https://mitra.stanford.edu/kundaje/oak/projects/neuro-variants/variant_position/credible/roussos_2024/variant_figures/roussos_2024.adolescence.GLU/rs4401083_count_position.png",4,220,900)</f>
        <v/>
      </c>
      <c r="T1666">
        <f>IMAGE("https://mitra.stanford.edu/kundaje/oak/projects/neuro-variants/variant_position/credible/roussos_2024/variant_figures/roussos_2024.adolescence.GLU/rs4401083_profile_position.png",4,220,900)</f>
        <v/>
      </c>
    </row>
    <row r="1667">
      <c r="A1667" t="inlineStr">
        <is>
          <t>chr17</t>
        </is>
      </c>
      <c r="B1667" t="n">
        <v>45728898</v>
      </c>
      <c r="C1667" t="inlineStr">
        <is>
          <t>C</t>
        </is>
      </c>
      <c r="D1667" t="inlineStr">
        <is>
          <t>T</t>
        </is>
      </c>
      <c r="E1667" t="inlineStr">
        <is>
          <t>rs1880752</t>
        </is>
      </c>
      <c r="F1667" t="n">
        <v>-0.0577353484</v>
      </c>
      <c r="G1667" t="n">
        <v>0.0431988294239014</v>
      </c>
      <c r="H1667" t="n">
        <v>0.0111525391940121</v>
      </c>
      <c r="I1667" t="n">
        <v>0.3840396970502348</v>
      </c>
      <c r="J1667" t="n">
        <v>0.4143801215966164</v>
      </c>
      <c r="K1667" t="n">
        <v>0.1530791183547134</v>
      </c>
      <c r="L1667" t="b">
        <v>0</v>
      </c>
      <c r="M1667" t="b">
        <v>0</v>
      </c>
      <c r="N1667" t="inlineStr">
        <is>
          <t>ref</t>
        </is>
      </c>
      <c r="O1667" t="n">
        <v>70</v>
      </c>
      <c r="P1667" t="n">
        <v>0.001144</v>
      </c>
      <c r="Q1667" t="n">
        <v>-90</v>
      </c>
      <c r="R1667" t="n">
        <v>0.0503</v>
      </c>
      <c r="S1667">
        <f>IMAGE("https://mitra.stanford.edu/kundaje/oak/projects/neuro-variants/variant_position/credible/roussos_2024/variant_figures/roussos_2024.adolescence.GLU/rs1880752_count_position.png",4,220,900)</f>
        <v/>
      </c>
      <c r="T1667">
        <f>IMAGE("https://mitra.stanford.edu/kundaje/oak/projects/neuro-variants/variant_position/credible/roussos_2024/variant_figures/roussos_2024.adolescence.GLU/rs1880752_profile_position.png",4,220,900)</f>
        <v/>
      </c>
    </row>
    <row r="1668">
      <c r="A1668" t="inlineStr">
        <is>
          <t>chr17</t>
        </is>
      </c>
      <c r="B1668" t="n">
        <v>45729697</v>
      </c>
      <c r="C1668" t="inlineStr">
        <is>
          <t>C</t>
        </is>
      </c>
      <c r="D1668" t="inlineStr">
        <is>
          <t>T</t>
        </is>
      </c>
      <c r="E1668" t="inlineStr">
        <is>
          <t>rs2864087</t>
        </is>
      </c>
      <c r="F1668" t="n">
        <v>-0.147622886</v>
      </c>
      <c r="G1668" t="n">
        <v>0.002375927503056</v>
      </c>
      <c r="H1668" t="n">
        <v>0.0448322773406273</v>
      </c>
      <c r="I1668" t="n">
        <v>0.0020276955176044</v>
      </c>
      <c r="J1668" t="n">
        <v>0.5143679762236463</v>
      </c>
      <c r="K1668" t="n">
        <v>0.08024230604748329</v>
      </c>
      <c r="L1668" t="b">
        <v>1</v>
      </c>
      <c r="M1668" t="b">
        <v>1</v>
      </c>
      <c r="N1668" t="inlineStr">
        <is>
          <t>ref</t>
        </is>
      </c>
      <c r="O1668" t="n">
        <v>55</v>
      </c>
      <c r="P1668" t="n">
        <v>0.0003204</v>
      </c>
      <c r="Q1668" t="n">
        <v>-55</v>
      </c>
      <c r="R1668" t="n">
        <v>0.05322</v>
      </c>
      <c r="S1668">
        <f>IMAGE("https://mitra.stanford.edu/kundaje/oak/projects/neuro-variants/variant_position/credible/roussos_2024/variant_figures/roussos_2024.adolescence.GLU/rs2864087_count_position.png",4,220,900)</f>
        <v/>
      </c>
      <c r="T1668">
        <f>IMAGE("https://mitra.stanford.edu/kundaje/oak/projects/neuro-variants/variant_position/credible/roussos_2024/variant_figures/roussos_2024.adolescence.GLU/rs2864087_profile_position.png",4,220,900)</f>
        <v/>
      </c>
    </row>
    <row r="1669">
      <c r="A1669" t="inlineStr">
        <is>
          <t>chr17</t>
        </is>
      </c>
      <c r="B1669" t="n">
        <v>45729747</v>
      </c>
      <c r="C1669" t="inlineStr">
        <is>
          <t>C</t>
        </is>
      </c>
      <c r="D1669" t="inlineStr">
        <is>
          <t>T</t>
        </is>
      </c>
      <c r="E1669" t="inlineStr">
        <is>
          <t>rs4609899</t>
        </is>
      </c>
      <c r="F1669" t="n">
        <v>-0.22618593</v>
      </c>
      <c r="G1669" t="n">
        <v>0.0007944724384338</v>
      </c>
      <c r="H1669" t="n">
        <v>0.0491707359050522</v>
      </c>
      <c r="I1669" t="n">
        <v>0.0019964292004857</v>
      </c>
      <c r="J1669" t="n">
        <v>0.5135420908616786</v>
      </c>
      <c r="K1669" t="n">
        <v>0.0807099133003099</v>
      </c>
      <c r="L1669" t="b">
        <v>1</v>
      </c>
      <c r="M1669" t="b">
        <v>1</v>
      </c>
      <c r="N1669" t="inlineStr">
        <is>
          <t>ref</t>
        </is>
      </c>
      <c r="O1669" t="n">
        <v>-80</v>
      </c>
      <c r="P1669" t="n">
        <v>0.002953</v>
      </c>
      <c r="Q1669" t="n">
        <v>40</v>
      </c>
      <c r="R1669" t="n">
        <v>0.04028</v>
      </c>
      <c r="S1669">
        <f>IMAGE("https://mitra.stanford.edu/kundaje/oak/projects/neuro-variants/variant_position/credible/roussos_2024/variant_figures/roussos_2024.adolescence.GLU/rs4609899_count_position.png",4,220,900)</f>
        <v/>
      </c>
      <c r="T1669">
        <f>IMAGE("https://mitra.stanford.edu/kundaje/oak/projects/neuro-variants/variant_position/credible/roussos_2024/variant_figures/roussos_2024.adolescence.GLU/rs4609899_profile_position.png",4,220,900)</f>
        <v/>
      </c>
    </row>
    <row r="1670">
      <c r="A1670" t="inlineStr">
        <is>
          <t>chr17</t>
        </is>
      </c>
      <c r="B1670" t="n">
        <v>45731898</v>
      </c>
      <c r="C1670" t="inlineStr">
        <is>
          <t>T</t>
        </is>
      </c>
      <c r="D1670" t="inlineStr">
        <is>
          <t>G</t>
        </is>
      </c>
      <c r="E1670" t="inlineStr">
        <is>
          <t>rs62054393</t>
        </is>
      </c>
      <c r="F1670" t="n">
        <v>0.002037143994</v>
      </c>
      <c r="G1670" t="n">
        <v>0.8123070305107216</v>
      </c>
      <c r="H1670" t="n">
        <v>0.0117718165472095</v>
      </c>
      <c r="I1670" t="n">
        <v>0.3336615599070047</v>
      </c>
      <c r="J1670" t="n">
        <v>0.2517764394053053</v>
      </c>
      <c r="K1670" t="n">
        <v>0.3310892237110028</v>
      </c>
      <c r="L1670" t="b">
        <v>0</v>
      </c>
      <c r="M1670" t="b">
        <v>0</v>
      </c>
      <c r="N1670" t="inlineStr">
        <is>
          <t>alt</t>
        </is>
      </c>
      <c r="O1670" t="n">
        <v>-65</v>
      </c>
      <c r="P1670" t="n">
        <v>0.003143</v>
      </c>
      <c r="Q1670" t="n">
        <v>-75</v>
      </c>
      <c r="R1670" t="n">
        <v>0.02295</v>
      </c>
      <c r="S1670">
        <f>IMAGE("https://mitra.stanford.edu/kundaje/oak/projects/neuro-variants/variant_position/credible/roussos_2024/variant_figures/roussos_2024.adolescence.GLU/rs62054393_count_position.png",4,220,900)</f>
        <v/>
      </c>
      <c r="T1670">
        <f>IMAGE("https://mitra.stanford.edu/kundaje/oak/projects/neuro-variants/variant_position/credible/roussos_2024/variant_figures/roussos_2024.adolescence.GLU/rs62054393_profile_position.png",4,220,900)</f>
        <v/>
      </c>
    </row>
    <row r="1671">
      <c r="A1671" t="inlineStr">
        <is>
          <t>chr17</t>
        </is>
      </c>
      <c r="B1671" t="n">
        <v>45733416</v>
      </c>
      <c r="C1671" t="inlineStr">
        <is>
          <t>G</t>
        </is>
      </c>
      <c r="D1671" t="inlineStr">
        <is>
          <t>C</t>
        </is>
      </c>
      <c r="E1671" t="inlineStr">
        <is>
          <t>rs113790915</t>
        </is>
      </c>
      <c r="F1671" t="n">
        <v>0.0090871567</v>
      </c>
      <c r="G1671" t="n">
        <v>0.3954678192641127</v>
      </c>
      <c r="H1671" t="n">
        <v>0.0115389504252228</v>
      </c>
      <c r="I1671" t="n">
        <v>0.3780384818845666</v>
      </c>
      <c r="J1671" t="n">
        <v>0.3204678111894606</v>
      </c>
      <c r="K1671" t="n">
        <v>0.2468576562648278</v>
      </c>
      <c r="L1671" t="b">
        <v>0</v>
      </c>
      <c r="M1671" t="b">
        <v>0</v>
      </c>
      <c r="N1671" t="inlineStr">
        <is>
          <t>alt</t>
        </is>
      </c>
      <c r="O1671" t="n">
        <v>75</v>
      </c>
      <c r="P1671" t="n">
        <v>0.03656</v>
      </c>
      <c r="Q1671" t="n">
        <v>-15</v>
      </c>
      <c r="R1671" t="n">
        <v>0.01434</v>
      </c>
      <c r="S1671">
        <f>IMAGE("https://mitra.stanford.edu/kundaje/oak/projects/neuro-variants/variant_position/credible/roussos_2024/variant_figures/roussos_2024.adolescence.GLU/rs113790915_count_position.png",4,220,900)</f>
        <v/>
      </c>
      <c r="T1671">
        <f>IMAGE("https://mitra.stanford.edu/kundaje/oak/projects/neuro-variants/variant_position/credible/roussos_2024/variant_figures/roussos_2024.adolescence.GLU/rs113790915_profile_position.png",4,220,900)</f>
        <v/>
      </c>
    </row>
    <row r="1672">
      <c r="A1672" t="inlineStr">
        <is>
          <t>chr17</t>
        </is>
      </c>
      <c r="B1672" t="n">
        <v>45733507</v>
      </c>
      <c r="C1672" t="inlineStr">
        <is>
          <t>A</t>
        </is>
      </c>
      <c r="D1672" t="inlineStr">
        <is>
          <t>T</t>
        </is>
      </c>
      <c r="E1672" t="inlineStr">
        <is>
          <t>rs75022332</t>
        </is>
      </c>
      <c r="F1672" t="n">
        <v>0.0231636616999999</v>
      </c>
      <c r="G1672" t="n">
        <v>0.2390364296301063</v>
      </c>
      <c r="H1672" t="n">
        <v>0.0122610154611597</v>
      </c>
      <c r="I1672" t="n">
        <v>0.3125593785123643</v>
      </c>
      <c r="J1672" t="n">
        <v>0.3042101578184052</v>
      </c>
      <c r="K1672" t="n">
        <v>0.2654855420154669</v>
      </c>
      <c r="L1672" t="b">
        <v>0</v>
      </c>
      <c r="M1672" t="b">
        <v>0</v>
      </c>
      <c r="N1672" t="inlineStr">
        <is>
          <t>alt</t>
        </is>
      </c>
      <c r="O1672" t="n">
        <v>-15</v>
      </c>
      <c r="P1672" t="n">
        <v>0.001801</v>
      </c>
      <c r="Q1672" t="n">
        <v>-100</v>
      </c>
      <c r="R1672" t="n">
        <v>0.0392</v>
      </c>
      <c r="S1672">
        <f>IMAGE("https://mitra.stanford.edu/kundaje/oak/projects/neuro-variants/variant_position/credible/roussos_2024/variant_figures/roussos_2024.adolescence.GLU/rs75022332_count_position.png",4,220,900)</f>
        <v/>
      </c>
      <c r="T1672">
        <f>IMAGE("https://mitra.stanford.edu/kundaje/oak/projects/neuro-variants/variant_position/credible/roussos_2024/variant_figures/roussos_2024.adolescence.GLU/rs75022332_profile_position.png",4,220,900)</f>
        <v/>
      </c>
    </row>
    <row r="1673">
      <c r="A1673" t="inlineStr">
        <is>
          <t>chr17</t>
        </is>
      </c>
      <c r="B1673" t="n">
        <v>45733530</v>
      </c>
      <c r="C1673" t="inlineStr">
        <is>
          <t>C</t>
        </is>
      </c>
      <c r="D1673" t="inlineStr">
        <is>
          <t>T</t>
        </is>
      </c>
      <c r="E1673" t="inlineStr">
        <is>
          <t>rs77804065</t>
        </is>
      </c>
      <c r="F1673" t="n">
        <v>-0.0558919362</v>
      </c>
      <c r="G1673" t="n">
        <v>0.0473652772409605</v>
      </c>
      <c r="H1673" t="n">
        <v>0.0116586492906392</v>
      </c>
      <c r="I1673" t="n">
        <v>0.3611482299431263</v>
      </c>
      <c r="J1673" t="n">
        <v>0.2883325831779439</v>
      </c>
      <c r="K1673" t="n">
        <v>0.2841221421021322</v>
      </c>
      <c r="L1673" t="b">
        <v>0</v>
      </c>
      <c r="M1673" t="b">
        <v>0</v>
      </c>
      <c r="N1673" t="inlineStr">
        <is>
          <t>ref</t>
        </is>
      </c>
      <c r="O1673" t="n">
        <v>-35</v>
      </c>
      <c r="P1673" t="n">
        <v>0.000885</v>
      </c>
      <c r="Q1673" t="n">
        <v>-5</v>
      </c>
      <c r="R1673" t="n">
        <v>0.0125</v>
      </c>
      <c r="S1673">
        <f>IMAGE("https://mitra.stanford.edu/kundaje/oak/projects/neuro-variants/variant_position/credible/roussos_2024/variant_figures/roussos_2024.adolescence.GLU/rs77804065_count_position.png",4,220,900)</f>
        <v/>
      </c>
      <c r="T1673">
        <f>IMAGE("https://mitra.stanford.edu/kundaje/oak/projects/neuro-variants/variant_position/credible/roussos_2024/variant_figures/roussos_2024.adolescence.GLU/rs77804065_profile_position.png",4,220,900)</f>
        <v/>
      </c>
    </row>
    <row r="1674">
      <c r="A1674" t="inlineStr">
        <is>
          <t>chr17</t>
        </is>
      </c>
      <c r="B1674" t="n">
        <v>45735233</v>
      </c>
      <c r="C1674" t="inlineStr">
        <is>
          <t>A</t>
        </is>
      </c>
      <c r="D1674" t="inlineStr">
        <is>
          <t>G</t>
        </is>
      </c>
      <c r="E1674" t="inlineStr">
        <is>
          <t>rs62054398</t>
        </is>
      </c>
      <c r="F1674" t="n">
        <v>0.025795065</v>
      </c>
      <c r="G1674" t="n">
        <v>0.2086633664812143</v>
      </c>
      <c r="H1674" t="n">
        <v>0.0070658032197774</v>
      </c>
      <c r="I1674" t="n">
        <v>0.9094430967273142</v>
      </c>
      <c r="J1674" t="n">
        <v>0.2933021840238334</v>
      </c>
      <c r="K1674" t="n">
        <v>0.2802308437913229</v>
      </c>
      <c r="L1674" t="b">
        <v>0</v>
      </c>
      <c r="M1674" t="b">
        <v>0</v>
      </c>
      <c r="N1674" t="inlineStr">
        <is>
          <t>alt</t>
        </is>
      </c>
      <c r="O1674" t="n">
        <v>100</v>
      </c>
      <c r="P1674" t="n">
        <v>0.02107</v>
      </c>
      <c r="Q1674" t="n">
        <v>-25</v>
      </c>
      <c r="R1674" t="n">
        <v>0.033</v>
      </c>
      <c r="S1674">
        <f>IMAGE("https://mitra.stanford.edu/kundaje/oak/projects/neuro-variants/variant_position/credible/roussos_2024/variant_figures/roussos_2024.adolescence.GLU/rs62054398_count_position.png",4,220,900)</f>
        <v/>
      </c>
      <c r="T1674">
        <f>IMAGE("https://mitra.stanford.edu/kundaje/oak/projects/neuro-variants/variant_position/credible/roussos_2024/variant_figures/roussos_2024.adolescence.GLU/rs62054398_profile_position.png",4,220,900)</f>
        <v/>
      </c>
    </row>
    <row r="1675">
      <c r="A1675" t="inlineStr">
        <is>
          <t>chr17</t>
        </is>
      </c>
      <c r="B1675" t="n">
        <v>45735258</v>
      </c>
      <c r="C1675" t="inlineStr">
        <is>
          <t>G</t>
        </is>
      </c>
      <c r="D1675" t="inlineStr">
        <is>
          <t>A</t>
        </is>
      </c>
      <c r="E1675" t="inlineStr">
        <is>
          <t>rs62054399</t>
        </is>
      </c>
      <c r="F1675" t="n">
        <v>-0.0350412388</v>
      </c>
      <c r="G1675" t="n">
        <v>0.1407727241615344</v>
      </c>
      <c r="H1675" t="n">
        <v>0.009652793722881799</v>
      </c>
      <c r="I1675" t="n">
        <v>0.5779905794033561</v>
      </c>
      <c r="J1675" t="n">
        <v>0.2731222896171349</v>
      </c>
      <c r="K1675" t="n">
        <v>0.3051304946755357</v>
      </c>
      <c r="L1675" t="b">
        <v>0</v>
      </c>
      <c r="M1675" t="b">
        <v>0</v>
      </c>
      <c r="N1675" t="inlineStr">
        <is>
          <t>ref</t>
        </is>
      </c>
      <c r="O1675" t="n">
        <v>80</v>
      </c>
      <c r="P1675" t="n">
        <v>0.00847</v>
      </c>
      <c r="Q1675" t="n">
        <v>-50</v>
      </c>
      <c r="R1675" t="n">
        <v>0.05743</v>
      </c>
      <c r="S1675">
        <f>IMAGE("https://mitra.stanford.edu/kundaje/oak/projects/neuro-variants/variant_position/credible/roussos_2024/variant_figures/roussos_2024.adolescence.GLU/rs62054399_count_position.png",4,220,900)</f>
        <v/>
      </c>
      <c r="T1675">
        <f>IMAGE("https://mitra.stanford.edu/kundaje/oak/projects/neuro-variants/variant_position/credible/roussos_2024/variant_figures/roussos_2024.adolescence.GLU/rs62054399_profile_position.png",4,220,900)</f>
        <v/>
      </c>
    </row>
    <row r="1676">
      <c r="A1676" t="inlineStr">
        <is>
          <t>chr17</t>
        </is>
      </c>
      <c r="B1676" t="n">
        <v>45737970</v>
      </c>
      <c r="C1676" t="inlineStr">
        <is>
          <t>A</t>
        </is>
      </c>
      <c r="D1676" t="inlineStr">
        <is>
          <t>G</t>
        </is>
      </c>
      <c r="E1676" t="inlineStr">
        <is>
          <t>rs56298110</t>
        </is>
      </c>
      <c r="F1676" t="n">
        <v>0.0190104662</v>
      </c>
      <c r="G1676" t="n">
        <v>0.2919118317773648</v>
      </c>
      <c r="H1676" t="n">
        <v>0.008045572067539499</v>
      </c>
      <c r="I1676" t="n">
        <v>0.7820248527838924</v>
      </c>
      <c r="J1676" t="n">
        <v>0.1287638153617534</v>
      </c>
      <c r="K1676" t="n">
        <v>0.5127202980576721</v>
      </c>
      <c r="L1676" t="b">
        <v>0</v>
      </c>
      <c r="M1676" t="b">
        <v>0</v>
      </c>
      <c r="N1676" t="inlineStr">
        <is>
          <t>alt</t>
        </is>
      </c>
      <c r="O1676" t="n">
        <v>-100</v>
      </c>
      <c r="P1676" t="n">
        <v>0.002838</v>
      </c>
      <c r="Q1676" t="n">
        <v>100</v>
      </c>
      <c r="R1676" t="n">
        <v>0.0835</v>
      </c>
      <c r="S1676">
        <f>IMAGE("https://mitra.stanford.edu/kundaje/oak/projects/neuro-variants/variant_position/credible/roussos_2024/variant_figures/roussos_2024.adolescence.GLU/rs56298110_count_position.png",4,220,900)</f>
        <v/>
      </c>
      <c r="T1676">
        <f>IMAGE("https://mitra.stanford.edu/kundaje/oak/projects/neuro-variants/variant_position/credible/roussos_2024/variant_figures/roussos_2024.adolescence.GLU/rs56298110_profile_position.png",4,220,900)</f>
        <v/>
      </c>
    </row>
    <row r="1677">
      <c r="A1677" t="inlineStr">
        <is>
          <t>chr17</t>
        </is>
      </c>
      <c r="B1677" t="n">
        <v>45739239</v>
      </c>
      <c r="C1677" t="inlineStr">
        <is>
          <t>A</t>
        </is>
      </c>
      <c r="D1677" t="inlineStr">
        <is>
          <t>C</t>
        </is>
      </c>
      <c r="E1677" t="inlineStr">
        <is>
          <t>rs62054419</t>
        </is>
      </c>
      <c r="F1677" t="n">
        <v>-0.015187645</v>
      </c>
      <c r="G1677" t="n">
        <v>0.3899147121458117</v>
      </c>
      <c r="H1677" t="n">
        <v>0.0179587099069282</v>
      </c>
      <c r="I1677" t="n">
        <v>0.0861008856703717</v>
      </c>
      <c r="J1677" t="n">
        <v>0.1166413042701702</v>
      </c>
      <c r="K1677" t="n">
        <v>0.5374506302104618</v>
      </c>
      <c r="L1677" t="b">
        <v>0</v>
      </c>
      <c r="M1677" t="b">
        <v>0</v>
      </c>
      <c r="N1677" t="inlineStr">
        <is>
          <t>ref</t>
        </is>
      </c>
      <c r="O1677" t="n">
        <v>40</v>
      </c>
      <c r="P1677" t="n">
        <v>0.003881</v>
      </c>
      <c r="Q1677" t="n">
        <v>95</v>
      </c>
      <c r="R1677" t="n">
        <v>0.0852</v>
      </c>
      <c r="S1677">
        <f>IMAGE("https://mitra.stanford.edu/kundaje/oak/projects/neuro-variants/variant_position/credible/roussos_2024/variant_figures/roussos_2024.adolescence.GLU/rs62054419_count_position.png",4,220,900)</f>
        <v/>
      </c>
      <c r="T1677">
        <f>IMAGE("https://mitra.stanford.edu/kundaje/oak/projects/neuro-variants/variant_position/credible/roussos_2024/variant_figures/roussos_2024.adolescence.GLU/rs62054419_profile_position.png",4,220,900)</f>
        <v/>
      </c>
    </row>
    <row r="1678">
      <c r="A1678" t="inlineStr">
        <is>
          <t>chr17</t>
        </is>
      </c>
      <c r="B1678" t="n">
        <v>45740856</v>
      </c>
      <c r="C1678" t="inlineStr">
        <is>
          <t>C</t>
        </is>
      </c>
      <c r="D1678" t="inlineStr">
        <is>
          <t>A</t>
        </is>
      </c>
      <c r="E1678" t="inlineStr">
        <is>
          <t>rs17563827</t>
        </is>
      </c>
      <c r="F1678" t="n">
        <v>0.0396879162</v>
      </c>
      <c r="G1678" t="n">
        <v>0.1094546641305654</v>
      </c>
      <c r="H1678" t="n">
        <v>0.0220682038718628</v>
      </c>
      <c r="I1678" t="n">
        <v>0.0359403472827492</v>
      </c>
      <c r="J1678" t="n">
        <v>0.6441205678319081</v>
      </c>
      <c r="K1678" t="n">
        <v>0.0252679884542715</v>
      </c>
      <c r="L1678" t="b">
        <v>0</v>
      </c>
      <c r="M1678" t="b">
        <v>0</v>
      </c>
      <c r="N1678" t="inlineStr">
        <is>
          <t>alt</t>
        </is>
      </c>
      <c r="O1678" t="n">
        <v>-100</v>
      </c>
      <c r="P1678" t="n">
        <v>0.08405</v>
      </c>
      <c r="Q1678" t="n">
        <v>-100</v>
      </c>
      <c r="R1678" t="n">
        <v>0.361</v>
      </c>
      <c r="S1678">
        <f>IMAGE("https://mitra.stanford.edu/kundaje/oak/projects/neuro-variants/variant_position/credible/roussos_2024/variant_figures/roussos_2024.adolescence.GLU/rs17563827_count_position.png",4,220,900)</f>
        <v/>
      </c>
      <c r="T1678">
        <f>IMAGE("https://mitra.stanford.edu/kundaje/oak/projects/neuro-variants/variant_position/credible/roussos_2024/variant_figures/roussos_2024.adolescence.GLU/rs17563827_profile_position.png",4,220,900)</f>
        <v/>
      </c>
    </row>
    <row r="1679">
      <c r="A1679" t="inlineStr">
        <is>
          <t>chr17</t>
        </is>
      </c>
      <c r="B1679" t="n">
        <v>45742018</v>
      </c>
      <c r="C1679" t="inlineStr">
        <is>
          <t>G</t>
        </is>
      </c>
      <c r="D1679" t="inlineStr">
        <is>
          <t>A</t>
        </is>
      </c>
      <c r="E1679" t="inlineStr">
        <is>
          <t>rs62054424</t>
        </is>
      </c>
      <c r="F1679" t="n">
        <v>-0.0703598666</v>
      </c>
      <c r="G1679" t="n">
        <v>0.0263531517046491</v>
      </c>
      <c r="H1679" t="n">
        <v>0.0175877290988985</v>
      </c>
      <c r="I1679" t="n">
        <v>0.099594898591717</v>
      </c>
      <c r="J1679" t="n">
        <v>0.375356323809932</v>
      </c>
      <c r="K1679" t="n">
        <v>0.1914964901017312</v>
      </c>
      <c r="L1679" t="b">
        <v>0</v>
      </c>
      <c r="M1679" t="b">
        <v>0</v>
      </c>
      <c r="N1679" t="inlineStr">
        <is>
          <t>ref</t>
        </is>
      </c>
      <c r="O1679" t="n">
        <v>-100</v>
      </c>
      <c r="P1679" t="n">
        <v>0.00889</v>
      </c>
      <c r="Q1679" t="n">
        <v>-55</v>
      </c>
      <c r="R1679" t="n">
        <v>0.04578</v>
      </c>
      <c r="S1679">
        <f>IMAGE("https://mitra.stanford.edu/kundaje/oak/projects/neuro-variants/variant_position/credible/roussos_2024/variant_figures/roussos_2024.adolescence.GLU/rs62054424_count_position.png",4,220,900)</f>
        <v/>
      </c>
      <c r="T1679">
        <f>IMAGE("https://mitra.stanford.edu/kundaje/oak/projects/neuro-variants/variant_position/credible/roussos_2024/variant_figures/roussos_2024.adolescence.GLU/rs62054424_profile_position.png",4,220,900)</f>
        <v/>
      </c>
    </row>
    <row r="1680">
      <c r="A1680" t="inlineStr">
        <is>
          <t>chr17</t>
        </is>
      </c>
      <c r="B1680" t="n">
        <v>45743375</v>
      </c>
      <c r="C1680" t="inlineStr">
        <is>
          <t>A</t>
        </is>
      </c>
      <c r="D1680" t="inlineStr">
        <is>
          <t>T</t>
        </is>
      </c>
      <c r="E1680" t="inlineStr">
        <is>
          <t>rs62054426</t>
        </is>
      </c>
      <c r="F1680" t="n">
        <v>0.0535002756</v>
      </c>
      <c r="G1680" t="n">
        <v>0.0605929098587492</v>
      </c>
      <c r="H1680" t="n">
        <v>0.0149435244900884</v>
      </c>
      <c r="I1680" t="n">
        <v>0.19552784812961</v>
      </c>
      <c r="J1680" t="n">
        <v>0.4209329075308456</v>
      </c>
      <c r="K1680" t="n">
        <v>0.1485823766588966</v>
      </c>
      <c r="L1680" t="b">
        <v>0</v>
      </c>
      <c r="M1680" t="b">
        <v>0</v>
      </c>
      <c r="N1680" t="inlineStr">
        <is>
          <t>alt</t>
        </is>
      </c>
      <c r="O1680" t="n">
        <v>40</v>
      </c>
      <c r="P1680" t="n">
        <v>0.010956</v>
      </c>
      <c r="Q1680" t="n">
        <v>20</v>
      </c>
      <c r="R1680" t="n">
        <v>0.02026</v>
      </c>
      <c r="S1680">
        <f>IMAGE("https://mitra.stanford.edu/kundaje/oak/projects/neuro-variants/variant_position/credible/roussos_2024/variant_figures/roussos_2024.adolescence.GLU/rs62054426_count_position.png",4,220,900)</f>
        <v/>
      </c>
      <c r="T1680">
        <f>IMAGE("https://mitra.stanford.edu/kundaje/oak/projects/neuro-variants/variant_position/credible/roussos_2024/variant_figures/roussos_2024.adolescence.GLU/rs62054426_profile_position.png",4,220,900)</f>
        <v/>
      </c>
    </row>
    <row r="1681">
      <c r="A1681" t="inlineStr">
        <is>
          <t>chr17</t>
        </is>
      </c>
      <c r="B1681" t="n">
        <v>45744319</v>
      </c>
      <c r="C1681" t="inlineStr">
        <is>
          <t>C</t>
        </is>
      </c>
      <c r="D1681" t="inlineStr">
        <is>
          <t>A</t>
        </is>
      </c>
      <c r="E1681" t="inlineStr">
        <is>
          <t>rs74464991</t>
        </is>
      </c>
      <c r="F1681" t="n">
        <v>0.0146351049999999</v>
      </c>
      <c r="G1681" t="n">
        <v>0.3879370642968876</v>
      </c>
      <c r="H1681" t="n">
        <v>0.0265424463188152</v>
      </c>
      <c r="I1681" t="n">
        <v>0.0159090244904819</v>
      </c>
      <c r="J1681" t="n">
        <v>0.2497874559730229</v>
      </c>
      <c r="K1681" t="n">
        <v>0.3314398407822164</v>
      </c>
      <c r="L1681" t="b">
        <v>1</v>
      </c>
      <c r="M1681" t="b">
        <v>0</v>
      </c>
      <c r="N1681" t="inlineStr">
        <is>
          <t>alt</t>
        </is>
      </c>
      <c r="O1681" t="n">
        <v>75</v>
      </c>
      <c r="P1681" t="n">
        <v>0.02449</v>
      </c>
      <c r="Q1681" t="n">
        <v>-45</v>
      </c>
      <c r="R1681" t="n">
        <v>0.036</v>
      </c>
      <c r="S1681">
        <f>IMAGE("https://mitra.stanford.edu/kundaje/oak/projects/neuro-variants/variant_position/credible/roussos_2024/variant_figures/roussos_2024.adolescence.GLU/rs74464991_count_position.png",4,220,900)</f>
        <v/>
      </c>
      <c r="T1681">
        <f>IMAGE("https://mitra.stanford.edu/kundaje/oak/projects/neuro-variants/variant_position/credible/roussos_2024/variant_figures/roussos_2024.adolescence.GLU/rs74464991_profile_position.png",4,220,900)</f>
        <v/>
      </c>
    </row>
    <row r="1682">
      <c r="A1682" t="inlineStr">
        <is>
          <t>chr17</t>
        </is>
      </c>
      <c r="B1682" t="n">
        <v>45745032</v>
      </c>
      <c r="C1682" t="inlineStr">
        <is>
          <t>T</t>
        </is>
      </c>
      <c r="D1682" t="inlineStr">
        <is>
          <t>C</t>
        </is>
      </c>
      <c r="E1682" t="inlineStr">
        <is>
          <t>rs2004260</t>
        </is>
      </c>
      <c r="F1682" t="n">
        <v>0.0458942497999999</v>
      </c>
      <c r="G1682" t="n">
        <v>0.0772988465309164</v>
      </c>
      <c r="H1682" t="n">
        <v>0.0140165338760516</v>
      </c>
      <c r="I1682" t="n">
        <v>0.2272523713832374</v>
      </c>
      <c r="J1682" t="n">
        <v>0.1868815683248672</v>
      </c>
      <c r="K1682" t="n">
        <v>0.4232606619089458</v>
      </c>
      <c r="L1682" t="b">
        <v>0</v>
      </c>
      <c r="M1682" t="b">
        <v>0</v>
      </c>
      <c r="N1682" t="inlineStr">
        <is>
          <t>alt</t>
        </is>
      </c>
      <c r="O1682" t="n">
        <v>-50</v>
      </c>
      <c r="P1682" t="n">
        <v>0.008330000000000001</v>
      </c>
      <c r="Q1682" t="n">
        <v>95</v>
      </c>
      <c r="R1682" t="n">
        <v>0.08575000000000001</v>
      </c>
      <c r="S1682">
        <f>IMAGE("https://mitra.stanford.edu/kundaje/oak/projects/neuro-variants/variant_position/credible/roussos_2024/variant_figures/roussos_2024.adolescence.GLU/rs2004260_count_position.png",4,220,900)</f>
        <v/>
      </c>
      <c r="T1682">
        <f>IMAGE("https://mitra.stanford.edu/kundaje/oak/projects/neuro-variants/variant_position/credible/roussos_2024/variant_figures/roussos_2024.adolescence.GLU/rs2004260_profile_position.png",4,220,900)</f>
        <v/>
      </c>
    </row>
    <row r="1683">
      <c r="A1683" t="inlineStr">
        <is>
          <t>chr17</t>
        </is>
      </c>
      <c r="B1683" t="n">
        <v>45748112</v>
      </c>
      <c r="C1683" t="inlineStr">
        <is>
          <t>G</t>
        </is>
      </c>
      <c r="D1683" t="inlineStr">
        <is>
          <t>A</t>
        </is>
      </c>
      <c r="E1683" t="inlineStr">
        <is>
          <t>rs75715199</t>
        </is>
      </c>
      <c r="F1683" t="n">
        <v>-0.00809367246</v>
      </c>
      <c r="G1683" t="n">
        <v>0.5719696886681718</v>
      </c>
      <c r="H1683" t="n">
        <v>0.0165277087941348</v>
      </c>
      <c r="I1683" t="n">
        <v>0.1201386527938483</v>
      </c>
      <c r="J1683" t="n">
        <v>0.4379778668438462</v>
      </c>
      <c r="K1683" t="n">
        <v>0.1341628191576207</v>
      </c>
      <c r="L1683" t="b">
        <v>0</v>
      </c>
      <c r="M1683" t="b">
        <v>0</v>
      </c>
      <c r="N1683" t="inlineStr">
        <is>
          <t>ref</t>
        </is>
      </c>
      <c r="O1683" t="n">
        <v>-25</v>
      </c>
      <c r="P1683" t="n">
        <v>0.002014</v>
      </c>
      <c r="Q1683" t="n">
        <v>-25</v>
      </c>
      <c r="R1683" t="n">
        <v>0.03052</v>
      </c>
      <c r="S1683">
        <f>IMAGE("https://mitra.stanford.edu/kundaje/oak/projects/neuro-variants/variant_position/credible/roussos_2024/variant_figures/roussos_2024.adolescence.GLU/rs75715199_count_position.png",4,220,900)</f>
        <v/>
      </c>
      <c r="T1683">
        <f>IMAGE("https://mitra.stanford.edu/kundaje/oak/projects/neuro-variants/variant_position/credible/roussos_2024/variant_figures/roussos_2024.adolescence.GLU/rs75715199_profile_position.png",4,220,900)</f>
        <v/>
      </c>
    </row>
    <row r="1684">
      <c r="A1684" t="inlineStr">
        <is>
          <t>chr17</t>
        </is>
      </c>
      <c r="B1684" t="n">
        <v>45748359</v>
      </c>
      <c r="C1684" t="inlineStr">
        <is>
          <t>G</t>
        </is>
      </c>
      <c r="D1684" t="inlineStr">
        <is>
          <t>T</t>
        </is>
      </c>
      <c r="E1684" t="inlineStr">
        <is>
          <t>rs62054439</t>
        </is>
      </c>
      <c r="F1684" t="n">
        <v>0.00425433024</v>
      </c>
      <c r="G1684" t="n">
        <v>0.6977284188684355</v>
      </c>
      <c r="H1684" t="n">
        <v>0.0140591580335035</v>
      </c>
      <c r="I1684" t="n">
        <v>0.1975034863820629</v>
      </c>
      <c r="J1684" t="n">
        <v>0.4765344249880332</v>
      </c>
      <c r="K1684" t="n">
        <v>0.1053738268059804</v>
      </c>
      <c r="L1684" t="b">
        <v>0</v>
      </c>
      <c r="M1684" t="b">
        <v>0</v>
      </c>
      <c r="N1684" t="inlineStr">
        <is>
          <t>alt</t>
        </is>
      </c>
      <c r="O1684" t="n">
        <v>-100</v>
      </c>
      <c r="P1684" t="n">
        <v>0.0123</v>
      </c>
      <c r="Q1684" t="n">
        <v>-100</v>
      </c>
      <c r="R1684" t="n">
        <v>0.1436</v>
      </c>
      <c r="S1684">
        <f>IMAGE("https://mitra.stanford.edu/kundaje/oak/projects/neuro-variants/variant_position/credible/roussos_2024/variant_figures/roussos_2024.adolescence.GLU/rs62054439_count_position.png",4,220,900)</f>
        <v/>
      </c>
      <c r="T1684">
        <f>IMAGE("https://mitra.stanford.edu/kundaje/oak/projects/neuro-variants/variant_position/credible/roussos_2024/variant_figures/roussos_2024.adolescence.GLU/rs62054439_profile_position.png",4,220,900)</f>
        <v/>
      </c>
    </row>
    <row r="1685">
      <c r="A1685" t="inlineStr">
        <is>
          <t>chr17</t>
        </is>
      </c>
      <c r="B1685" t="n">
        <v>45748985</v>
      </c>
      <c r="C1685" t="inlineStr">
        <is>
          <t>A</t>
        </is>
      </c>
      <c r="D1685" t="inlineStr">
        <is>
          <t>G</t>
        </is>
      </c>
      <c r="E1685" t="inlineStr">
        <is>
          <t>rs12150363</t>
        </is>
      </c>
      <c r="F1685" t="n">
        <v>0.0550495774</v>
      </c>
      <c r="G1685" t="n">
        <v>0.0476089409349876</v>
      </c>
      <c r="H1685" t="n">
        <v>0.0157680133548078</v>
      </c>
      <c r="I1685" t="n">
        <v>0.1363858083007836</v>
      </c>
      <c r="J1685" t="n">
        <v>0.4902644119138964</v>
      </c>
      <c r="K1685" t="n">
        <v>0.09542872689118399</v>
      </c>
      <c r="L1685" t="b">
        <v>0</v>
      </c>
      <c r="M1685" t="b">
        <v>0</v>
      </c>
      <c r="N1685" t="inlineStr">
        <is>
          <t>alt</t>
        </is>
      </c>
      <c r="O1685" t="n">
        <v>60</v>
      </c>
      <c r="P1685" t="n">
        <v>0.003159</v>
      </c>
      <c r="Q1685" t="n">
        <v>50</v>
      </c>
      <c r="R1685" t="n">
        <v>0.01807</v>
      </c>
      <c r="S1685">
        <f>IMAGE("https://mitra.stanford.edu/kundaje/oak/projects/neuro-variants/variant_position/credible/roussos_2024/variant_figures/roussos_2024.adolescence.GLU/rs12150363_count_position.png",4,220,900)</f>
        <v/>
      </c>
      <c r="T1685">
        <f>IMAGE("https://mitra.stanford.edu/kundaje/oak/projects/neuro-variants/variant_position/credible/roussos_2024/variant_figures/roussos_2024.adolescence.GLU/rs12150363_profile_position.png",4,220,900)</f>
        <v/>
      </c>
    </row>
    <row r="1686">
      <c r="A1686" t="inlineStr">
        <is>
          <t>chr17</t>
        </is>
      </c>
      <c r="B1686" t="n">
        <v>45750025</v>
      </c>
      <c r="C1686" t="inlineStr">
        <is>
          <t>G</t>
        </is>
      </c>
      <c r="D1686" t="inlineStr">
        <is>
          <t>C</t>
        </is>
      </c>
      <c r="E1686" t="inlineStr">
        <is>
          <t>rs62054440</t>
        </is>
      </c>
      <c r="F1686" t="n">
        <v>0.0074432673799999</v>
      </c>
      <c r="G1686" t="n">
        <v>0.6100411257218389</v>
      </c>
      <c r="H1686" t="n">
        <v>0.008092287684552901</v>
      </c>
      <c r="I1686" t="n">
        <v>0.7524364546876842</v>
      </c>
      <c r="J1686" t="n">
        <v>0.5040115452486587</v>
      </c>
      <c r="K1686" t="n">
        <v>0.08583575173915919</v>
      </c>
      <c r="L1686" t="b">
        <v>0</v>
      </c>
      <c r="M1686" t="b">
        <v>0</v>
      </c>
      <c r="N1686" t="inlineStr">
        <is>
          <t>alt</t>
        </is>
      </c>
      <c r="O1686" t="n">
        <v>-100</v>
      </c>
      <c r="P1686" t="n">
        <v>0.006817</v>
      </c>
      <c r="Q1686" t="n">
        <v>-100</v>
      </c>
      <c r="R1686" t="n">
        <v>0.1022</v>
      </c>
      <c r="S1686">
        <f>IMAGE("https://mitra.stanford.edu/kundaje/oak/projects/neuro-variants/variant_position/credible/roussos_2024/variant_figures/roussos_2024.adolescence.GLU/rs62054440_count_position.png",4,220,900)</f>
        <v/>
      </c>
      <c r="T1686">
        <f>IMAGE("https://mitra.stanford.edu/kundaje/oak/projects/neuro-variants/variant_position/credible/roussos_2024/variant_figures/roussos_2024.adolescence.GLU/rs62054440_profile_position.png",4,220,900)</f>
        <v/>
      </c>
    </row>
    <row r="1687">
      <c r="A1687" t="inlineStr">
        <is>
          <t>chr17</t>
        </is>
      </c>
      <c r="B1687" t="n">
        <v>45750855</v>
      </c>
      <c r="C1687" t="inlineStr">
        <is>
          <t>T</t>
        </is>
      </c>
      <c r="D1687" t="inlineStr">
        <is>
          <t>A</t>
        </is>
      </c>
      <c r="E1687" t="inlineStr">
        <is>
          <t>rs12150604</t>
        </is>
      </c>
      <c r="F1687" t="n">
        <v>0.0148453067</v>
      </c>
      <c r="G1687" t="n">
        <v>0.3712297915939221</v>
      </c>
      <c r="H1687" t="n">
        <v>0.008583155126668299</v>
      </c>
      <c r="I1687" t="n">
        <v>0.7211805560978821</v>
      </c>
      <c r="J1687" t="n">
        <v>0.502934179222839</v>
      </c>
      <c r="K1687" t="n">
        <v>0.0871258694167347</v>
      </c>
      <c r="L1687" t="b">
        <v>0</v>
      </c>
      <c r="M1687" t="b">
        <v>0</v>
      </c>
      <c r="N1687" t="inlineStr">
        <is>
          <t>alt</t>
        </is>
      </c>
      <c r="O1687" t="n">
        <v>40</v>
      </c>
      <c r="P1687" t="n">
        <v>0.005695</v>
      </c>
      <c r="Q1687" t="n">
        <v>-30</v>
      </c>
      <c r="R1687" t="n">
        <v>0.03986</v>
      </c>
      <c r="S1687">
        <f>IMAGE("https://mitra.stanford.edu/kundaje/oak/projects/neuro-variants/variant_position/credible/roussos_2024/variant_figures/roussos_2024.adolescence.GLU/rs12150604_count_position.png",4,220,900)</f>
        <v/>
      </c>
      <c r="T1687">
        <f>IMAGE("https://mitra.stanford.edu/kundaje/oak/projects/neuro-variants/variant_position/credible/roussos_2024/variant_figures/roussos_2024.adolescence.GLU/rs12150604_profile_position.png",4,220,900)</f>
        <v/>
      </c>
    </row>
    <row r="1688">
      <c r="A1688" t="inlineStr">
        <is>
          <t>chr17</t>
        </is>
      </c>
      <c r="B1688" t="n">
        <v>45751332</v>
      </c>
      <c r="C1688" t="inlineStr">
        <is>
          <t>C</t>
        </is>
      </c>
      <c r="D1688" t="inlineStr">
        <is>
          <t>T</t>
        </is>
      </c>
      <c r="E1688" t="inlineStr">
        <is>
          <t>rs17426064</t>
        </is>
      </c>
      <c r="F1688" t="n">
        <v>-0.0617581228</v>
      </c>
      <c r="G1688" t="n">
        <v>0.0363586349167936</v>
      </c>
      <c r="H1688" t="n">
        <v>0.0126920039793722</v>
      </c>
      <c r="I1688" t="n">
        <v>0.2768394447591482</v>
      </c>
      <c r="J1688" t="n">
        <v>0.5542519521900966</v>
      </c>
      <c r="K1688" t="n">
        <v>0.0577893982062074</v>
      </c>
      <c r="L1688" t="b">
        <v>0</v>
      </c>
      <c r="M1688" t="b">
        <v>0</v>
      </c>
      <c r="N1688" t="inlineStr">
        <is>
          <t>ref</t>
        </is>
      </c>
      <c r="O1688" t="n">
        <v>100</v>
      </c>
      <c r="P1688" t="n">
        <v>0.002314</v>
      </c>
      <c r="Q1688" t="n">
        <v>-5</v>
      </c>
      <c r="R1688" t="n">
        <v>0.00415</v>
      </c>
      <c r="S1688">
        <f>IMAGE("https://mitra.stanford.edu/kundaje/oak/projects/neuro-variants/variant_position/credible/roussos_2024/variant_figures/roussos_2024.adolescence.GLU/rs17426064_count_position.png",4,220,900)</f>
        <v/>
      </c>
      <c r="T1688">
        <f>IMAGE("https://mitra.stanford.edu/kundaje/oak/projects/neuro-variants/variant_position/credible/roussos_2024/variant_figures/roussos_2024.adolescence.GLU/rs17426064_profile_position.png",4,220,900)</f>
        <v/>
      </c>
    </row>
    <row r="1689">
      <c r="A1689" t="inlineStr">
        <is>
          <t>chr17</t>
        </is>
      </c>
      <c r="B1689" t="n">
        <v>45751987</v>
      </c>
      <c r="C1689" t="inlineStr">
        <is>
          <t>A</t>
        </is>
      </c>
      <c r="D1689" t="inlineStr">
        <is>
          <t>G</t>
        </is>
      </c>
      <c r="E1689" t="inlineStr">
        <is>
          <t>rs62054442</t>
        </is>
      </c>
      <c r="F1689" t="n">
        <v>0.0428763092</v>
      </c>
      <c r="G1689" t="n">
        <v>0.0885368951543752</v>
      </c>
      <c r="H1689" t="n">
        <v>0.0120920945001529</v>
      </c>
      <c r="I1689" t="n">
        <v>0.3269070027458561</v>
      </c>
      <c r="J1689" t="n">
        <v>0.5179287138050024</v>
      </c>
      <c r="K1689" t="n">
        <v>0.07814376308502</v>
      </c>
      <c r="L1689" t="b">
        <v>0</v>
      </c>
      <c r="M1689" t="b">
        <v>0</v>
      </c>
      <c r="N1689" t="inlineStr">
        <is>
          <t>alt</t>
        </is>
      </c>
      <c r="O1689" t="n">
        <v>-100</v>
      </c>
      <c r="P1689" t="n">
        <v>0.01813</v>
      </c>
      <c r="Q1689" t="n">
        <v>10</v>
      </c>
      <c r="R1689" t="n">
        <v>0.005188</v>
      </c>
      <c r="S1689">
        <f>IMAGE("https://mitra.stanford.edu/kundaje/oak/projects/neuro-variants/variant_position/credible/roussos_2024/variant_figures/roussos_2024.adolescence.GLU/rs62054442_count_position.png",4,220,900)</f>
        <v/>
      </c>
      <c r="T1689">
        <f>IMAGE("https://mitra.stanford.edu/kundaje/oak/projects/neuro-variants/variant_position/credible/roussos_2024/variant_figures/roussos_2024.adolescence.GLU/rs62054442_profile_position.png",4,220,900)</f>
        <v/>
      </c>
    </row>
    <row r="1690">
      <c r="A1690" t="inlineStr">
        <is>
          <t>chr17</t>
        </is>
      </c>
      <c r="B1690" t="n">
        <v>45754971</v>
      </c>
      <c r="C1690" t="inlineStr">
        <is>
          <t>A</t>
        </is>
      </c>
      <c r="D1690" t="inlineStr">
        <is>
          <t>G</t>
        </is>
      </c>
      <c r="E1690" t="inlineStr">
        <is>
          <t>rs35631660</t>
        </is>
      </c>
      <c r="F1690" t="n">
        <v>0.0666257422</v>
      </c>
      <c r="G1690" t="n">
        <v>0.0306677324918727</v>
      </c>
      <c r="H1690" t="n">
        <v>0.0137179975574449</v>
      </c>
      <c r="I1690" t="n">
        <v>0.2432332193720155</v>
      </c>
      <c r="J1690" t="n">
        <v>0.2688356873923884</v>
      </c>
      <c r="K1690" t="n">
        <v>0.3092032820276221</v>
      </c>
      <c r="L1690" t="b">
        <v>0</v>
      </c>
      <c r="M1690" t="b">
        <v>0</v>
      </c>
      <c r="N1690" t="inlineStr">
        <is>
          <t>alt</t>
        </is>
      </c>
      <c r="O1690" t="n">
        <v>-100</v>
      </c>
      <c r="P1690" t="n">
        <v>0.009220000000000001</v>
      </c>
      <c r="Q1690" t="n">
        <v>80</v>
      </c>
      <c r="R1690" t="n">
        <v>0.0384</v>
      </c>
      <c r="S1690">
        <f>IMAGE("https://mitra.stanford.edu/kundaje/oak/projects/neuro-variants/variant_position/credible/roussos_2024/variant_figures/roussos_2024.adolescence.GLU/rs35631660_count_position.png",4,220,900)</f>
        <v/>
      </c>
      <c r="T1690">
        <f>IMAGE("https://mitra.stanford.edu/kundaje/oak/projects/neuro-variants/variant_position/credible/roussos_2024/variant_figures/roussos_2024.adolescence.GLU/rs35631660_profile_position.png",4,220,900)</f>
        <v/>
      </c>
    </row>
    <row r="1691">
      <c r="A1691" t="inlineStr">
        <is>
          <t>chr17</t>
        </is>
      </c>
      <c r="B1691" t="n">
        <v>45755574</v>
      </c>
      <c r="C1691" t="inlineStr">
        <is>
          <t>A</t>
        </is>
      </c>
      <c r="D1691" t="inlineStr">
        <is>
          <t>G</t>
        </is>
      </c>
      <c r="E1691" t="inlineStr">
        <is>
          <t>rs62055876</t>
        </is>
      </c>
      <c r="F1691" t="n">
        <v>0.0603580418</v>
      </c>
      <c r="G1691" t="n">
        <v>0.0343104797723007</v>
      </c>
      <c r="H1691" t="n">
        <v>0.0112921557565091</v>
      </c>
      <c r="I1691" t="n">
        <v>0.3983211020061583</v>
      </c>
      <c r="J1691" t="n">
        <v>0.4236677597502339</v>
      </c>
      <c r="K1691" t="n">
        <v>0.1461831949117264</v>
      </c>
      <c r="L1691" t="b">
        <v>0</v>
      </c>
      <c r="M1691" t="b">
        <v>0</v>
      </c>
      <c r="N1691" t="inlineStr">
        <is>
          <t>alt</t>
        </is>
      </c>
      <c r="O1691" t="n">
        <v>65</v>
      </c>
      <c r="P1691" t="n">
        <v>0.00532</v>
      </c>
      <c r="Q1691" t="n">
        <v>-100</v>
      </c>
      <c r="R1691" t="n">
        <v>0.06945999999999999</v>
      </c>
      <c r="S1691">
        <f>IMAGE("https://mitra.stanford.edu/kundaje/oak/projects/neuro-variants/variant_position/credible/roussos_2024/variant_figures/roussos_2024.adolescence.GLU/rs62055876_count_position.png",4,220,900)</f>
        <v/>
      </c>
      <c r="T1691">
        <f>IMAGE("https://mitra.stanford.edu/kundaje/oak/projects/neuro-variants/variant_position/credible/roussos_2024/variant_figures/roussos_2024.adolescence.GLU/rs62055876_profile_position.png",4,220,900)</f>
        <v/>
      </c>
    </row>
    <row r="1692">
      <c r="A1692" t="inlineStr">
        <is>
          <t>chr17</t>
        </is>
      </c>
      <c r="B1692" t="n">
        <v>45756615</v>
      </c>
      <c r="C1692" t="inlineStr">
        <is>
          <t>A</t>
        </is>
      </c>
      <c r="D1692" t="inlineStr">
        <is>
          <t>G</t>
        </is>
      </c>
      <c r="E1692" t="inlineStr">
        <is>
          <t>rs34579278</t>
        </is>
      </c>
      <c r="F1692" t="n">
        <v>0.07778146900000001</v>
      </c>
      <c r="G1692" t="n">
        <v>0.0159163715577674</v>
      </c>
      <c r="H1692" t="n">
        <v>0.0127664819860924</v>
      </c>
      <c r="I1692" t="n">
        <v>0.2812753770902866</v>
      </c>
      <c r="J1692" t="n">
        <v>0.5136806910002786</v>
      </c>
      <c r="K1692" t="n">
        <v>0.0791852236971861</v>
      </c>
      <c r="L1692" t="b">
        <v>1</v>
      </c>
      <c r="M1692" t="b">
        <v>0</v>
      </c>
      <c r="N1692" t="inlineStr">
        <is>
          <t>alt</t>
        </is>
      </c>
      <c r="O1692" t="n">
        <v>100</v>
      </c>
      <c r="P1692" t="n">
        <v>0.00576</v>
      </c>
      <c r="Q1692" t="n">
        <v>100</v>
      </c>
      <c r="R1692" t="n">
        <v>0.1492</v>
      </c>
      <c r="S1692">
        <f>IMAGE("https://mitra.stanford.edu/kundaje/oak/projects/neuro-variants/variant_position/credible/roussos_2024/variant_figures/roussos_2024.adolescence.GLU/rs34579278_count_position.png",4,220,900)</f>
        <v/>
      </c>
      <c r="T1692">
        <f>IMAGE("https://mitra.stanford.edu/kundaje/oak/projects/neuro-variants/variant_position/credible/roussos_2024/variant_figures/roussos_2024.adolescence.GLU/rs34579278_profile_position.png",4,220,900)</f>
        <v/>
      </c>
    </row>
    <row r="1693">
      <c r="A1693" t="inlineStr">
        <is>
          <t>chr17</t>
        </is>
      </c>
      <c r="B1693" t="n">
        <v>45756708</v>
      </c>
      <c r="C1693" t="inlineStr">
        <is>
          <t>C</t>
        </is>
      </c>
      <c r="D1693" t="inlineStr">
        <is>
          <t>G</t>
        </is>
      </c>
      <c r="E1693" t="inlineStr">
        <is>
          <t>rs34211253</t>
        </is>
      </c>
      <c r="F1693" t="n">
        <v>0.0330879482</v>
      </c>
      <c r="G1693" t="n">
        <v>0.149014440430442</v>
      </c>
      <c r="H1693" t="n">
        <v>0.0133181461230876</v>
      </c>
      <c r="I1693" t="n">
        <v>0.247468302745819</v>
      </c>
      <c r="J1693" t="n">
        <v>0.4851276335812418</v>
      </c>
      <c r="K1693" t="n">
        <v>0.0981820209410863</v>
      </c>
      <c r="L1693" t="b">
        <v>0</v>
      </c>
      <c r="M1693" t="b">
        <v>0</v>
      </c>
      <c r="N1693" t="inlineStr">
        <is>
          <t>alt</t>
        </is>
      </c>
      <c r="O1693" t="n">
        <v>100</v>
      </c>
      <c r="P1693" t="n">
        <v>0.007706</v>
      </c>
      <c r="Q1693" t="n">
        <v>55</v>
      </c>
      <c r="R1693" t="n">
        <v>0.0863</v>
      </c>
      <c r="S1693">
        <f>IMAGE("https://mitra.stanford.edu/kundaje/oak/projects/neuro-variants/variant_position/credible/roussos_2024/variant_figures/roussos_2024.adolescence.GLU/rs34211253_count_position.png",4,220,900)</f>
        <v/>
      </c>
      <c r="T1693">
        <f>IMAGE("https://mitra.stanford.edu/kundaje/oak/projects/neuro-variants/variant_position/credible/roussos_2024/variant_figures/roussos_2024.adolescence.GLU/rs34211253_profile_position.png",4,220,900)</f>
        <v/>
      </c>
    </row>
    <row r="1694">
      <c r="A1694" t="inlineStr">
        <is>
          <t>chr17</t>
        </is>
      </c>
      <c r="B1694" t="n">
        <v>45757985</v>
      </c>
      <c r="C1694" t="inlineStr">
        <is>
          <t>T</t>
        </is>
      </c>
      <c r="D1694" t="inlineStr">
        <is>
          <t>C</t>
        </is>
      </c>
      <c r="E1694" t="inlineStr">
        <is>
          <t>rs11079717</t>
        </is>
      </c>
      <c r="F1694" t="n">
        <v>0.0428640944</v>
      </c>
      <c r="G1694" t="n">
        <v>0.08927060559000539</v>
      </c>
      <c r="H1694" t="n">
        <v>0.0113660857125514</v>
      </c>
      <c r="I1694" t="n">
        <v>0.3802372718830221</v>
      </c>
      <c r="J1694" t="n">
        <v>0.4431703710054225</v>
      </c>
      <c r="K1694" t="n">
        <v>0.1290782002686743</v>
      </c>
      <c r="L1694" t="b">
        <v>0</v>
      </c>
      <c r="M1694" t="b">
        <v>0</v>
      </c>
      <c r="N1694" t="inlineStr">
        <is>
          <t>alt</t>
        </is>
      </c>
      <c r="O1694" t="n">
        <v>-100</v>
      </c>
      <c r="P1694" t="n">
        <v>0.004578</v>
      </c>
      <c r="Q1694" t="n">
        <v>100</v>
      </c>
      <c r="R1694" t="n">
        <v>0.1075</v>
      </c>
      <c r="S1694">
        <f>IMAGE("https://mitra.stanford.edu/kundaje/oak/projects/neuro-variants/variant_position/credible/roussos_2024/variant_figures/roussos_2024.adolescence.GLU/rs11079717_count_position.png",4,220,900)</f>
        <v/>
      </c>
      <c r="T1694">
        <f>IMAGE("https://mitra.stanford.edu/kundaje/oak/projects/neuro-variants/variant_position/credible/roussos_2024/variant_figures/roussos_2024.adolescence.GLU/rs11079717_profile_position.png",4,220,900)</f>
        <v/>
      </c>
    </row>
    <row r="1695">
      <c r="A1695" t="inlineStr">
        <is>
          <t>chr17</t>
        </is>
      </c>
      <c r="B1695" t="n">
        <v>45759725</v>
      </c>
      <c r="C1695" t="inlineStr">
        <is>
          <t>T</t>
        </is>
      </c>
      <c r="D1695" t="inlineStr">
        <is>
          <t>C</t>
        </is>
      </c>
      <c r="E1695" t="inlineStr">
        <is>
          <t>rs56168907</t>
        </is>
      </c>
      <c r="F1695" t="n">
        <v>0.0065760286599999</v>
      </c>
      <c r="G1695" t="n">
        <v>0.6304326572309756</v>
      </c>
      <c r="H1695" t="n">
        <v>0.0178123363141194</v>
      </c>
      <c r="I1695" t="n">
        <v>0.0872493933230289</v>
      </c>
      <c r="J1695" t="n">
        <v>0.3178758457108973</v>
      </c>
      <c r="K1695" t="n">
        <v>0.2516029363885226</v>
      </c>
      <c r="L1695" t="b">
        <v>0</v>
      </c>
      <c r="M1695" t="b">
        <v>0</v>
      </c>
      <c r="N1695" t="inlineStr">
        <is>
          <t>alt</t>
        </is>
      </c>
      <c r="O1695" t="n">
        <v>-45</v>
      </c>
      <c r="P1695" t="n">
        <v>0.001274</v>
      </c>
      <c r="Q1695" t="n">
        <v>45</v>
      </c>
      <c r="R1695" t="n">
        <v>0.2157</v>
      </c>
      <c r="S1695">
        <f>IMAGE("https://mitra.stanford.edu/kundaje/oak/projects/neuro-variants/variant_position/credible/roussos_2024/variant_figures/roussos_2024.adolescence.GLU/rs56168907_count_position.png",4,220,900)</f>
        <v/>
      </c>
      <c r="T1695">
        <f>IMAGE("https://mitra.stanford.edu/kundaje/oak/projects/neuro-variants/variant_position/credible/roussos_2024/variant_figures/roussos_2024.adolescence.GLU/rs56168907_profile_position.png",4,220,900)</f>
        <v/>
      </c>
    </row>
    <row r="1696">
      <c r="A1696" t="inlineStr">
        <is>
          <t>chr17</t>
        </is>
      </c>
      <c r="B1696" t="n">
        <v>45759871</v>
      </c>
      <c r="C1696" t="inlineStr">
        <is>
          <t>A</t>
        </is>
      </c>
      <c r="D1696" t="inlineStr">
        <is>
          <t>G</t>
        </is>
      </c>
      <c r="E1696" t="inlineStr">
        <is>
          <t>rs55801356</t>
        </is>
      </c>
      <c r="F1696" t="n">
        <v>-0.0569308058</v>
      </c>
      <c r="G1696" t="n">
        <v>0.0534669910508387</v>
      </c>
      <c r="H1696" t="n">
        <v>0.0210656198723047</v>
      </c>
      <c r="I1696" t="n">
        <v>0.0471766576787916</v>
      </c>
      <c r="J1696" t="n">
        <v>0.3576712318980359</v>
      </c>
      <c r="K1696" t="n">
        <v>0.2085655682058518</v>
      </c>
      <c r="L1696" t="b">
        <v>0</v>
      </c>
      <c r="M1696" t="b">
        <v>0</v>
      </c>
      <c r="N1696" t="inlineStr">
        <is>
          <t>ref</t>
        </is>
      </c>
      <c r="O1696" t="n">
        <v>100</v>
      </c>
      <c r="P1696" t="n">
        <v>0.006126</v>
      </c>
      <c r="Q1696" t="n">
        <v>40</v>
      </c>
      <c r="R1696" t="n">
        <v>0.1443</v>
      </c>
      <c r="S1696">
        <f>IMAGE("https://mitra.stanford.edu/kundaje/oak/projects/neuro-variants/variant_position/credible/roussos_2024/variant_figures/roussos_2024.adolescence.GLU/rs55801356_count_position.png",4,220,900)</f>
        <v/>
      </c>
      <c r="T1696">
        <f>IMAGE("https://mitra.stanford.edu/kundaje/oak/projects/neuro-variants/variant_position/credible/roussos_2024/variant_figures/roussos_2024.adolescence.GLU/rs55801356_profile_position.png",4,220,900)</f>
        <v/>
      </c>
    </row>
    <row r="1697">
      <c r="A1697" t="inlineStr">
        <is>
          <t>chr17</t>
        </is>
      </c>
      <c r="B1697" t="n">
        <v>45763315</v>
      </c>
      <c r="C1697" t="inlineStr">
        <is>
          <t>C</t>
        </is>
      </c>
      <c r="D1697" t="inlineStr">
        <is>
          <t>T</t>
        </is>
      </c>
      <c r="E1697" t="inlineStr">
        <is>
          <t>rs62055890</t>
        </is>
      </c>
      <c r="F1697" t="n">
        <v>-0.0419948134</v>
      </c>
      <c r="G1697" t="n">
        <v>0.103120144462356</v>
      </c>
      <c r="H1697" t="n">
        <v>0.0102755581212192</v>
      </c>
      <c r="I1697" t="n">
        <v>0.4794767647025743</v>
      </c>
      <c r="J1697" t="n">
        <v>0.4227018453822577</v>
      </c>
      <c r="K1697" t="n">
        <v>0.1470708672131629</v>
      </c>
      <c r="L1697" t="b">
        <v>0</v>
      </c>
      <c r="M1697" t="b">
        <v>0</v>
      </c>
      <c r="N1697" t="inlineStr">
        <is>
          <t>ref</t>
        </is>
      </c>
      <c r="O1697" t="n">
        <v>-100</v>
      </c>
      <c r="P1697" t="n">
        <v>0.01761</v>
      </c>
      <c r="Q1697" t="n">
        <v>-35</v>
      </c>
      <c r="R1697" t="n">
        <v>0.006836</v>
      </c>
      <c r="S1697">
        <f>IMAGE("https://mitra.stanford.edu/kundaje/oak/projects/neuro-variants/variant_position/credible/roussos_2024/variant_figures/roussos_2024.adolescence.GLU/rs62055890_count_position.png",4,220,900)</f>
        <v/>
      </c>
      <c r="T1697">
        <f>IMAGE("https://mitra.stanford.edu/kundaje/oak/projects/neuro-variants/variant_position/credible/roussos_2024/variant_figures/roussos_2024.adolescence.GLU/rs62055890_profile_position.png",4,220,900)</f>
        <v/>
      </c>
    </row>
    <row r="1698">
      <c r="A1698" t="inlineStr">
        <is>
          <t>chr17</t>
        </is>
      </c>
      <c r="B1698" t="n">
        <v>45764205</v>
      </c>
      <c r="C1698" t="inlineStr">
        <is>
          <t>T</t>
        </is>
      </c>
      <c r="D1698" t="inlineStr">
        <is>
          <t>A</t>
        </is>
      </c>
      <c r="E1698" t="inlineStr">
        <is>
          <t>rs56369036</t>
        </is>
      </c>
      <c r="F1698" t="n">
        <v>-0.0148092742</v>
      </c>
      <c r="G1698" t="n">
        <v>0.4102483063196644</v>
      </c>
      <c r="H1698" t="n">
        <v>0.0101906463351497</v>
      </c>
      <c r="I1698" t="n">
        <v>0.5140960512150166</v>
      </c>
      <c r="J1698" t="n">
        <v>0.1671903465717898</v>
      </c>
      <c r="K1698" t="n">
        <v>0.4561941986097538</v>
      </c>
      <c r="L1698" t="b">
        <v>0</v>
      </c>
      <c r="M1698" t="b">
        <v>0</v>
      </c>
      <c r="N1698" t="inlineStr">
        <is>
          <t>ref</t>
        </is>
      </c>
      <c r="O1698" t="n">
        <v>-100</v>
      </c>
      <c r="P1698" t="n">
        <v>0.0437</v>
      </c>
      <c r="Q1698" t="n">
        <v>35</v>
      </c>
      <c r="R1698" t="n">
        <v>0.02246</v>
      </c>
      <c r="S1698">
        <f>IMAGE("https://mitra.stanford.edu/kundaje/oak/projects/neuro-variants/variant_position/credible/roussos_2024/variant_figures/roussos_2024.adolescence.GLU/rs56369036_count_position.png",4,220,900)</f>
        <v/>
      </c>
      <c r="T1698">
        <f>IMAGE("https://mitra.stanford.edu/kundaje/oak/projects/neuro-variants/variant_position/credible/roussos_2024/variant_figures/roussos_2024.adolescence.GLU/rs56369036_profile_position.png",4,220,900)</f>
        <v/>
      </c>
    </row>
    <row r="1699">
      <c r="A1699" t="inlineStr">
        <is>
          <t>chr17</t>
        </is>
      </c>
      <c r="B1699" t="n">
        <v>45765096</v>
      </c>
      <c r="C1699" t="inlineStr">
        <is>
          <t>T</t>
        </is>
      </c>
      <c r="D1699" t="inlineStr">
        <is>
          <t>C</t>
        </is>
      </c>
      <c r="E1699" t="inlineStr">
        <is>
          <t>rs55707339</t>
        </is>
      </c>
      <c r="F1699" t="n">
        <v>0.09685344880000001</v>
      </c>
      <c r="G1699" t="n">
        <v>0.0109352318567026</v>
      </c>
      <c r="H1699" t="n">
        <v>0.0151945900994115</v>
      </c>
      <c r="I1699" t="n">
        <v>0.1903186854121217</v>
      </c>
      <c r="J1699" t="n">
        <v>0.2511405934086346</v>
      </c>
      <c r="K1699" t="n">
        <v>0.3333989284355849</v>
      </c>
      <c r="L1699" t="b">
        <v>1</v>
      </c>
      <c r="M1699" t="b">
        <v>0</v>
      </c>
      <c r="N1699" t="inlineStr">
        <is>
          <t>alt</t>
        </is>
      </c>
      <c r="O1699" t="n">
        <v>-100</v>
      </c>
      <c r="P1699" t="n">
        <v>0.01346</v>
      </c>
      <c r="Q1699" t="n">
        <v>10</v>
      </c>
      <c r="R1699" t="n">
        <v>0.009599999999999999</v>
      </c>
      <c r="S1699">
        <f>IMAGE("https://mitra.stanford.edu/kundaje/oak/projects/neuro-variants/variant_position/credible/roussos_2024/variant_figures/roussos_2024.adolescence.GLU/rs55707339_count_position.png",4,220,900)</f>
        <v/>
      </c>
      <c r="T1699">
        <f>IMAGE("https://mitra.stanford.edu/kundaje/oak/projects/neuro-variants/variant_position/credible/roussos_2024/variant_figures/roussos_2024.adolescence.GLU/rs55707339_profile_position.png",4,220,900)</f>
        <v/>
      </c>
    </row>
    <row r="1700">
      <c r="A1700" t="inlineStr">
        <is>
          <t>chr17</t>
        </is>
      </c>
      <c r="B1700" t="n">
        <v>45766577</v>
      </c>
      <c r="C1700" t="inlineStr">
        <is>
          <t>G</t>
        </is>
      </c>
      <c r="D1700" t="inlineStr">
        <is>
          <t>A</t>
        </is>
      </c>
      <c r="E1700" t="inlineStr">
        <is>
          <t>rs62055894</t>
        </is>
      </c>
      <c r="F1700" t="n">
        <v>0.00617708047</v>
      </c>
      <c r="G1700" t="n">
        <v>0.6359322793109207</v>
      </c>
      <c r="H1700" t="n">
        <v>0.0123605720121841</v>
      </c>
      <c r="I1700" t="n">
        <v>0.290340512888825</v>
      </c>
      <c r="J1700" t="n">
        <v>0.2405155353608961</v>
      </c>
      <c r="K1700" t="n">
        <v>0.3483445158155742</v>
      </c>
      <c r="L1700" t="b">
        <v>0</v>
      </c>
      <c r="M1700" t="b">
        <v>0</v>
      </c>
      <c r="N1700" t="inlineStr">
        <is>
          <t>alt</t>
        </is>
      </c>
      <c r="O1700" t="n">
        <v>100</v>
      </c>
      <c r="P1700" t="n">
        <v>0.008606000000000001</v>
      </c>
      <c r="Q1700" t="n">
        <v>50</v>
      </c>
      <c r="R1700" t="n">
        <v>0.01862</v>
      </c>
      <c r="S1700">
        <f>IMAGE("https://mitra.stanford.edu/kundaje/oak/projects/neuro-variants/variant_position/credible/roussos_2024/variant_figures/roussos_2024.adolescence.GLU/rs62055894_count_position.png",4,220,900)</f>
        <v/>
      </c>
      <c r="T1700">
        <f>IMAGE("https://mitra.stanford.edu/kundaje/oak/projects/neuro-variants/variant_position/credible/roussos_2024/variant_figures/roussos_2024.adolescence.GLU/rs62055894_profile_position.png",4,220,900)</f>
        <v/>
      </c>
    </row>
    <row r="1701">
      <c r="A1701" t="inlineStr">
        <is>
          <t>chr17</t>
        </is>
      </c>
      <c r="B1701" t="n">
        <v>45766678</v>
      </c>
      <c r="C1701" t="inlineStr">
        <is>
          <t>A</t>
        </is>
      </c>
      <c r="D1701" t="inlineStr">
        <is>
          <t>G</t>
        </is>
      </c>
      <c r="E1701" t="inlineStr">
        <is>
          <t>rs62055895</t>
        </is>
      </c>
      <c r="F1701" t="n">
        <v>0.0555426982</v>
      </c>
      <c r="G1701" t="n">
        <v>0.0449612036439303</v>
      </c>
      <c r="H1701" t="n">
        <v>0.0090693869777244</v>
      </c>
      <c r="I1701" t="n">
        <v>0.6402481422811155</v>
      </c>
      <c r="J1701" t="n">
        <v>0.2556715319601917</v>
      </c>
      <c r="K1701" t="n">
        <v>0.3276955366999114</v>
      </c>
      <c r="L1701" t="b">
        <v>0</v>
      </c>
      <c r="M1701" t="b">
        <v>0</v>
      </c>
      <c r="N1701" t="inlineStr">
        <is>
          <t>alt</t>
        </is>
      </c>
      <c r="O1701" t="n">
        <v>80</v>
      </c>
      <c r="P1701" t="n">
        <v>0.001652</v>
      </c>
      <c r="Q1701" t="n">
        <v>45</v>
      </c>
      <c r="R1701" t="n">
        <v>0.1277</v>
      </c>
      <c r="S1701">
        <f>IMAGE("https://mitra.stanford.edu/kundaje/oak/projects/neuro-variants/variant_position/credible/roussos_2024/variant_figures/roussos_2024.adolescence.GLU/rs62055895_count_position.png",4,220,900)</f>
        <v/>
      </c>
      <c r="T1701">
        <f>IMAGE("https://mitra.stanford.edu/kundaje/oak/projects/neuro-variants/variant_position/credible/roussos_2024/variant_figures/roussos_2024.adolescence.GLU/rs62055895_profile_position.png",4,220,900)</f>
        <v/>
      </c>
    </row>
    <row r="1702">
      <c r="A1702" t="inlineStr">
        <is>
          <t>chr17</t>
        </is>
      </c>
      <c r="B1702" t="n">
        <v>45767194</v>
      </c>
      <c r="C1702" t="inlineStr">
        <is>
          <t>T</t>
        </is>
      </c>
      <c r="D1702" t="inlineStr">
        <is>
          <t>G</t>
        </is>
      </c>
      <c r="E1702" t="inlineStr">
        <is>
          <t>rs55657917</t>
        </is>
      </c>
      <c r="F1702" t="n">
        <v>0.0038669301399999</v>
      </c>
      <c r="G1702" t="n">
        <v>0.7514906956462799</v>
      </c>
      <c r="H1702" t="n">
        <v>0.008565434587778401</v>
      </c>
      <c r="I1702" t="n">
        <v>0.727102893619949</v>
      </c>
      <c r="J1702" t="n">
        <v>0.3035328746668952</v>
      </c>
      <c r="K1702" t="n">
        <v>0.2676862478889236</v>
      </c>
      <c r="L1702" t="b">
        <v>0</v>
      </c>
      <c r="M1702" t="b">
        <v>0</v>
      </c>
      <c r="N1702" t="inlineStr">
        <is>
          <t>alt</t>
        </is>
      </c>
      <c r="O1702" t="n">
        <v>-95</v>
      </c>
      <c r="P1702" t="n">
        <v>0.02051</v>
      </c>
      <c r="Q1702" t="n">
        <v>75</v>
      </c>
      <c r="R1702" t="n">
        <v>0.0746</v>
      </c>
      <c r="S1702">
        <f>IMAGE("https://mitra.stanford.edu/kundaje/oak/projects/neuro-variants/variant_position/credible/roussos_2024/variant_figures/roussos_2024.adolescence.GLU/rs55657917_count_position.png",4,220,900)</f>
        <v/>
      </c>
      <c r="T1702">
        <f>IMAGE("https://mitra.stanford.edu/kundaje/oak/projects/neuro-variants/variant_position/credible/roussos_2024/variant_figures/roussos_2024.adolescence.GLU/rs55657917_profile_position.png",4,220,900)</f>
        <v/>
      </c>
    </row>
    <row r="1703">
      <c r="A1703" t="inlineStr">
        <is>
          <t>chr17</t>
        </is>
      </c>
      <c r="B1703" t="n">
        <v>45767493</v>
      </c>
      <c r="C1703" t="inlineStr">
        <is>
          <t>A</t>
        </is>
      </c>
      <c r="D1703" t="inlineStr">
        <is>
          <t>G</t>
        </is>
      </c>
      <c r="E1703" t="inlineStr">
        <is>
          <t>rs56109643</t>
        </is>
      </c>
      <c r="F1703" t="n">
        <v>0.00723166266</v>
      </c>
      <c r="G1703" t="n">
        <v>0.6222414405714798</v>
      </c>
      <c r="H1703" t="n">
        <v>0.0099442382496283</v>
      </c>
      <c r="I1703" t="n">
        <v>0.5297182138422882</v>
      </c>
      <c r="J1703" t="n">
        <v>0.3477834694329539</v>
      </c>
      <c r="K1703" t="n">
        <v>0.2180922897793535</v>
      </c>
      <c r="L1703" t="b">
        <v>0</v>
      </c>
      <c r="M1703" t="b">
        <v>0</v>
      </c>
      <c r="N1703" t="inlineStr">
        <is>
          <t>alt</t>
        </is>
      </c>
      <c r="O1703" t="n">
        <v>35</v>
      </c>
      <c r="P1703" t="n">
        <v>0.002111</v>
      </c>
      <c r="Q1703" t="n">
        <v>-65</v>
      </c>
      <c r="R1703" t="n">
        <v>0.009889999999999999</v>
      </c>
      <c r="S1703">
        <f>IMAGE("https://mitra.stanford.edu/kundaje/oak/projects/neuro-variants/variant_position/credible/roussos_2024/variant_figures/roussos_2024.adolescence.GLU/rs56109643_count_position.png",4,220,900)</f>
        <v/>
      </c>
      <c r="T1703">
        <f>IMAGE("https://mitra.stanford.edu/kundaje/oak/projects/neuro-variants/variant_position/credible/roussos_2024/variant_figures/roussos_2024.adolescence.GLU/rs56109643_profile_position.png",4,220,900)</f>
        <v/>
      </c>
    </row>
    <row r="1704">
      <c r="A1704" t="inlineStr">
        <is>
          <t>chr17</t>
        </is>
      </c>
      <c r="B1704" t="n">
        <v>45771384</v>
      </c>
      <c r="C1704" t="inlineStr">
        <is>
          <t>T</t>
        </is>
      </c>
      <c r="D1704" t="inlineStr">
        <is>
          <t>C</t>
        </is>
      </c>
      <c r="E1704" t="inlineStr">
        <is>
          <t>rs62055935</t>
        </is>
      </c>
      <c r="F1704" t="n">
        <v>-0.01514252198</v>
      </c>
      <c r="G1704" t="n">
        <v>0.4200346296510878</v>
      </c>
      <c r="H1704" t="n">
        <v>0.0174432765210513</v>
      </c>
      <c r="I1704" t="n">
        <v>0.1011847309793464</v>
      </c>
      <c r="J1704" t="n">
        <v>0.6180837459187976</v>
      </c>
      <c r="K1704" t="n">
        <v>0.0320353339431081</v>
      </c>
      <c r="L1704" t="b">
        <v>0</v>
      </c>
      <c r="M1704" t="b">
        <v>0</v>
      </c>
      <c r="N1704" t="inlineStr">
        <is>
          <t>ref</t>
        </is>
      </c>
      <c r="O1704" t="n">
        <v>-65</v>
      </c>
      <c r="P1704" t="n">
        <v>0.002197</v>
      </c>
      <c r="Q1704" t="n">
        <v>-10</v>
      </c>
      <c r="R1704" t="n">
        <v>0.005615</v>
      </c>
      <c r="S1704">
        <f>IMAGE("https://mitra.stanford.edu/kundaje/oak/projects/neuro-variants/variant_position/credible/roussos_2024/variant_figures/roussos_2024.adolescence.GLU/rs62055935_count_position.png",4,220,900)</f>
        <v/>
      </c>
      <c r="T1704">
        <f>IMAGE("https://mitra.stanford.edu/kundaje/oak/projects/neuro-variants/variant_position/credible/roussos_2024/variant_figures/roussos_2024.adolescence.GLU/rs62055935_profile_position.png",4,220,900)</f>
        <v/>
      </c>
    </row>
    <row r="1705">
      <c r="A1705" t="inlineStr">
        <is>
          <t>chr17</t>
        </is>
      </c>
      <c r="B1705" t="n">
        <v>45775255</v>
      </c>
      <c r="C1705" t="inlineStr">
        <is>
          <t>T</t>
        </is>
      </c>
      <c r="D1705" t="inlineStr">
        <is>
          <t>C</t>
        </is>
      </c>
      <c r="E1705" t="inlineStr">
        <is>
          <t>rs62055948</t>
        </is>
      </c>
      <c r="F1705" t="n">
        <v>0.0544246572</v>
      </c>
      <c r="G1705" t="n">
        <v>0.0521433933405629</v>
      </c>
      <c r="H1705" t="n">
        <v>0.0104421648252261</v>
      </c>
      <c r="I1705" t="n">
        <v>0.4662882487850222</v>
      </c>
      <c r="J1705" t="n">
        <v>0.528289431382215</v>
      </c>
      <c r="K1705" t="n">
        <v>0.07176013514294791</v>
      </c>
      <c r="L1705" t="b">
        <v>0</v>
      </c>
      <c r="M1705" t="b">
        <v>0</v>
      </c>
      <c r="N1705" t="inlineStr">
        <is>
          <t>alt</t>
        </is>
      </c>
      <c r="O1705" t="n">
        <v>35</v>
      </c>
      <c r="P1705" t="n">
        <v>0.003008</v>
      </c>
      <c r="Q1705" t="n">
        <v>30</v>
      </c>
      <c r="R1705" t="n">
        <v>0.0537</v>
      </c>
      <c r="S1705">
        <f>IMAGE("https://mitra.stanford.edu/kundaje/oak/projects/neuro-variants/variant_position/credible/roussos_2024/variant_figures/roussos_2024.adolescence.GLU/rs62055948_count_position.png",4,220,900)</f>
        <v/>
      </c>
      <c r="T1705">
        <f>IMAGE("https://mitra.stanford.edu/kundaje/oak/projects/neuro-variants/variant_position/credible/roussos_2024/variant_figures/roussos_2024.adolescence.GLU/rs62055948_profile_position.png",4,220,900)</f>
        <v/>
      </c>
    </row>
    <row r="1706">
      <c r="A1706" t="inlineStr">
        <is>
          <t>chr17</t>
        </is>
      </c>
      <c r="B1706" t="n">
        <v>45775743</v>
      </c>
      <c r="C1706" t="inlineStr">
        <is>
          <t>G</t>
        </is>
      </c>
      <c r="D1706" t="inlineStr">
        <is>
          <t>A</t>
        </is>
      </c>
      <c r="E1706" t="inlineStr">
        <is>
          <t>rs55787105</t>
        </is>
      </c>
      <c r="F1706" t="n">
        <v>0.00182391892</v>
      </c>
      <c r="G1706" t="n">
        <v>0.7023251890235133</v>
      </c>
      <c r="H1706" t="n">
        <v>0.0089721534794335</v>
      </c>
      <c r="I1706" t="n">
        <v>0.659967659398728</v>
      </c>
      <c r="J1706" t="n">
        <v>0.4579005651170599</v>
      </c>
      <c r="K1706" t="n">
        <v>0.1190007395069124</v>
      </c>
      <c r="L1706" t="b">
        <v>0</v>
      </c>
      <c r="M1706" t="b">
        <v>0</v>
      </c>
      <c r="N1706" t="inlineStr">
        <is>
          <t>alt</t>
        </is>
      </c>
      <c r="O1706" t="n">
        <v>60</v>
      </c>
      <c r="P1706" t="n">
        <v>0.001839</v>
      </c>
      <c r="Q1706" t="n">
        <v>-100</v>
      </c>
      <c r="R1706" t="n">
        <v>0.07983</v>
      </c>
      <c r="S1706">
        <f>IMAGE("https://mitra.stanford.edu/kundaje/oak/projects/neuro-variants/variant_position/credible/roussos_2024/variant_figures/roussos_2024.adolescence.GLU/rs55787105_count_position.png",4,220,900)</f>
        <v/>
      </c>
      <c r="T1706">
        <f>IMAGE("https://mitra.stanford.edu/kundaje/oak/projects/neuro-variants/variant_position/credible/roussos_2024/variant_figures/roussos_2024.adolescence.GLU/rs55787105_profile_position.png",4,220,900)</f>
        <v/>
      </c>
    </row>
    <row r="1707">
      <c r="A1707" t="inlineStr">
        <is>
          <t>chr17</t>
        </is>
      </c>
      <c r="B1707" t="n">
        <v>45775767</v>
      </c>
      <c r="C1707" t="inlineStr">
        <is>
          <t>T</t>
        </is>
      </c>
      <c r="D1707" t="inlineStr">
        <is>
          <t>C</t>
        </is>
      </c>
      <c r="E1707" t="inlineStr">
        <is>
          <t>rs62055950</t>
        </is>
      </c>
      <c r="F1707" t="n">
        <v>0.00536490948</v>
      </c>
      <c r="G1707" t="n">
        <v>0.6825182684860357</v>
      </c>
      <c r="H1707" t="n">
        <v>0.0129928598816996</v>
      </c>
      <c r="I1707" t="n">
        <v>0.2624716821166664</v>
      </c>
      <c r="J1707" t="n">
        <v>0.448495759835966</v>
      </c>
      <c r="K1707" t="n">
        <v>0.1263915302099686</v>
      </c>
      <c r="L1707" t="b">
        <v>0</v>
      </c>
      <c r="M1707" t="b">
        <v>0</v>
      </c>
      <c r="N1707" t="inlineStr">
        <is>
          <t>alt</t>
        </is>
      </c>
      <c r="O1707" t="n">
        <v>60</v>
      </c>
      <c r="P1707" t="n">
        <v>0.001003</v>
      </c>
      <c r="Q1707" t="n">
        <v>-100</v>
      </c>
      <c r="R1707" t="n">
        <v>0.08905</v>
      </c>
      <c r="S1707">
        <f>IMAGE("https://mitra.stanford.edu/kundaje/oak/projects/neuro-variants/variant_position/credible/roussos_2024/variant_figures/roussos_2024.adolescence.GLU/rs62055950_count_position.png",4,220,900)</f>
        <v/>
      </c>
      <c r="T1707">
        <f>IMAGE("https://mitra.stanford.edu/kundaje/oak/projects/neuro-variants/variant_position/credible/roussos_2024/variant_figures/roussos_2024.adolescence.GLU/rs62055950_profile_position.png",4,220,900)</f>
        <v/>
      </c>
    </row>
    <row r="1708">
      <c r="A1708" t="inlineStr">
        <is>
          <t>chr17</t>
        </is>
      </c>
      <c r="B1708" t="n">
        <v>45780960</v>
      </c>
      <c r="C1708" t="inlineStr">
        <is>
          <t>C</t>
        </is>
      </c>
      <c r="D1708" t="inlineStr">
        <is>
          <t>T</t>
        </is>
      </c>
      <c r="E1708" t="inlineStr">
        <is>
          <t>rs62057067</t>
        </is>
      </c>
      <c r="F1708" t="n">
        <v>0.00198385754</v>
      </c>
      <c r="G1708" t="n">
        <v>0.7669794988578937</v>
      </c>
      <c r="H1708" t="n">
        <v>0.0223424111958925</v>
      </c>
      <c r="I1708" t="n">
        <v>0.0352542487356389</v>
      </c>
      <c r="J1708" t="n">
        <v>0.1791599688506904</v>
      </c>
      <c r="K1708" t="n">
        <v>0.4356912401897676</v>
      </c>
      <c r="L1708" t="b">
        <v>0</v>
      </c>
      <c r="M1708" t="b">
        <v>0</v>
      </c>
      <c r="N1708" t="inlineStr">
        <is>
          <t>alt</t>
        </is>
      </c>
      <c r="O1708" t="n">
        <v>-100</v>
      </c>
      <c r="P1708" t="n">
        <v>0.03796</v>
      </c>
      <c r="Q1708" t="n">
        <v>100</v>
      </c>
      <c r="R1708" t="n">
        <v>0.11707</v>
      </c>
      <c r="S1708">
        <f>IMAGE("https://mitra.stanford.edu/kundaje/oak/projects/neuro-variants/variant_position/credible/roussos_2024/variant_figures/roussos_2024.adolescence.GLU/rs62057067_count_position.png",4,220,900)</f>
        <v/>
      </c>
      <c r="T1708">
        <f>IMAGE("https://mitra.stanford.edu/kundaje/oak/projects/neuro-variants/variant_position/credible/roussos_2024/variant_figures/roussos_2024.adolescence.GLU/rs62057067_profile_position.png",4,220,900)</f>
        <v/>
      </c>
    </row>
    <row r="1709">
      <c r="A1709" t="inlineStr">
        <is>
          <t>chr17</t>
        </is>
      </c>
      <c r="B1709" t="n">
        <v>45815893</v>
      </c>
      <c r="C1709" t="inlineStr">
        <is>
          <t>G</t>
        </is>
      </c>
      <c r="D1709" t="inlineStr">
        <is>
          <t>A</t>
        </is>
      </c>
      <c r="E1709" t="inlineStr">
        <is>
          <t>rs117365970</t>
        </is>
      </c>
      <c r="F1709" t="n">
        <v>-0.0520492618</v>
      </c>
      <c r="G1709" t="n">
        <v>0.06268063442890209</v>
      </c>
      <c r="H1709" t="n">
        <v>0.0106090723618351</v>
      </c>
      <c r="I1709" t="n">
        <v>0.4627636505592116</v>
      </c>
      <c r="J1709" t="n">
        <v>0.4126269012866951</v>
      </c>
      <c r="K1709" t="n">
        <v>0.1568562882903277</v>
      </c>
      <c r="L1709" t="b">
        <v>0</v>
      </c>
      <c r="M1709" t="b">
        <v>0</v>
      </c>
      <c r="N1709" t="inlineStr">
        <is>
          <t>ref</t>
        </is>
      </c>
      <c r="O1709" t="n">
        <v>-100</v>
      </c>
      <c r="P1709" t="n">
        <v>0.008606000000000001</v>
      </c>
      <c r="Q1709" t="n">
        <v>35</v>
      </c>
      <c r="R1709" t="n">
        <v>0.04144</v>
      </c>
      <c r="S1709">
        <f>IMAGE("https://mitra.stanford.edu/kundaje/oak/projects/neuro-variants/variant_position/credible/roussos_2024/variant_figures/roussos_2024.adolescence.GLU/rs117365970_count_position.png",4,220,900)</f>
        <v/>
      </c>
      <c r="T1709">
        <f>IMAGE("https://mitra.stanford.edu/kundaje/oak/projects/neuro-variants/variant_position/credible/roussos_2024/variant_figures/roussos_2024.adolescence.GLU/rs117365970_profile_position.png",4,220,900)</f>
        <v/>
      </c>
    </row>
    <row r="1710">
      <c r="A1710" t="inlineStr">
        <is>
          <t>chr17</t>
        </is>
      </c>
      <c r="B1710" t="n">
        <v>45815894</v>
      </c>
      <c r="C1710" t="inlineStr">
        <is>
          <t>T</t>
        </is>
      </c>
      <c r="D1710" t="inlineStr">
        <is>
          <t>C</t>
        </is>
      </c>
      <c r="E1710" t="inlineStr">
        <is>
          <t>rs117646503</t>
        </is>
      </c>
      <c r="F1710" t="n">
        <v>0.0352284528</v>
      </c>
      <c r="G1710" t="n">
        <v>0.1339042152997517</v>
      </c>
      <c r="H1710" t="n">
        <v>0.015724116250261</v>
      </c>
      <c r="I1710" t="n">
        <v>0.1443920814683501</v>
      </c>
      <c r="J1710" t="n">
        <v>0.4253895449771738</v>
      </c>
      <c r="K1710" t="n">
        <v>0.1457462171746328</v>
      </c>
      <c r="L1710" t="b">
        <v>0</v>
      </c>
      <c r="M1710" t="b">
        <v>0</v>
      </c>
      <c r="N1710" t="inlineStr">
        <is>
          <t>alt</t>
        </is>
      </c>
      <c r="O1710" t="n">
        <v>-100</v>
      </c>
      <c r="P1710" t="n">
        <v>0.00813</v>
      </c>
      <c r="Q1710" t="n">
        <v>35</v>
      </c>
      <c r="R1710" t="n">
        <v>0.05377</v>
      </c>
      <c r="S1710">
        <f>IMAGE("https://mitra.stanford.edu/kundaje/oak/projects/neuro-variants/variant_position/credible/roussos_2024/variant_figures/roussos_2024.adolescence.GLU/rs117646503_count_position.png",4,220,900)</f>
        <v/>
      </c>
      <c r="T1710">
        <f>IMAGE("https://mitra.stanford.edu/kundaje/oak/projects/neuro-variants/variant_position/credible/roussos_2024/variant_figures/roussos_2024.adolescence.GLU/rs117646503_profile_position.png",4,220,900)</f>
        <v/>
      </c>
    </row>
    <row r="1711">
      <c r="A1711" t="inlineStr">
        <is>
          <t>chr17</t>
        </is>
      </c>
      <c r="B1711" t="n">
        <v>45816793</v>
      </c>
      <c r="C1711" t="inlineStr">
        <is>
          <t>C</t>
        </is>
      </c>
      <c r="D1711" t="inlineStr">
        <is>
          <t>T</t>
        </is>
      </c>
      <c r="E1711" t="inlineStr">
        <is>
          <t>rs28364023</t>
        </is>
      </c>
      <c r="F1711" t="n">
        <v>-0.049906033</v>
      </c>
      <c r="G1711" t="n">
        <v>0.0690236916118467</v>
      </c>
      <c r="H1711" t="n">
        <v>0.0073129538363279</v>
      </c>
      <c r="I1711" t="n">
        <v>0.8764203003694508</v>
      </c>
      <c r="J1711" t="n">
        <v>0.44904730265555</v>
      </c>
      <c r="K1711" t="n">
        <v>0.1253474677079223</v>
      </c>
      <c r="L1711" t="b">
        <v>0</v>
      </c>
      <c r="M1711" t="b">
        <v>0</v>
      </c>
      <c r="N1711" t="inlineStr">
        <is>
          <t>ref</t>
        </is>
      </c>
      <c r="O1711" t="n">
        <v>55</v>
      </c>
      <c r="P1711" t="n">
        <v>0.000899</v>
      </c>
      <c r="Q1711" t="n">
        <v>-30</v>
      </c>
      <c r="R1711" t="n">
        <v>0.04352</v>
      </c>
      <c r="S1711">
        <f>IMAGE("https://mitra.stanford.edu/kundaje/oak/projects/neuro-variants/variant_position/credible/roussos_2024/variant_figures/roussos_2024.adolescence.GLU/rs28364023_count_position.png",4,220,900)</f>
        <v/>
      </c>
      <c r="T1711">
        <f>IMAGE("https://mitra.stanford.edu/kundaje/oak/projects/neuro-variants/variant_position/credible/roussos_2024/variant_figures/roussos_2024.adolescence.GLU/rs28364023_profile_position.png",4,220,900)</f>
        <v/>
      </c>
    </row>
    <row r="1712">
      <c r="A1712" t="inlineStr">
        <is>
          <t>chr17</t>
        </is>
      </c>
      <c r="B1712" t="n">
        <v>45817243</v>
      </c>
      <c r="C1712" t="inlineStr">
        <is>
          <t>A</t>
        </is>
      </c>
      <c r="D1712" t="inlineStr">
        <is>
          <t>G</t>
        </is>
      </c>
      <c r="E1712" t="inlineStr">
        <is>
          <t>rs56099546</t>
        </is>
      </c>
      <c r="F1712" t="n">
        <v>0.0659180804</v>
      </c>
      <c r="G1712" t="n">
        <v>0.0301301465333411</v>
      </c>
      <c r="H1712" t="n">
        <v>0.013216208825819</v>
      </c>
      <c r="I1712" t="n">
        <v>0.2389617578586996</v>
      </c>
      <c r="J1712" t="n">
        <v>0.4071872030634916</v>
      </c>
      <c r="K1712" t="n">
        <v>0.1608524724403988</v>
      </c>
      <c r="L1712" t="b">
        <v>0</v>
      </c>
      <c r="M1712" t="b">
        <v>0</v>
      </c>
      <c r="N1712" t="inlineStr">
        <is>
          <t>alt</t>
        </is>
      </c>
      <c r="O1712" t="n">
        <v>-100</v>
      </c>
      <c r="P1712" t="n">
        <v>0.002958</v>
      </c>
      <c r="Q1712" t="n">
        <v>-100</v>
      </c>
      <c r="R1712" t="n">
        <v>0.0415</v>
      </c>
      <c r="S1712">
        <f>IMAGE("https://mitra.stanford.edu/kundaje/oak/projects/neuro-variants/variant_position/credible/roussos_2024/variant_figures/roussos_2024.adolescence.GLU/rs56099546_count_position.png",4,220,900)</f>
        <v/>
      </c>
      <c r="T1712">
        <f>IMAGE("https://mitra.stanford.edu/kundaje/oak/projects/neuro-variants/variant_position/credible/roussos_2024/variant_figures/roussos_2024.adolescence.GLU/rs56099546_profile_position.png",4,220,900)</f>
        <v/>
      </c>
    </row>
    <row r="1713">
      <c r="A1713" t="inlineStr">
        <is>
          <t>chr17</t>
        </is>
      </c>
      <c r="B1713" t="n">
        <v>45818287</v>
      </c>
      <c r="C1713" t="inlineStr">
        <is>
          <t>A</t>
        </is>
      </c>
      <c r="D1713" t="inlineStr">
        <is>
          <t>G</t>
        </is>
      </c>
      <c r="E1713" t="inlineStr">
        <is>
          <t>rs4277389</t>
        </is>
      </c>
      <c r="F1713" t="n">
        <v>0.0353465672</v>
      </c>
      <c r="G1713" t="n">
        <v>0.1306567133065745</v>
      </c>
      <c r="H1713" t="n">
        <v>0.0124134164806523</v>
      </c>
      <c r="I1713" t="n">
        <v>0.2966256544205575</v>
      </c>
      <c r="J1713" t="n">
        <v>0.4571046859706653</v>
      </c>
      <c r="K1713" t="n">
        <v>0.117812742869068</v>
      </c>
      <c r="L1713" t="b">
        <v>0</v>
      </c>
      <c r="M1713" t="b">
        <v>0</v>
      </c>
      <c r="N1713" t="inlineStr">
        <is>
          <t>alt</t>
        </is>
      </c>
      <c r="O1713" t="n">
        <v>-100</v>
      </c>
      <c r="P1713" t="n">
        <v>0.01381</v>
      </c>
      <c r="Q1713" t="n">
        <v>-80</v>
      </c>
      <c r="R1713" t="n">
        <v>0.0907</v>
      </c>
      <c r="S1713">
        <f>IMAGE("https://mitra.stanford.edu/kundaje/oak/projects/neuro-variants/variant_position/credible/roussos_2024/variant_figures/roussos_2024.adolescence.GLU/rs4277389_count_position.png",4,220,900)</f>
        <v/>
      </c>
      <c r="T1713">
        <f>IMAGE("https://mitra.stanford.edu/kundaje/oak/projects/neuro-variants/variant_position/credible/roussos_2024/variant_figures/roussos_2024.adolescence.GLU/rs4277389_profile_position.png",4,220,900)</f>
        <v/>
      </c>
    </row>
    <row r="1714">
      <c r="A1714" t="inlineStr">
        <is>
          <t>chr17</t>
        </is>
      </c>
      <c r="B1714" t="n">
        <v>45818431</v>
      </c>
      <c r="C1714" t="inlineStr">
        <is>
          <t>T</t>
        </is>
      </c>
      <c r="D1714" t="inlineStr">
        <is>
          <t>C</t>
        </is>
      </c>
      <c r="E1714" t="inlineStr">
        <is>
          <t>rs4309444</t>
        </is>
      </c>
      <c r="F1714" t="n">
        <v>0.00546687712</v>
      </c>
      <c r="G1714" t="n">
        <v>0.6601179614517605</v>
      </c>
      <c r="H1714" t="n">
        <v>0.0085747419246188</v>
      </c>
      <c r="I1714" t="n">
        <v>0.6995801739089146</v>
      </c>
      <c r="J1714" t="n">
        <v>0.4485972094219517</v>
      </c>
      <c r="K1714" t="n">
        <v>0.1248859040972404</v>
      </c>
      <c r="L1714" t="b">
        <v>0</v>
      </c>
      <c r="M1714" t="b">
        <v>0</v>
      </c>
      <c r="N1714" t="inlineStr">
        <is>
          <t>alt</t>
        </is>
      </c>
      <c r="O1714" t="n">
        <v>-45</v>
      </c>
      <c r="P1714" t="n">
        <v>0.00378</v>
      </c>
      <c r="Q1714" t="n">
        <v>5</v>
      </c>
      <c r="R1714" t="n">
        <v>0.01142</v>
      </c>
      <c r="S1714">
        <f>IMAGE("https://mitra.stanford.edu/kundaje/oak/projects/neuro-variants/variant_position/credible/roussos_2024/variant_figures/roussos_2024.adolescence.GLU/rs4309444_count_position.png",4,220,900)</f>
        <v/>
      </c>
      <c r="T1714">
        <f>IMAGE("https://mitra.stanford.edu/kundaje/oak/projects/neuro-variants/variant_position/credible/roussos_2024/variant_figures/roussos_2024.adolescence.GLU/rs4309444_profile_position.png",4,220,900)</f>
        <v/>
      </c>
    </row>
    <row r="1715">
      <c r="A1715" t="inlineStr">
        <is>
          <t>chr17</t>
        </is>
      </c>
      <c r="B1715" t="n">
        <v>45822245</v>
      </c>
      <c r="C1715" t="inlineStr">
        <is>
          <t>C</t>
        </is>
      </c>
      <c r="D1715" t="inlineStr">
        <is>
          <t>T</t>
        </is>
      </c>
      <c r="E1715" t="inlineStr">
        <is>
          <t>rs78917479</t>
        </is>
      </c>
      <c r="F1715" t="n">
        <v>-0.0026835357</v>
      </c>
      <c r="G1715" t="n">
        <v>0.756311122978885</v>
      </c>
      <c r="H1715" t="n">
        <v>0.0227966339614614</v>
      </c>
      <c r="I1715" t="n">
        <v>0.0307274481445882</v>
      </c>
      <c r="J1715" t="n">
        <v>0.3454887083753063</v>
      </c>
      <c r="K1715" t="n">
        <v>0.2214201028535305</v>
      </c>
      <c r="L1715" t="b">
        <v>0</v>
      </c>
      <c r="M1715" t="b">
        <v>0</v>
      </c>
      <c r="N1715" t="inlineStr">
        <is>
          <t>ref</t>
        </is>
      </c>
      <c r="O1715" t="n">
        <v>-90</v>
      </c>
      <c r="P1715" t="n">
        <v>0.006725</v>
      </c>
      <c r="Q1715" t="n">
        <v>95</v>
      </c>
      <c r="R1715" t="n">
        <v>0.1126</v>
      </c>
      <c r="S1715">
        <f>IMAGE("https://mitra.stanford.edu/kundaje/oak/projects/neuro-variants/variant_position/credible/roussos_2024/variant_figures/roussos_2024.adolescence.GLU/rs78917479_count_position.png",4,220,900)</f>
        <v/>
      </c>
      <c r="T1715">
        <f>IMAGE("https://mitra.stanford.edu/kundaje/oak/projects/neuro-variants/variant_position/credible/roussos_2024/variant_figures/roussos_2024.adolescence.GLU/rs78917479_profile_position.png",4,220,900)</f>
        <v/>
      </c>
    </row>
    <row r="1716">
      <c r="A1716" t="inlineStr">
        <is>
          <t>chr17</t>
        </is>
      </c>
      <c r="B1716" t="n">
        <v>45824850</v>
      </c>
      <c r="C1716" t="inlineStr">
        <is>
          <t>C</t>
        </is>
      </c>
      <c r="D1716" t="inlineStr">
        <is>
          <t>T</t>
        </is>
      </c>
      <c r="E1716" t="inlineStr">
        <is>
          <t>rs4335809</t>
        </is>
      </c>
      <c r="F1716" t="n">
        <v>-0.0519661569999999</v>
      </c>
      <c r="G1716" t="n">
        <v>0.0611276026254597</v>
      </c>
      <c r="H1716" t="n">
        <v>0.0105658242588251</v>
      </c>
      <c r="I1716" t="n">
        <v>0.4659817447208776</v>
      </c>
      <c r="J1716" t="n">
        <v>0.5017753677547493</v>
      </c>
      <c r="K1716" t="n">
        <v>0.085777385505537</v>
      </c>
      <c r="L1716" t="b">
        <v>0</v>
      </c>
      <c r="M1716" t="b">
        <v>0</v>
      </c>
      <c r="N1716" t="inlineStr">
        <is>
          <t>ref</t>
        </is>
      </c>
      <c r="O1716" t="n">
        <v>95</v>
      </c>
      <c r="P1716" t="n">
        <v>0.00766</v>
      </c>
      <c r="Q1716" t="n">
        <v>100</v>
      </c>
      <c r="R1716" t="n">
        <v>0.1132</v>
      </c>
      <c r="S1716">
        <f>IMAGE("https://mitra.stanford.edu/kundaje/oak/projects/neuro-variants/variant_position/credible/roussos_2024/variant_figures/roussos_2024.adolescence.GLU/rs4335809_count_position.png",4,220,900)</f>
        <v/>
      </c>
      <c r="T1716">
        <f>IMAGE("https://mitra.stanford.edu/kundaje/oak/projects/neuro-variants/variant_position/credible/roussos_2024/variant_figures/roussos_2024.adolescence.GLU/rs4335809_profile_position.png",4,220,900)</f>
        <v/>
      </c>
    </row>
    <row r="1717">
      <c r="A1717" t="inlineStr">
        <is>
          <t>chr17</t>
        </is>
      </c>
      <c r="B1717" t="n">
        <v>45825156</v>
      </c>
      <c r="C1717" t="inlineStr">
        <is>
          <t>G</t>
        </is>
      </c>
      <c r="D1717" t="inlineStr">
        <is>
          <t>A</t>
        </is>
      </c>
      <c r="E1717" t="inlineStr">
        <is>
          <t>rs4523962</t>
        </is>
      </c>
      <c r="F1717" t="n">
        <v>-0.0621477876</v>
      </c>
      <c r="G1717" t="n">
        <v>0.0366204076467606</v>
      </c>
      <c r="H1717" t="n">
        <v>0.0101721094751863</v>
      </c>
      <c r="I1717" t="n">
        <v>0.5146113818240796</v>
      </c>
      <c r="J1717" t="n">
        <v>0.5441812946967586</v>
      </c>
      <c r="K1717" t="n">
        <v>0.0613454675251549</v>
      </c>
      <c r="L1717" t="b">
        <v>0</v>
      </c>
      <c r="M1717" t="b">
        <v>0</v>
      </c>
      <c r="N1717" t="inlineStr">
        <is>
          <t>ref</t>
        </is>
      </c>
      <c r="O1717" t="n">
        <v>95</v>
      </c>
      <c r="P1717" t="n">
        <v>0.005585</v>
      </c>
      <c r="Q1717" t="n">
        <v>-100</v>
      </c>
      <c r="R1717" t="n">
        <v>0.06726</v>
      </c>
      <c r="S1717">
        <f>IMAGE("https://mitra.stanford.edu/kundaje/oak/projects/neuro-variants/variant_position/credible/roussos_2024/variant_figures/roussos_2024.adolescence.GLU/rs4523962_count_position.png",4,220,900)</f>
        <v/>
      </c>
      <c r="T1717">
        <f>IMAGE("https://mitra.stanford.edu/kundaje/oak/projects/neuro-variants/variant_position/credible/roussos_2024/variant_figures/roussos_2024.adolescence.GLU/rs4523962_profile_position.png",4,220,900)</f>
        <v/>
      </c>
    </row>
    <row r="1718">
      <c r="A1718" t="inlineStr">
        <is>
          <t>chr17</t>
        </is>
      </c>
      <c r="B1718" t="n">
        <v>45825372</v>
      </c>
      <c r="C1718" t="inlineStr">
        <is>
          <t>C</t>
        </is>
      </c>
      <c r="D1718" t="inlineStr">
        <is>
          <t>A</t>
        </is>
      </c>
      <c r="E1718" t="inlineStr">
        <is>
          <t>rs3885074</t>
        </is>
      </c>
      <c r="F1718" t="n">
        <v>-0.00169253562</v>
      </c>
      <c r="G1718" t="n">
        <v>0.5317628523407093</v>
      </c>
      <c r="H1718" t="n">
        <v>0.0097987732594949</v>
      </c>
      <c r="I1718" t="n">
        <v>0.5624393025126144</v>
      </c>
      <c r="J1718" t="n">
        <v>0.563269534403555</v>
      </c>
      <c r="K1718" t="n">
        <v>0.0525411278010754</v>
      </c>
      <c r="L1718" t="b">
        <v>0</v>
      </c>
      <c r="M1718" t="b">
        <v>0</v>
      </c>
      <c r="N1718" t="inlineStr">
        <is>
          <t>ref</t>
        </is>
      </c>
      <c r="O1718" t="n">
        <v>5</v>
      </c>
      <c r="P1718" t="n">
        <v>6.866e-05</v>
      </c>
      <c r="Q1718" t="n">
        <v>10</v>
      </c>
      <c r="R1718" t="n">
        <v>0.005066</v>
      </c>
      <c r="S1718">
        <f>IMAGE("https://mitra.stanford.edu/kundaje/oak/projects/neuro-variants/variant_position/credible/roussos_2024/variant_figures/roussos_2024.adolescence.GLU/rs3885074_count_position.png",4,220,900)</f>
        <v/>
      </c>
      <c r="T1718">
        <f>IMAGE("https://mitra.stanford.edu/kundaje/oak/projects/neuro-variants/variant_position/credible/roussos_2024/variant_figures/roussos_2024.adolescence.GLU/rs3885074_profile_position.png",4,220,900)</f>
        <v/>
      </c>
    </row>
    <row r="1719">
      <c r="A1719" t="inlineStr">
        <is>
          <t>chr17</t>
        </is>
      </c>
      <c r="B1719" t="n">
        <v>45825932</v>
      </c>
      <c r="C1719" t="inlineStr">
        <is>
          <t>G</t>
        </is>
      </c>
      <c r="D1719" t="inlineStr">
        <is>
          <t>A</t>
        </is>
      </c>
      <c r="E1719" t="inlineStr">
        <is>
          <t>rs62057147</t>
        </is>
      </c>
      <c r="F1719" t="n">
        <v>-0.0346963876</v>
      </c>
      <c r="G1719" t="n">
        <v>0.1440192743102432</v>
      </c>
      <c r="H1719" t="n">
        <v>0.0113143070374743</v>
      </c>
      <c r="I1719" t="n">
        <v>0.3695780538526648</v>
      </c>
      <c r="J1719" t="n">
        <v>0.5265662172878669</v>
      </c>
      <c r="K1719" t="n">
        <v>0.07082893113262539</v>
      </c>
      <c r="L1719" t="b">
        <v>0</v>
      </c>
      <c r="M1719" t="b">
        <v>0</v>
      </c>
      <c r="N1719" t="inlineStr">
        <is>
          <t>ref</t>
        </is>
      </c>
      <c r="O1719" t="n">
        <v>-45</v>
      </c>
      <c r="P1719" t="n">
        <v>0.001214</v>
      </c>
      <c r="Q1719" t="n">
        <v>-5</v>
      </c>
      <c r="R1719" t="n">
        <v>0.0002747</v>
      </c>
      <c r="S1719">
        <f>IMAGE("https://mitra.stanford.edu/kundaje/oak/projects/neuro-variants/variant_position/credible/roussos_2024/variant_figures/roussos_2024.adolescence.GLU/rs62057147_count_position.png",4,220,900)</f>
        <v/>
      </c>
      <c r="T1719">
        <f>IMAGE("https://mitra.stanford.edu/kundaje/oak/projects/neuro-variants/variant_position/credible/roussos_2024/variant_figures/roussos_2024.adolescence.GLU/rs62057147_profile_position.png",4,220,900)</f>
        <v/>
      </c>
    </row>
    <row r="1720">
      <c r="A1720" t="inlineStr">
        <is>
          <t>chr17</t>
        </is>
      </c>
      <c r="B1720" t="n">
        <v>45825970</v>
      </c>
      <c r="C1720" t="inlineStr">
        <is>
          <t>G</t>
        </is>
      </c>
      <c r="D1720" t="inlineStr">
        <is>
          <t>A</t>
        </is>
      </c>
      <c r="E1720" t="inlineStr">
        <is>
          <t>rs17763050</t>
        </is>
      </c>
      <c r="F1720" t="n">
        <v>-0.0269392929999999</v>
      </c>
      <c r="G1720" t="n">
        <v>0.2098654111571962</v>
      </c>
      <c r="H1720" t="n">
        <v>0.0092688013040386</v>
      </c>
      <c r="I1720" t="n">
        <v>0.6299675189669504</v>
      </c>
      <c r="J1720" t="n">
        <v>0.5221338705874788</v>
      </c>
      <c r="K1720" t="n">
        <v>0.07331405654100601</v>
      </c>
      <c r="L1720" t="b">
        <v>0</v>
      </c>
      <c r="M1720" t="b">
        <v>0</v>
      </c>
      <c r="N1720" t="inlineStr">
        <is>
          <t>ref</t>
        </is>
      </c>
      <c r="O1720" t="n">
        <v>-25</v>
      </c>
      <c r="P1720" t="n">
        <v>0.001761</v>
      </c>
      <c r="Q1720" t="n">
        <v>-40</v>
      </c>
      <c r="R1720" t="n">
        <v>0.07025000000000001</v>
      </c>
      <c r="S1720">
        <f>IMAGE("https://mitra.stanford.edu/kundaje/oak/projects/neuro-variants/variant_position/credible/roussos_2024/variant_figures/roussos_2024.adolescence.GLU/rs17763050_count_position.png",4,220,900)</f>
        <v/>
      </c>
      <c r="T1720">
        <f>IMAGE("https://mitra.stanford.edu/kundaje/oak/projects/neuro-variants/variant_position/credible/roussos_2024/variant_figures/roussos_2024.adolescence.GLU/rs17763050_profile_position.png",4,220,900)</f>
        <v/>
      </c>
    </row>
    <row r="1721">
      <c r="A1721" t="inlineStr">
        <is>
          <t>chr17</t>
        </is>
      </c>
      <c r="B1721" t="n">
        <v>45826182</v>
      </c>
      <c r="C1721" t="inlineStr">
        <is>
          <t>C</t>
        </is>
      </c>
      <c r="D1721" t="inlineStr">
        <is>
          <t>T</t>
        </is>
      </c>
      <c r="E1721" t="inlineStr">
        <is>
          <t>rs62057150</t>
        </is>
      </c>
      <c r="F1721" t="n">
        <v>0.0364884238</v>
      </c>
      <c r="G1721" t="n">
        <v>0.1116925397888145</v>
      </c>
      <c r="H1721" t="n">
        <v>0.0156282083505067</v>
      </c>
      <c r="I1721" t="n">
        <v>0.1391175354589278</v>
      </c>
      <c r="J1721" t="n">
        <v>0.5030341999414165</v>
      </c>
      <c r="K1721" t="n">
        <v>0.0845774865757354</v>
      </c>
      <c r="L1721" t="b">
        <v>0</v>
      </c>
      <c r="M1721" t="b">
        <v>0</v>
      </c>
      <c r="N1721" t="inlineStr">
        <is>
          <t>alt</t>
        </is>
      </c>
      <c r="O1721" t="n">
        <v>-100</v>
      </c>
      <c r="P1721" t="n">
        <v>0.002502</v>
      </c>
      <c r="Q1721" t="n">
        <v>-90</v>
      </c>
      <c r="R1721" t="n">
        <v>0.1011</v>
      </c>
      <c r="S1721">
        <f>IMAGE("https://mitra.stanford.edu/kundaje/oak/projects/neuro-variants/variant_position/credible/roussos_2024/variant_figures/roussos_2024.adolescence.GLU/rs62057150_count_position.png",4,220,900)</f>
        <v/>
      </c>
      <c r="T1721">
        <f>IMAGE("https://mitra.stanford.edu/kundaje/oak/projects/neuro-variants/variant_position/credible/roussos_2024/variant_figures/roussos_2024.adolescence.GLU/rs62057150_profile_position.png",4,220,900)</f>
        <v/>
      </c>
    </row>
    <row r="1722">
      <c r="A1722" t="inlineStr">
        <is>
          <t>chr17</t>
        </is>
      </c>
      <c r="B1722" t="n">
        <v>45826476</v>
      </c>
      <c r="C1722" t="inlineStr">
        <is>
          <t>C</t>
        </is>
      </c>
      <c r="D1722" t="inlineStr">
        <is>
          <t>T</t>
        </is>
      </c>
      <c r="E1722" t="inlineStr">
        <is>
          <t>rs62057151</t>
        </is>
      </c>
      <c r="F1722" t="n">
        <v>-0.0520491938</v>
      </c>
      <c r="G1722" t="n">
        <v>0.0619662782293462</v>
      </c>
      <c r="H1722" t="n">
        <v>0.0141040291509153</v>
      </c>
      <c r="I1722" t="n">
        <v>0.2064507286645163</v>
      </c>
      <c r="J1722" t="n">
        <v>0.4788863407420108</v>
      </c>
      <c r="K1722" t="n">
        <v>0.1015527573609606</v>
      </c>
      <c r="L1722" t="b">
        <v>0</v>
      </c>
      <c r="M1722" t="b">
        <v>0</v>
      </c>
      <c r="N1722" t="inlineStr">
        <is>
          <t>ref</t>
        </is>
      </c>
      <c r="O1722" t="n">
        <v>100</v>
      </c>
      <c r="P1722" t="n">
        <v>0.005283</v>
      </c>
      <c r="Q1722" t="n">
        <v>95</v>
      </c>
      <c r="R1722" t="n">
        <v>0.03857</v>
      </c>
      <c r="S1722">
        <f>IMAGE("https://mitra.stanford.edu/kundaje/oak/projects/neuro-variants/variant_position/credible/roussos_2024/variant_figures/roussos_2024.adolescence.GLU/rs62057151_count_position.png",4,220,900)</f>
        <v/>
      </c>
      <c r="T1722">
        <f>IMAGE("https://mitra.stanford.edu/kundaje/oak/projects/neuro-variants/variant_position/credible/roussos_2024/variant_figures/roussos_2024.adolescence.GLU/rs62057151_profile_position.png",4,220,900)</f>
        <v/>
      </c>
    </row>
    <row r="1723">
      <c r="A1723" t="inlineStr">
        <is>
          <t>chr17</t>
        </is>
      </c>
      <c r="B1723" t="n">
        <v>45827162</v>
      </c>
      <c r="C1723" t="inlineStr">
        <is>
          <t>T</t>
        </is>
      </c>
      <c r="D1723" t="inlineStr">
        <is>
          <t>C</t>
        </is>
      </c>
      <c r="E1723" t="inlineStr">
        <is>
          <t>rs62057153</t>
        </is>
      </c>
      <c r="F1723" t="n">
        <v>0.0431183933999999</v>
      </c>
      <c r="G1723" t="n">
        <v>0.0886083317417936</v>
      </c>
      <c r="H1723" t="n">
        <v>0.0075892692185969</v>
      </c>
      <c r="I1723" t="n">
        <v>0.8500397440702512</v>
      </c>
      <c r="J1723" t="n">
        <v>0.5477234570018075</v>
      </c>
      <c r="K1723" t="n">
        <v>0.0609417511562932</v>
      </c>
      <c r="L1723" t="b">
        <v>0</v>
      </c>
      <c r="M1723" t="b">
        <v>0</v>
      </c>
      <c r="N1723" t="inlineStr">
        <is>
          <t>alt</t>
        </is>
      </c>
      <c r="O1723" t="n">
        <v>-80</v>
      </c>
      <c r="P1723" t="n">
        <v>0.01701</v>
      </c>
      <c r="Q1723" t="n">
        <v>35</v>
      </c>
      <c r="R1723" t="n">
        <v>0.0249</v>
      </c>
      <c r="S1723">
        <f>IMAGE("https://mitra.stanford.edu/kundaje/oak/projects/neuro-variants/variant_position/credible/roussos_2024/variant_figures/roussos_2024.adolescence.GLU/rs62057153_count_position.png",4,220,900)</f>
        <v/>
      </c>
      <c r="T1723">
        <f>IMAGE("https://mitra.stanford.edu/kundaje/oak/projects/neuro-variants/variant_position/credible/roussos_2024/variant_figures/roussos_2024.adolescence.GLU/rs62057153_profile_position.png",4,220,900)</f>
        <v/>
      </c>
    </row>
    <row r="1724">
      <c r="A1724" t="inlineStr">
        <is>
          <t>chr17</t>
        </is>
      </c>
      <c r="B1724" t="n">
        <v>45827307</v>
      </c>
      <c r="C1724" t="inlineStr">
        <is>
          <t>C</t>
        </is>
      </c>
      <c r="D1724" t="inlineStr">
        <is>
          <t>T</t>
        </is>
      </c>
      <c r="E1724" t="inlineStr">
        <is>
          <t>rs62057155</t>
        </is>
      </c>
      <c r="F1724" t="n">
        <v>-1.804863200000001e-05</v>
      </c>
      <c r="G1724" t="n">
        <v>0.9124097996922946</v>
      </c>
      <c r="H1724" t="n">
        <v>0.0099082657393533</v>
      </c>
      <c r="I1724" t="n">
        <v>0.5167013664124029</v>
      </c>
      <c r="J1724" t="n">
        <v>0.5364196869351509</v>
      </c>
      <c r="K1724" t="n">
        <v>0.0670240929968656</v>
      </c>
      <c r="L1724" t="b">
        <v>0</v>
      </c>
      <c r="M1724" t="b">
        <v>0</v>
      </c>
      <c r="N1724" t="inlineStr">
        <is>
          <t>ref</t>
        </is>
      </c>
      <c r="O1724" t="n">
        <v>5</v>
      </c>
      <c r="P1724" t="n">
        <v>0.000679</v>
      </c>
      <c r="Q1724" t="n">
        <v>-100</v>
      </c>
      <c r="R1724" t="n">
        <v>0.1604</v>
      </c>
      <c r="S1724">
        <f>IMAGE("https://mitra.stanford.edu/kundaje/oak/projects/neuro-variants/variant_position/credible/roussos_2024/variant_figures/roussos_2024.adolescence.GLU/rs62057155_count_position.png",4,220,900)</f>
        <v/>
      </c>
      <c r="T1724">
        <f>IMAGE("https://mitra.stanford.edu/kundaje/oak/projects/neuro-variants/variant_position/credible/roussos_2024/variant_figures/roussos_2024.adolescence.GLU/rs62057155_profile_position.png",4,220,900)</f>
        <v/>
      </c>
    </row>
    <row r="1725">
      <c r="A1725" t="inlineStr">
        <is>
          <t>chr17</t>
        </is>
      </c>
      <c r="B1725" t="n">
        <v>45834077</v>
      </c>
      <c r="C1725" t="inlineStr">
        <is>
          <t>T</t>
        </is>
      </c>
      <c r="D1725" t="inlineStr">
        <is>
          <t>C</t>
        </is>
      </c>
      <c r="E1725" t="inlineStr">
        <is>
          <t>rs1876829</t>
        </is>
      </c>
      <c r="F1725" t="n">
        <v>-8.756087999999968e-05</v>
      </c>
      <c r="G1725" t="n">
        <v>0.7929925393640528</v>
      </c>
      <c r="H1725" t="n">
        <v>0.0090675382581348</v>
      </c>
      <c r="I1725" t="n">
        <v>0.6526947890418116</v>
      </c>
      <c r="J1725" t="n">
        <v>0.5193718698873339</v>
      </c>
      <c r="K1725" t="n">
        <v>0.0762164159834878</v>
      </c>
      <c r="L1725" t="b">
        <v>0</v>
      </c>
      <c r="M1725" t="b">
        <v>0</v>
      </c>
      <c r="N1725" t="inlineStr">
        <is>
          <t>ref</t>
        </is>
      </c>
      <c r="O1725" t="n">
        <v>100</v>
      </c>
      <c r="P1725" t="n">
        <v>0.007675</v>
      </c>
      <c r="Q1725" t="n">
        <v>100</v>
      </c>
      <c r="R1725" t="n">
        <v>0.05725</v>
      </c>
      <c r="S1725">
        <f>IMAGE("https://mitra.stanford.edu/kundaje/oak/projects/neuro-variants/variant_position/credible/roussos_2024/variant_figures/roussos_2024.adolescence.GLU/rs1876829_count_position.png",4,220,900)</f>
        <v/>
      </c>
      <c r="T1725">
        <f>IMAGE("https://mitra.stanford.edu/kundaje/oak/projects/neuro-variants/variant_position/credible/roussos_2024/variant_figures/roussos_2024.adolescence.GLU/rs1876829_profile_position.png",4,220,900)</f>
        <v/>
      </c>
    </row>
    <row r="1726">
      <c r="A1726" t="inlineStr">
        <is>
          <t>chr17</t>
        </is>
      </c>
      <c r="B1726" t="n">
        <v>45835216</v>
      </c>
      <c r="C1726" t="inlineStr">
        <is>
          <t>C</t>
        </is>
      </c>
      <c r="D1726" t="inlineStr">
        <is>
          <t>T</t>
        </is>
      </c>
      <c r="E1726" t="inlineStr">
        <is>
          <t>rs878887</t>
        </is>
      </c>
      <c r="F1726" t="n">
        <v>-0.0660175668</v>
      </c>
      <c r="G1726" t="n">
        <v>0.0326838697620174</v>
      </c>
      <c r="H1726" t="n">
        <v>0.01218332648367</v>
      </c>
      <c r="I1726" t="n">
        <v>0.336025634030192</v>
      </c>
      <c r="J1726" t="n">
        <v>0.4473055132848947</v>
      </c>
      <c r="K1726" t="n">
        <v>0.1259269474339514</v>
      </c>
      <c r="L1726" t="b">
        <v>0</v>
      </c>
      <c r="M1726" t="b">
        <v>0</v>
      </c>
      <c r="N1726" t="inlineStr">
        <is>
          <t>ref</t>
        </is>
      </c>
      <c r="O1726" t="n">
        <v>-55</v>
      </c>
      <c r="P1726" t="n">
        <v>0.001617</v>
      </c>
      <c r="Q1726" t="n">
        <v>-95</v>
      </c>
      <c r="R1726" t="n">
        <v>0.0407</v>
      </c>
      <c r="S1726">
        <f>IMAGE("https://mitra.stanford.edu/kundaje/oak/projects/neuro-variants/variant_position/credible/roussos_2024/variant_figures/roussos_2024.adolescence.GLU/rs878887_count_position.png",4,220,900)</f>
        <v/>
      </c>
      <c r="T1726">
        <f>IMAGE("https://mitra.stanford.edu/kundaje/oak/projects/neuro-variants/variant_position/credible/roussos_2024/variant_figures/roussos_2024.adolescence.GLU/rs878887_profile_position.png",4,220,900)</f>
        <v/>
      </c>
    </row>
    <row r="1727">
      <c r="A1727" t="inlineStr">
        <is>
          <t>chr17</t>
        </is>
      </c>
      <c r="B1727" t="n">
        <v>45836191</v>
      </c>
      <c r="C1727" t="inlineStr">
        <is>
          <t>T</t>
        </is>
      </c>
      <c r="D1727" t="inlineStr">
        <is>
          <t>G</t>
        </is>
      </c>
      <c r="E1727" t="inlineStr">
        <is>
          <t>rs75104593</t>
        </is>
      </c>
      <c r="F1727" t="n">
        <v>-0.100126426</v>
      </c>
      <c r="G1727" t="n">
        <v>0.0099309745286292</v>
      </c>
      <c r="H1727" t="n">
        <v>0.0268127157143662</v>
      </c>
      <c r="I1727" t="n">
        <v>0.0146775387765999</v>
      </c>
      <c r="J1727" t="n">
        <v>0.4673139436026033</v>
      </c>
      <c r="K1727" t="n">
        <v>0.1107055992135611</v>
      </c>
      <c r="L1727" t="b">
        <v>1</v>
      </c>
      <c r="M1727" t="b">
        <v>1</v>
      </c>
      <c r="N1727" t="inlineStr">
        <is>
          <t>ref</t>
        </is>
      </c>
      <c r="O1727" t="n">
        <v>-90</v>
      </c>
      <c r="P1727" t="n">
        <v>0.00067</v>
      </c>
      <c r="Q1727" t="n">
        <v>-75</v>
      </c>
      <c r="R1727" t="n">
        <v>0.02914</v>
      </c>
      <c r="S1727">
        <f>IMAGE("https://mitra.stanford.edu/kundaje/oak/projects/neuro-variants/variant_position/credible/roussos_2024/variant_figures/roussos_2024.adolescence.GLU/rs75104593_count_position.png",4,220,900)</f>
        <v/>
      </c>
      <c r="T1727">
        <f>IMAGE("https://mitra.stanford.edu/kundaje/oak/projects/neuro-variants/variant_position/credible/roussos_2024/variant_figures/roussos_2024.adolescence.GLU/rs75104593_profile_position.png",4,220,900)</f>
        <v/>
      </c>
    </row>
    <row r="1728">
      <c r="A1728" t="inlineStr">
        <is>
          <t>chr17</t>
        </is>
      </c>
      <c r="B1728" t="n">
        <v>45836192</v>
      </c>
      <c r="C1728" t="inlineStr">
        <is>
          <t>T</t>
        </is>
      </c>
      <c r="D1728" t="inlineStr">
        <is>
          <t>G</t>
        </is>
      </c>
      <c r="E1728" t="inlineStr">
        <is>
          <t>rs74998289</t>
        </is>
      </c>
      <c r="F1728" t="n">
        <v>-0.1022864739999999</v>
      </c>
      <c r="G1728" t="n">
        <v>0.008820657812446999</v>
      </c>
      <c r="H1728" t="n">
        <v>0.0286188904826084</v>
      </c>
      <c r="I1728" t="n">
        <v>0.0106866148235754</v>
      </c>
      <c r="J1728" t="n">
        <v>0.467461116945653</v>
      </c>
      <c r="K1728" t="n">
        <v>0.1106172671938586</v>
      </c>
      <c r="L1728" t="b">
        <v>1</v>
      </c>
      <c r="M1728" t="b">
        <v>1</v>
      </c>
      <c r="N1728" t="inlineStr">
        <is>
          <t>ref</t>
        </is>
      </c>
      <c r="O1728" t="n">
        <v>-20</v>
      </c>
      <c r="P1728" t="n">
        <v>0.0006227</v>
      </c>
      <c r="Q1728" t="n">
        <v>-80</v>
      </c>
      <c r="R1728" t="n">
        <v>0.03043</v>
      </c>
      <c r="S1728">
        <f>IMAGE("https://mitra.stanford.edu/kundaje/oak/projects/neuro-variants/variant_position/credible/roussos_2024/variant_figures/roussos_2024.adolescence.GLU/rs74998289_count_position.png",4,220,900)</f>
        <v/>
      </c>
      <c r="T1728">
        <f>IMAGE("https://mitra.stanford.edu/kundaje/oak/projects/neuro-variants/variant_position/credible/roussos_2024/variant_figures/roussos_2024.adolescence.GLU/rs74998289_profile_position.png",4,220,900)</f>
        <v/>
      </c>
    </row>
    <row r="1729">
      <c r="A1729" t="inlineStr">
        <is>
          <t>chr17</t>
        </is>
      </c>
      <c r="B1729" t="n">
        <v>45837443</v>
      </c>
      <c r="C1729" t="inlineStr">
        <is>
          <t>C</t>
        </is>
      </c>
      <c r="D1729" t="inlineStr">
        <is>
          <t>T</t>
        </is>
      </c>
      <c r="E1729" t="inlineStr">
        <is>
          <t>rs62054804</t>
        </is>
      </c>
      <c r="F1729" t="n">
        <v>-0.0477209019999999</v>
      </c>
      <c r="G1729" t="n">
        <v>0.0782892632365859</v>
      </c>
      <c r="H1729" t="n">
        <v>0.009555456055675199</v>
      </c>
      <c r="I1729" t="n">
        <v>0.5871884252451552</v>
      </c>
      <c r="J1729" t="n">
        <v>0.5352094362403641</v>
      </c>
      <c r="K1729" t="n">
        <v>0.0671090086980286</v>
      </c>
      <c r="L1729" t="b">
        <v>0</v>
      </c>
      <c r="M1729" t="b">
        <v>0</v>
      </c>
      <c r="N1729" t="inlineStr">
        <is>
          <t>ref</t>
        </is>
      </c>
      <c r="O1729" t="n">
        <v>-85</v>
      </c>
      <c r="P1729" t="n">
        <v>0.003681</v>
      </c>
      <c r="Q1729" t="n">
        <v>-25</v>
      </c>
      <c r="R1729" t="n">
        <v>0.03394</v>
      </c>
      <c r="S1729">
        <f>IMAGE("https://mitra.stanford.edu/kundaje/oak/projects/neuro-variants/variant_position/credible/roussos_2024/variant_figures/roussos_2024.adolescence.GLU/rs62054804_count_position.png",4,220,900)</f>
        <v/>
      </c>
      <c r="T1729">
        <f>IMAGE("https://mitra.stanford.edu/kundaje/oak/projects/neuro-variants/variant_position/credible/roussos_2024/variant_figures/roussos_2024.adolescence.GLU/rs62054804_profile_position.png",4,220,900)</f>
        <v/>
      </c>
    </row>
    <row r="1730">
      <c r="A1730" t="inlineStr">
        <is>
          <t>chr17</t>
        </is>
      </c>
      <c r="B1730" t="n">
        <v>45841158</v>
      </c>
      <c r="C1730" t="inlineStr">
        <is>
          <t>A</t>
        </is>
      </c>
      <c r="D1730" t="inlineStr">
        <is>
          <t>G</t>
        </is>
      </c>
      <c r="E1730" t="inlineStr">
        <is>
          <t>rs74922289</t>
        </is>
      </c>
      <c r="F1730" t="n">
        <v>-0.00045580598</v>
      </c>
      <c r="G1730" t="n">
        <v>0.8705745158047332</v>
      </c>
      <c r="H1730" t="n">
        <v>0.0242351865289171</v>
      </c>
      <c r="I1730" t="n">
        <v>0.0227678920135738</v>
      </c>
      <c r="J1730" t="n">
        <v>0.3158811468089818</v>
      </c>
      <c r="K1730" t="n">
        <v>0.2534650869958941</v>
      </c>
      <c r="L1730" t="b">
        <v>0</v>
      </c>
      <c r="M1730" t="b">
        <v>0</v>
      </c>
      <c r="N1730" t="inlineStr">
        <is>
          <t>ref</t>
        </is>
      </c>
      <c r="O1730" t="n">
        <v>-85</v>
      </c>
      <c r="P1730" t="n">
        <v>0.0125</v>
      </c>
      <c r="Q1730" t="n">
        <v>95</v>
      </c>
      <c r="R1730" t="n">
        <v>0.1908</v>
      </c>
      <c r="S1730">
        <f>IMAGE("https://mitra.stanford.edu/kundaje/oak/projects/neuro-variants/variant_position/credible/roussos_2024/variant_figures/roussos_2024.adolescence.GLU/rs74922289_count_position.png",4,220,900)</f>
        <v/>
      </c>
      <c r="T1730">
        <f>IMAGE("https://mitra.stanford.edu/kundaje/oak/projects/neuro-variants/variant_position/credible/roussos_2024/variant_figures/roussos_2024.adolescence.GLU/rs74922289_profile_position.png",4,220,900)</f>
        <v/>
      </c>
    </row>
    <row r="1731">
      <c r="A1731" t="inlineStr">
        <is>
          <t>chr17</t>
        </is>
      </c>
      <c r="B1731" t="n">
        <v>45841247</v>
      </c>
      <c r="C1731" t="inlineStr">
        <is>
          <t>T</t>
        </is>
      </c>
      <c r="D1731" t="inlineStr">
        <is>
          <t>C</t>
        </is>
      </c>
      <c r="E1731" t="inlineStr">
        <is>
          <t>rs56971664</t>
        </is>
      </c>
      <c r="F1731" t="n">
        <v>0.07684413</v>
      </c>
      <c r="G1731" t="n">
        <v>0.017335993055447</v>
      </c>
      <c r="H1731" t="n">
        <v>0.0139886929604051</v>
      </c>
      <c r="I1731" t="n">
        <v>0.2091423461556973</v>
      </c>
      <c r="J1731" t="n">
        <v>0.3635067263933243</v>
      </c>
      <c r="K1731" t="n">
        <v>0.2026931185679779</v>
      </c>
      <c r="L1731" t="b">
        <v>1</v>
      </c>
      <c r="M1731" t="b">
        <v>0</v>
      </c>
      <c r="N1731" t="inlineStr">
        <is>
          <t>alt</t>
        </is>
      </c>
      <c r="O1731" t="n">
        <v>25</v>
      </c>
      <c r="P1731" t="n">
        <v>0.001053</v>
      </c>
      <c r="Q1731" t="n">
        <v>100</v>
      </c>
      <c r="R1731" t="n">
        <v>0.06902999999999999</v>
      </c>
      <c r="S1731">
        <f>IMAGE("https://mitra.stanford.edu/kundaje/oak/projects/neuro-variants/variant_position/credible/roussos_2024/variant_figures/roussos_2024.adolescence.GLU/rs56971664_count_position.png",4,220,900)</f>
        <v/>
      </c>
      <c r="T1731">
        <f>IMAGE("https://mitra.stanford.edu/kundaje/oak/projects/neuro-variants/variant_position/credible/roussos_2024/variant_figures/roussos_2024.adolescence.GLU/rs56971664_profile_position.png",4,220,900)</f>
        <v/>
      </c>
    </row>
    <row r="1732">
      <c r="A1732" t="inlineStr">
        <is>
          <t>chr17</t>
        </is>
      </c>
      <c r="B1732" t="n">
        <v>45843844</v>
      </c>
      <c r="C1732" t="inlineStr">
        <is>
          <t>G</t>
        </is>
      </c>
      <c r="D1732" t="inlineStr">
        <is>
          <t>T</t>
        </is>
      </c>
      <c r="E1732" t="inlineStr">
        <is>
          <t>rs17763596</t>
        </is>
      </c>
      <c r="F1732" t="n">
        <v>0.046768245</v>
      </c>
      <c r="G1732" t="n">
        <v>0.07302271597991331</v>
      </c>
      <c r="H1732" t="n">
        <v>0.040115952714622</v>
      </c>
      <c r="I1732" t="n">
        <v>0.0027935664750062</v>
      </c>
      <c r="J1732" t="n">
        <v>0.185611305198934</v>
      </c>
      <c r="K1732" t="n">
        <v>0.4267941482677403</v>
      </c>
      <c r="L1732" t="b">
        <v>1</v>
      </c>
      <c r="M1732" t="b">
        <v>1</v>
      </c>
      <c r="N1732" t="inlineStr">
        <is>
          <t>alt</t>
        </is>
      </c>
      <c r="O1732" t="n">
        <v>-60</v>
      </c>
      <c r="P1732" t="n">
        <v>0.0009613</v>
      </c>
      <c r="Q1732" t="n">
        <v>-30</v>
      </c>
      <c r="R1732" t="n">
        <v>0.03117</v>
      </c>
      <c r="S1732">
        <f>IMAGE("https://mitra.stanford.edu/kundaje/oak/projects/neuro-variants/variant_position/credible/roussos_2024/variant_figures/roussos_2024.adolescence.GLU/rs17763596_count_position.png",4,220,900)</f>
        <v/>
      </c>
      <c r="T1732">
        <f>IMAGE("https://mitra.stanford.edu/kundaje/oak/projects/neuro-variants/variant_position/credible/roussos_2024/variant_figures/roussos_2024.adolescence.GLU/rs17763596_profile_position.png",4,220,900)</f>
        <v/>
      </c>
    </row>
    <row r="1733">
      <c r="A1733" t="inlineStr">
        <is>
          <t>chr17</t>
        </is>
      </c>
      <c r="B1733" t="n">
        <v>45845900</v>
      </c>
      <c r="C1733" t="inlineStr">
        <is>
          <t>G</t>
        </is>
      </c>
      <c r="D1733" t="inlineStr">
        <is>
          <t>A</t>
        </is>
      </c>
      <c r="E1733" t="inlineStr">
        <is>
          <t>rs62054815</t>
        </is>
      </c>
      <c r="F1733" t="n">
        <v>-0.10544444</v>
      </c>
      <c r="G1733" t="n">
        <v>0.0066294330006425</v>
      </c>
      <c r="H1733" t="n">
        <v>0.019919796747713</v>
      </c>
      <c r="I1733" t="n">
        <v>0.0568270445184513</v>
      </c>
      <c r="J1733" t="n">
        <v>0.5685220509962778</v>
      </c>
      <c r="K1733" t="n">
        <v>0.0506659207590894</v>
      </c>
      <c r="L1733" t="b">
        <v>1</v>
      </c>
      <c r="M1733" t="b">
        <v>1</v>
      </c>
      <c r="N1733" t="inlineStr">
        <is>
          <t>ref</t>
        </is>
      </c>
      <c r="O1733" t="n">
        <v>75</v>
      </c>
      <c r="P1733" t="n">
        <v>0.00255</v>
      </c>
      <c r="Q1733" t="n">
        <v>10</v>
      </c>
      <c r="R1733" t="n">
        <v>0.010315</v>
      </c>
      <c r="S1733">
        <f>IMAGE("https://mitra.stanford.edu/kundaje/oak/projects/neuro-variants/variant_position/credible/roussos_2024/variant_figures/roussos_2024.adolescence.GLU/rs62054815_count_position.png",4,220,900)</f>
        <v/>
      </c>
      <c r="T1733">
        <f>IMAGE("https://mitra.stanford.edu/kundaje/oak/projects/neuro-variants/variant_position/credible/roussos_2024/variant_figures/roussos_2024.adolescence.GLU/rs62054815_profile_position.png",4,220,900)</f>
        <v/>
      </c>
    </row>
    <row r="1734">
      <c r="A1734" t="inlineStr">
        <is>
          <t>chr17</t>
        </is>
      </c>
      <c r="B1734" t="n">
        <v>45846568</v>
      </c>
      <c r="C1734" t="inlineStr">
        <is>
          <t>T</t>
        </is>
      </c>
      <c r="D1734" t="inlineStr">
        <is>
          <t>C</t>
        </is>
      </c>
      <c r="E1734" t="inlineStr">
        <is>
          <t>rs11079725</t>
        </is>
      </c>
      <c r="F1734" t="n">
        <v>0.0248612958</v>
      </c>
      <c r="G1734" t="n">
        <v>0.2202926035565813</v>
      </c>
      <c r="H1734" t="n">
        <v>0.0103043695374927</v>
      </c>
      <c r="I1734" t="n">
        <v>0.4972437729788982</v>
      </c>
      <c r="J1734" t="n">
        <v>0.5208407455830136</v>
      </c>
      <c r="K1734" t="n">
        <v>0.075518111380519</v>
      </c>
      <c r="L1734" t="b">
        <v>0</v>
      </c>
      <c r="M1734" t="b">
        <v>0</v>
      </c>
      <c r="N1734" t="inlineStr">
        <is>
          <t>alt</t>
        </is>
      </c>
      <c r="O1734" t="n">
        <v>100</v>
      </c>
      <c r="P1734" t="n">
        <v>0.00317</v>
      </c>
      <c r="Q1734" t="n">
        <v>25</v>
      </c>
      <c r="R1734" t="n">
        <v>0.05463</v>
      </c>
      <c r="S1734">
        <f>IMAGE("https://mitra.stanford.edu/kundaje/oak/projects/neuro-variants/variant_position/credible/roussos_2024/variant_figures/roussos_2024.adolescence.GLU/rs11079725_count_position.png",4,220,900)</f>
        <v/>
      </c>
      <c r="T1734">
        <f>IMAGE("https://mitra.stanford.edu/kundaje/oak/projects/neuro-variants/variant_position/credible/roussos_2024/variant_figures/roussos_2024.adolescence.GLU/rs11079725_profile_position.png",4,220,900)</f>
        <v/>
      </c>
    </row>
    <row r="1735">
      <c r="A1735" t="inlineStr">
        <is>
          <t>chr17</t>
        </is>
      </c>
      <c r="B1735" t="n">
        <v>45847410</v>
      </c>
      <c r="C1735" t="inlineStr">
        <is>
          <t>C</t>
        </is>
      </c>
      <c r="D1735" t="inlineStr">
        <is>
          <t>T</t>
        </is>
      </c>
      <c r="E1735" t="inlineStr">
        <is>
          <t>rs55943825</t>
        </is>
      </c>
      <c r="F1735" t="n">
        <v>0.01411593032</v>
      </c>
      <c r="G1735" t="n">
        <v>0.3854617023547634</v>
      </c>
      <c r="H1735" t="n">
        <v>0.0069995590929432</v>
      </c>
      <c r="I1735" t="n">
        <v>0.9121001401430988</v>
      </c>
      <c r="J1735" t="n">
        <v>0.5084538940209044</v>
      </c>
      <c r="K1735" t="n">
        <v>0.0836119990965047</v>
      </c>
      <c r="L1735" t="b">
        <v>0</v>
      </c>
      <c r="M1735" t="b">
        <v>0</v>
      </c>
      <c r="N1735" t="inlineStr">
        <is>
          <t>alt</t>
        </is>
      </c>
      <c r="O1735" t="n">
        <v>85</v>
      </c>
      <c r="P1735" t="n">
        <v>0.01262</v>
      </c>
      <c r="Q1735" t="n">
        <v>100</v>
      </c>
      <c r="R1735" t="n">
        <v>0.03412</v>
      </c>
      <c r="S1735">
        <f>IMAGE("https://mitra.stanford.edu/kundaje/oak/projects/neuro-variants/variant_position/credible/roussos_2024/variant_figures/roussos_2024.adolescence.GLU/rs55943825_count_position.png",4,220,900)</f>
        <v/>
      </c>
      <c r="T1735">
        <f>IMAGE("https://mitra.stanford.edu/kundaje/oak/projects/neuro-variants/variant_position/credible/roussos_2024/variant_figures/roussos_2024.adolescence.GLU/rs55943825_profile_position.png",4,220,900)</f>
        <v/>
      </c>
    </row>
    <row r="1736">
      <c r="A1736" t="inlineStr">
        <is>
          <t>chr17</t>
        </is>
      </c>
      <c r="B1736" t="n">
        <v>45848600</v>
      </c>
      <c r="C1736" t="inlineStr">
        <is>
          <t>G</t>
        </is>
      </c>
      <c r="D1736" t="inlineStr">
        <is>
          <t>A</t>
        </is>
      </c>
      <c r="E1736" t="inlineStr">
        <is>
          <t>rs62054817</t>
        </is>
      </c>
      <c r="F1736" t="n">
        <v>0.0303947705</v>
      </c>
      <c r="G1736" t="n">
        <v>0.1822092875281701</v>
      </c>
      <c r="H1736" t="n">
        <v>0.0268626102960965</v>
      </c>
      <c r="I1736" t="n">
        <v>0.0234291313774498</v>
      </c>
      <c r="J1736" t="n">
        <v>0.5424395053261033</v>
      </c>
      <c r="K1736" t="n">
        <v>0.06294175760813089</v>
      </c>
      <c r="L1736" t="b">
        <v>0</v>
      </c>
      <c r="M1736" t="b">
        <v>0</v>
      </c>
      <c r="N1736" t="inlineStr">
        <is>
          <t>alt</t>
        </is>
      </c>
      <c r="O1736" t="n">
        <v>-15</v>
      </c>
      <c r="P1736" t="n">
        <v>0.0007753</v>
      </c>
      <c r="Q1736" t="n">
        <v>-95</v>
      </c>
      <c r="R1736" t="n">
        <v>0.0959</v>
      </c>
      <c r="S1736">
        <f>IMAGE("https://mitra.stanford.edu/kundaje/oak/projects/neuro-variants/variant_position/credible/roussos_2024/variant_figures/roussos_2024.adolescence.GLU/rs62054817_count_position.png",4,220,900)</f>
        <v/>
      </c>
      <c r="T1736">
        <f>IMAGE("https://mitra.stanford.edu/kundaje/oak/projects/neuro-variants/variant_position/credible/roussos_2024/variant_figures/roussos_2024.adolescence.GLU/rs62054817_profile_position.png",4,220,900)</f>
        <v/>
      </c>
    </row>
    <row r="1737">
      <c r="A1737" t="inlineStr">
        <is>
          <t>chr17</t>
        </is>
      </c>
      <c r="B1737" t="n">
        <v>45852626</v>
      </c>
      <c r="C1737" t="inlineStr">
        <is>
          <t>C</t>
        </is>
      </c>
      <c r="D1737" t="inlineStr">
        <is>
          <t>T</t>
        </is>
      </c>
      <c r="E1737" t="inlineStr">
        <is>
          <t>rs62054824</t>
        </is>
      </c>
      <c r="F1737" t="n">
        <v>0.0170274392</v>
      </c>
      <c r="G1737" t="n">
        <v>0.3688449085311815</v>
      </c>
      <c r="H1737" t="n">
        <v>0.0103446758720303</v>
      </c>
      <c r="I1737" t="n">
        <v>0.5032267921775418</v>
      </c>
      <c r="J1737" t="n">
        <v>0.6190553757564066</v>
      </c>
      <c r="K1737" t="n">
        <v>0.0323949128980513</v>
      </c>
      <c r="L1737" t="b">
        <v>0</v>
      </c>
      <c r="M1737" t="b">
        <v>0</v>
      </c>
      <c r="N1737" t="inlineStr">
        <is>
          <t>alt</t>
        </is>
      </c>
      <c r="O1737" t="n">
        <v>95</v>
      </c>
      <c r="P1737" t="n">
        <v>0.02579</v>
      </c>
      <c r="Q1737" t="n">
        <v>90</v>
      </c>
      <c r="R1737" t="n">
        <v>0.0825</v>
      </c>
      <c r="S1737">
        <f>IMAGE("https://mitra.stanford.edu/kundaje/oak/projects/neuro-variants/variant_position/credible/roussos_2024/variant_figures/roussos_2024.adolescence.GLU/rs62054824_count_position.png",4,220,900)</f>
        <v/>
      </c>
      <c r="T1737">
        <f>IMAGE("https://mitra.stanford.edu/kundaje/oak/projects/neuro-variants/variant_position/credible/roussos_2024/variant_figures/roussos_2024.adolescence.GLU/rs62054824_profile_position.png",4,220,900)</f>
        <v/>
      </c>
    </row>
    <row r="1738">
      <c r="A1738" t="inlineStr">
        <is>
          <t>chr17</t>
        </is>
      </c>
      <c r="B1738" t="n">
        <v>45852667</v>
      </c>
      <c r="C1738" t="inlineStr">
        <is>
          <t>G</t>
        </is>
      </c>
      <c r="D1738" t="inlineStr">
        <is>
          <t>A</t>
        </is>
      </c>
      <c r="E1738" t="inlineStr">
        <is>
          <t>rs62054825</t>
        </is>
      </c>
      <c r="F1738" t="n">
        <v>-0.253298758</v>
      </c>
      <c r="G1738" t="n">
        <v>0.0004595462511408</v>
      </c>
      <c r="H1738" t="n">
        <v>0.0478930448096025</v>
      </c>
      <c r="I1738" t="n">
        <v>0.0015955736853734</v>
      </c>
      <c r="J1738" t="n">
        <v>0.6196269227197062</v>
      </c>
      <c r="K1738" t="n">
        <v>0.0322074573661742</v>
      </c>
      <c r="L1738" t="b">
        <v>1</v>
      </c>
      <c r="M1738" t="b">
        <v>1</v>
      </c>
      <c r="N1738" t="inlineStr">
        <is>
          <t>ref</t>
        </is>
      </c>
      <c r="O1738" t="n">
        <v>100</v>
      </c>
      <c r="P1738" t="n">
        <v>0.2374</v>
      </c>
      <c r="Q1738" t="n">
        <v>100</v>
      </c>
      <c r="R1738" t="n">
        <v>0.5215</v>
      </c>
      <c r="S1738">
        <f>IMAGE("https://mitra.stanford.edu/kundaje/oak/projects/neuro-variants/variant_position/credible/roussos_2024/variant_figures/roussos_2024.adolescence.GLU/rs62054825_count_position.png",4,220,900)</f>
        <v/>
      </c>
      <c r="T1738">
        <f>IMAGE("https://mitra.stanford.edu/kundaje/oak/projects/neuro-variants/variant_position/credible/roussos_2024/variant_figures/roussos_2024.adolescence.GLU/rs62054825_profile_position.png",4,220,900)</f>
        <v/>
      </c>
    </row>
    <row r="1739">
      <c r="A1739" t="inlineStr">
        <is>
          <t>chr17</t>
        </is>
      </c>
      <c r="B1739" t="n">
        <v>45853878</v>
      </c>
      <c r="C1739" t="inlineStr">
        <is>
          <t>G</t>
        </is>
      </c>
      <c r="D1739" t="inlineStr">
        <is>
          <t>C</t>
        </is>
      </c>
      <c r="E1739" t="inlineStr">
        <is>
          <t>rs56026128</t>
        </is>
      </c>
      <c r="F1739" t="n">
        <v>0.0801449578</v>
      </c>
      <c r="G1739" t="n">
        <v>0.0163249086618079</v>
      </c>
      <c r="H1739" t="n">
        <v>0.0299887496120533</v>
      </c>
      <c r="I1739" t="n">
        <v>0.0110642213040139</v>
      </c>
      <c r="J1739" t="n">
        <v>0.3171957048245707</v>
      </c>
      <c r="K1739" t="n">
        <v>0.251698094398159</v>
      </c>
      <c r="L1739" t="b">
        <v>1</v>
      </c>
      <c r="M1739" t="b">
        <v>0</v>
      </c>
      <c r="N1739" t="inlineStr">
        <is>
          <t>alt</t>
        </is>
      </c>
      <c r="O1739" t="n">
        <v>55</v>
      </c>
      <c r="P1739" t="n">
        <v>0.002052</v>
      </c>
      <c r="Q1739" t="n">
        <v>100</v>
      </c>
      <c r="R1739" t="n">
        <v>0.03345</v>
      </c>
      <c r="S1739">
        <f>IMAGE("https://mitra.stanford.edu/kundaje/oak/projects/neuro-variants/variant_position/credible/roussos_2024/variant_figures/roussos_2024.adolescence.GLU/rs56026128_count_position.png",4,220,900)</f>
        <v/>
      </c>
      <c r="T1739">
        <f>IMAGE("https://mitra.stanford.edu/kundaje/oak/projects/neuro-variants/variant_position/credible/roussos_2024/variant_figures/roussos_2024.adolescence.GLU/rs56026128_profile_position.png",4,220,900)</f>
        <v/>
      </c>
    </row>
    <row r="1740">
      <c r="A1740" t="inlineStr">
        <is>
          <t>chr17</t>
        </is>
      </c>
      <c r="B1740" t="n">
        <v>45853879</v>
      </c>
      <c r="C1740" t="inlineStr">
        <is>
          <t>G</t>
        </is>
      </c>
      <c r="D1740" t="inlineStr">
        <is>
          <t>A</t>
        </is>
      </c>
      <c r="E1740" t="inlineStr">
        <is>
          <t>rs56329743</t>
        </is>
      </c>
      <c r="F1740" t="n">
        <v>0.01831041852</v>
      </c>
      <c r="G1740" t="n">
        <v>0.3145897988342519</v>
      </c>
      <c r="H1740" t="n">
        <v>0.0229072949265705</v>
      </c>
      <c r="I1740" t="n">
        <v>0.0341218667404321</v>
      </c>
      <c r="J1740" t="n">
        <v>0.2923491294625315</v>
      </c>
      <c r="K1740" t="n">
        <v>0.2812706322599369</v>
      </c>
      <c r="L1740" t="b">
        <v>0</v>
      </c>
      <c r="M1740" t="b">
        <v>0</v>
      </c>
      <c r="N1740" t="inlineStr">
        <is>
          <t>alt</t>
        </is>
      </c>
      <c r="O1740" t="n">
        <v>-65</v>
      </c>
      <c r="P1740" t="n">
        <v>0.003132</v>
      </c>
      <c r="Q1740" t="n">
        <v>100</v>
      </c>
      <c r="R1740" t="n">
        <v>0.01779</v>
      </c>
      <c r="S1740">
        <f>IMAGE("https://mitra.stanford.edu/kundaje/oak/projects/neuro-variants/variant_position/credible/roussos_2024/variant_figures/roussos_2024.adolescence.GLU/rs56329743_count_position.png",4,220,900)</f>
        <v/>
      </c>
      <c r="T1740">
        <f>IMAGE("https://mitra.stanford.edu/kundaje/oak/projects/neuro-variants/variant_position/credible/roussos_2024/variant_figures/roussos_2024.adolescence.GLU/rs56329743_profile_position.png",4,220,900)</f>
        <v/>
      </c>
    </row>
    <row r="1741">
      <c r="A1741" t="inlineStr">
        <is>
          <t>chr17</t>
        </is>
      </c>
      <c r="B1741" t="n">
        <v>45859967</v>
      </c>
      <c r="C1741" t="inlineStr">
        <is>
          <t>T</t>
        </is>
      </c>
      <c r="D1741" t="inlineStr">
        <is>
          <t>G</t>
        </is>
      </c>
      <c r="E1741" t="inlineStr">
        <is>
          <t>rs62054844</t>
        </is>
      </c>
      <c r="F1741" t="n">
        <v>0.00873334494</v>
      </c>
      <c r="G1741" t="n">
        <v>0.5399220394280595</v>
      </c>
      <c r="H1741" t="n">
        <v>0.008965950621716</v>
      </c>
      <c r="I1741" t="n">
        <v>0.6557547399306186</v>
      </c>
      <c r="J1741" t="n">
        <v>0.2101878246208142</v>
      </c>
      <c r="K1741" t="n">
        <v>0.3895541598746615</v>
      </c>
      <c r="L1741" t="b">
        <v>0</v>
      </c>
      <c r="M1741" t="b">
        <v>0</v>
      </c>
      <c r="N1741" t="inlineStr">
        <is>
          <t>alt</t>
        </is>
      </c>
      <c r="O1741" t="n">
        <v>-75</v>
      </c>
      <c r="P1741" t="n">
        <v>0.007088</v>
      </c>
      <c r="Q1741" t="n">
        <v>100</v>
      </c>
      <c r="R1741" t="n">
        <v>0.0862</v>
      </c>
      <c r="S1741">
        <f>IMAGE("https://mitra.stanford.edu/kundaje/oak/projects/neuro-variants/variant_position/credible/roussos_2024/variant_figures/roussos_2024.adolescence.GLU/rs62054844_count_position.png",4,220,900)</f>
        <v/>
      </c>
      <c r="T1741">
        <f>IMAGE("https://mitra.stanford.edu/kundaje/oak/projects/neuro-variants/variant_position/credible/roussos_2024/variant_figures/roussos_2024.adolescence.GLU/rs62054844_profile_position.png",4,220,900)</f>
        <v/>
      </c>
    </row>
    <row r="1742">
      <c r="A1742" t="inlineStr">
        <is>
          <t>chr17</t>
        </is>
      </c>
      <c r="B1742" t="n">
        <v>45860094</v>
      </c>
      <c r="C1742" t="inlineStr">
        <is>
          <t>G</t>
        </is>
      </c>
      <c r="D1742" t="inlineStr">
        <is>
          <t>A</t>
        </is>
      </c>
      <c r="E1742" t="inlineStr">
        <is>
          <t>rs76627340</t>
        </is>
      </c>
      <c r="F1742" t="n">
        <v>-0.0642555048</v>
      </c>
      <c r="G1742" t="n">
        <v>0.0364415674052495</v>
      </c>
      <c r="H1742" t="n">
        <v>0.0137708883981176</v>
      </c>
      <c r="I1742" t="n">
        <v>0.2434259922108433</v>
      </c>
      <c r="J1742" t="n">
        <v>0.2039493895163998</v>
      </c>
      <c r="K1742" t="n">
        <v>0.3986362124015614</v>
      </c>
      <c r="L1742" t="b">
        <v>0</v>
      </c>
      <c r="M1742" t="b">
        <v>0</v>
      </c>
      <c r="N1742" t="inlineStr">
        <is>
          <t>ref</t>
        </is>
      </c>
      <c r="O1742" t="n">
        <v>5</v>
      </c>
      <c r="P1742" t="n">
        <v>0.0004044</v>
      </c>
      <c r="Q1742" t="n">
        <v>70</v>
      </c>
      <c r="R1742" t="n">
        <v>0.0746</v>
      </c>
      <c r="S1742">
        <f>IMAGE("https://mitra.stanford.edu/kundaje/oak/projects/neuro-variants/variant_position/credible/roussos_2024/variant_figures/roussos_2024.adolescence.GLU/rs76627340_count_position.png",4,220,900)</f>
        <v/>
      </c>
      <c r="T1742">
        <f>IMAGE("https://mitra.stanford.edu/kundaje/oak/projects/neuro-variants/variant_position/credible/roussos_2024/variant_figures/roussos_2024.adolescence.GLU/rs76627340_profile_position.png",4,220,900)</f>
        <v/>
      </c>
    </row>
    <row r="1743">
      <c r="A1743" t="inlineStr">
        <is>
          <t>chr17</t>
        </is>
      </c>
      <c r="B1743" t="n">
        <v>45861268</v>
      </c>
      <c r="C1743" t="inlineStr">
        <is>
          <t>A</t>
        </is>
      </c>
      <c r="D1743" t="inlineStr">
        <is>
          <t>G</t>
        </is>
      </c>
      <c r="E1743" t="inlineStr">
        <is>
          <t>rs62054846</t>
        </is>
      </c>
      <c r="F1743" t="n">
        <v>0.0195126074</v>
      </c>
      <c r="G1743" t="n">
        <v>0.3053301636957783</v>
      </c>
      <c r="H1743" t="n">
        <v>0.0115821228928152</v>
      </c>
      <c r="I1743" t="n">
        <v>0.3596154842514183</v>
      </c>
      <c r="J1743" t="n">
        <v>0.4514092204813854</v>
      </c>
      <c r="K1743" t="n">
        <v>0.1243700226684028</v>
      </c>
      <c r="L1743" t="b">
        <v>0</v>
      </c>
      <c r="M1743" t="b">
        <v>0</v>
      </c>
      <c r="N1743" t="inlineStr">
        <is>
          <t>alt</t>
        </is>
      </c>
      <c r="O1743" t="n">
        <v>60</v>
      </c>
      <c r="P1743" t="n">
        <v>0.001083</v>
      </c>
      <c r="Q1743" t="n">
        <v>-25</v>
      </c>
      <c r="R1743" t="n">
        <v>0.1068</v>
      </c>
      <c r="S1743">
        <f>IMAGE("https://mitra.stanford.edu/kundaje/oak/projects/neuro-variants/variant_position/credible/roussos_2024/variant_figures/roussos_2024.adolescence.GLU/rs62054846_count_position.png",4,220,900)</f>
        <v/>
      </c>
      <c r="T1743">
        <f>IMAGE("https://mitra.stanford.edu/kundaje/oak/projects/neuro-variants/variant_position/credible/roussos_2024/variant_figures/roussos_2024.adolescence.GLU/rs62054846_profile_position.png",4,220,900)</f>
        <v/>
      </c>
    </row>
    <row r="1744">
      <c r="A1744" t="inlineStr">
        <is>
          <t>chr17</t>
        </is>
      </c>
      <c r="B1744" t="n">
        <v>45862243</v>
      </c>
      <c r="C1744" t="inlineStr">
        <is>
          <t>A</t>
        </is>
      </c>
      <c r="D1744" t="inlineStr">
        <is>
          <t>T</t>
        </is>
      </c>
      <c r="E1744" t="inlineStr">
        <is>
          <t>rs56227067</t>
        </is>
      </c>
      <c r="F1744" t="n">
        <v>-0.0041570892</v>
      </c>
      <c r="G1744" t="n">
        <v>0.365575000902929</v>
      </c>
      <c r="H1744" t="n">
        <v>0.0109239241299879</v>
      </c>
      <c r="I1744" t="n">
        <v>0.4274224947641634</v>
      </c>
      <c r="J1744" t="n">
        <v>0.5573768852119367</v>
      </c>
      <c r="K1744" t="n">
        <v>0.0549081522903151</v>
      </c>
      <c r="L1744" t="b">
        <v>0</v>
      </c>
      <c r="M1744" t="b">
        <v>0</v>
      </c>
      <c r="N1744" t="inlineStr">
        <is>
          <t>ref</t>
        </is>
      </c>
      <c r="O1744" t="n">
        <v>-10</v>
      </c>
      <c r="P1744" t="n">
        <v>0.001282</v>
      </c>
      <c r="Q1744" t="n">
        <v>-10</v>
      </c>
      <c r="R1744" t="n">
        <v>0.02832</v>
      </c>
      <c r="S1744">
        <f>IMAGE("https://mitra.stanford.edu/kundaje/oak/projects/neuro-variants/variant_position/credible/roussos_2024/variant_figures/roussos_2024.adolescence.GLU/rs56227067_count_position.png",4,220,900)</f>
        <v/>
      </c>
      <c r="T1744">
        <f>IMAGE("https://mitra.stanford.edu/kundaje/oak/projects/neuro-variants/variant_position/credible/roussos_2024/variant_figures/roussos_2024.adolescence.GLU/rs56227067_profile_position.png",4,220,900)</f>
        <v/>
      </c>
    </row>
    <row r="1745">
      <c r="A1745" t="inlineStr">
        <is>
          <t>chr17</t>
        </is>
      </c>
      <c r="B1745" t="n">
        <v>45862272</v>
      </c>
      <c r="C1745" t="inlineStr">
        <is>
          <t>G</t>
        </is>
      </c>
      <c r="D1745" t="inlineStr">
        <is>
          <t>A</t>
        </is>
      </c>
      <c r="E1745" t="inlineStr">
        <is>
          <t>rs55719714</t>
        </is>
      </c>
      <c r="F1745" t="n">
        <v>-0.09075287680000001</v>
      </c>
      <c r="G1745" t="n">
        <v>0.0104246071751686</v>
      </c>
      <c r="H1745" t="n">
        <v>0.0169068545900818</v>
      </c>
      <c r="I1745" t="n">
        <v>0.1118521834156137</v>
      </c>
      <c r="J1745" t="n">
        <v>0.5508941137807117</v>
      </c>
      <c r="K1745" t="n">
        <v>0.0580892099699098</v>
      </c>
      <c r="L1745" t="b">
        <v>1</v>
      </c>
      <c r="M1745" t="b">
        <v>0</v>
      </c>
      <c r="N1745" t="inlineStr">
        <is>
          <t>ref</t>
        </is>
      </c>
      <c r="O1745" t="n">
        <v>-40</v>
      </c>
      <c r="P1745" t="n">
        <v>0.00235</v>
      </c>
      <c r="Q1745" t="n">
        <v>-40</v>
      </c>
      <c r="R1745" t="n">
        <v>0.0598</v>
      </c>
      <c r="S1745">
        <f>IMAGE("https://mitra.stanford.edu/kundaje/oak/projects/neuro-variants/variant_position/credible/roussos_2024/variant_figures/roussos_2024.adolescence.GLU/rs55719714_count_position.png",4,220,900)</f>
        <v/>
      </c>
      <c r="T1745">
        <f>IMAGE("https://mitra.stanford.edu/kundaje/oak/projects/neuro-variants/variant_position/credible/roussos_2024/variant_figures/roussos_2024.adolescence.GLU/rs55719714_profile_position.png",4,220,900)</f>
        <v/>
      </c>
    </row>
    <row r="1746">
      <c r="A1746" t="inlineStr">
        <is>
          <t>chr17</t>
        </is>
      </c>
      <c r="B1746" t="n">
        <v>45863319</v>
      </c>
      <c r="C1746" t="inlineStr">
        <is>
          <t>G</t>
        </is>
      </c>
      <c r="D1746" t="inlineStr">
        <is>
          <t>A</t>
        </is>
      </c>
      <c r="E1746" t="inlineStr">
        <is>
          <t>rs62054859</t>
        </is>
      </c>
      <c r="F1746" t="n">
        <v>-0.0355375186</v>
      </c>
      <c r="G1746" t="n">
        <v>0.1395299319312311</v>
      </c>
      <c r="H1746" t="n">
        <v>0.009438719513938499</v>
      </c>
      <c r="I1746" t="n">
        <v>0.6035966497842898</v>
      </c>
      <c r="J1746" t="n">
        <v>0.147014738767316</v>
      </c>
      <c r="K1746" t="n">
        <v>0.4860029502334735</v>
      </c>
      <c r="L1746" t="b">
        <v>0</v>
      </c>
      <c r="M1746" t="b">
        <v>0</v>
      </c>
      <c r="N1746" t="inlineStr">
        <is>
          <t>ref</t>
        </is>
      </c>
      <c r="O1746" t="n">
        <v>100</v>
      </c>
      <c r="P1746" t="n">
        <v>0.00418</v>
      </c>
      <c r="Q1746" t="n">
        <v>45</v>
      </c>
      <c r="R1746" t="n">
        <v>0.06902999999999999</v>
      </c>
      <c r="S1746">
        <f>IMAGE("https://mitra.stanford.edu/kundaje/oak/projects/neuro-variants/variant_position/credible/roussos_2024/variant_figures/roussos_2024.adolescence.GLU/rs62054859_count_position.png",4,220,900)</f>
        <v/>
      </c>
      <c r="T1746">
        <f>IMAGE("https://mitra.stanford.edu/kundaje/oak/projects/neuro-variants/variant_position/credible/roussos_2024/variant_figures/roussos_2024.adolescence.GLU/rs62054859_profile_position.png",4,220,900)</f>
        <v/>
      </c>
    </row>
    <row r="1747">
      <c r="A1747" t="inlineStr">
        <is>
          <t>chr17</t>
        </is>
      </c>
      <c r="B1747" t="n">
        <v>45866289</v>
      </c>
      <c r="C1747" t="inlineStr">
        <is>
          <t>A</t>
        </is>
      </c>
      <c r="D1747" t="inlineStr">
        <is>
          <t>C</t>
        </is>
      </c>
      <c r="E1747" t="inlineStr">
        <is>
          <t>rs62055469</t>
        </is>
      </c>
      <c r="F1747" t="n">
        <v>0.0046262402599999</v>
      </c>
      <c r="G1747" t="n">
        <v>0.6338403648976685</v>
      </c>
      <c r="H1747" t="n">
        <v>0.0185101605439573</v>
      </c>
      <c r="I1747" t="n">
        <v>0.0754857992553957</v>
      </c>
      <c r="J1747" t="n">
        <v>0.1593072850804809</v>
      </c>
      <c r="K1747" t="n">
        <v>0.4679317732430186</v>
      </c>
      <c r="L1747" t="b">
        <v>0</v>
      </c>
      <c r="M1747" t="b">
        <v>0</v>
      </c>
      <c r="N1747" t="inlineStr">
        <is>
          <t>alt</t>
        </is>
      </c>
      <c r="O1747" t="n">
        <v>-55</v>
      </c>
      <c r="P1747" t="n">
        <v>0.002739</v>
      </c>
      <c r="Q1747" t="n">
        <v>-10</v>
      </c>
      <c r="R1747" t="n">
        <v>0.01367</v>
      </c>
      <c r="S1747">
        <f>IMAGE("https://mitra.stanford.edu/kundaje/oak/projects/neuro-variants/variant_position/credible/roussos_2024/variant_figures/roussos_2024.adolescence.GLU/rs62055469_count_position.png",4,220,900)</f>
        <v/>
      </c>
      <c r="T1747">
        <f>IMAGE("https://mitra.stanford.edu/kundaje/oak/projects/neuro-variants/variant_position/credible/roussos_2024/variant_figures/roussos_2024.adolescence.GLU/rs62055469_profile_position.png",4,220,900)</f>
        <v/>
      </c>
    </row>
    <row r="1748">
      <c r="A1748" t="inlineStr">
        <is>
          <t>chr17</t>
        </is>
      </c>
      <c r="B1748" t="n">
        <v>45866591</v>
      </c>
      <c r="C1748" t="inlineStr">
        <is>
          <t>G</t>
        </is>
      </c>
      <c r="D1748" t="inlineStr">
        <is>
          <t>C</t>
        </is>
      </c>
      <c r="E1748" t="inlineStr">
        <is>
          <t>rs56327054</t>
        </is>
      </c>
      <c r="F1748" t="n">
        <v>0.0791541141999999</v>
      </c>
      <c r="G1748" t="n">
        <v>0.0140521809737547</v>
      </c>
      <c r="H1748" t="n">
        <v>0.0142477042381795</v>
      </c>
      <c r="I1748" t="n">
        <v>0.1911142431840445</v>
      </c>
      <c r="J1748" t="n">
        <v>0.1439898264640532</v>
      </c>
      <c r="K1748" t="n">
        <v>0.4987035664485169</v>
      </c>
      <c r="L1748" t="b">
        <v>1</v>
      </c>
      <c r="M1748" t="b">
        <v>0</v>
      </c>
      <c r="N1748" t="inlineStr">
        <is>
          <t>alt</t>
        </is>
      </c>
      <c r="O1748" t="n">
        <v>90</v>
      </c>
      <c r="P1748" t="n">
        <v>0.010826</v>
      </c>
      <c r="Q1748" t="n">
        <v>-85</v>
      </c>
      <c r="R1748" t="n">
        <v>0.01654</v>
      </c>
      <c r="S1748">
        <f>IMAGE("https://mitra.stanford.edu/kundaje/oak/projects/neuro-variants/variant_position/credible/roussos_2024/variant_figures/roussos_2024.adolescence.GLU/rs56327054_count_position.png",4,220,900)</f>
        <v/>
      </c>
      <c r="T1748">
        <f>IMAGE("https://mitra.stanford.edu/kundaje/oak/projects/neuro-variants/variant_position/credible/roussos_2024/variant_figures/roussos_2024.adolescence.GLU/rs56327054_profile_position.png",4,220,900)</f>
        <v/>
      </c>
    </row>
    <row r="1749">
      <c r="A1749" t="inlineStr">
        <is>
          <t>chr17</t>
        </is>
      </c>
      <c r="B1749" t="n">
        <v>45867740</v>
      </c>
      <c r="C1749" t="inlineStr">
        <is>
          <t>T</t>
        </is>
      </c>
      <c r="D1749" t="inlineStr">
        <is>
          <t>C</t>
        </is>
      </c>
      <c r="E1749" t="inlineStr">
        <is>
          <t>rs62055475</t>
        </is>
      </c>
      <c r="F1749" t="n">
        <v>0.0527696032</v>
      </c>
      <c r="G1749" t="n">
        <v>0.053566868124124</v>
      </c>
      <c r="H1749" t="n">
        <v>0.0118949619195557</v>
      </c>
      <c r="I1749" t="n">
        <v>0.3193502431945283</v>
      </c>
      <c r="J1749" t="n">
        <v>0.5524715833994185</v>
      </c>
      <c r="K1749" t="n">
        <v>0.0591866427702725</v>
      </c>
      <c r="L1749" t="b">
        <v>0</v>
      </c>
      <c r="M1749" t="b">
        <v>0</v>
      </c>
      <c r="N1749" t="inlineStr">
        <is>
          <t>alt</t>
        </is>
      </c>
      <c r="O1749" t="n">
        <v>100</v>
      </c>
      <c r="P1749" t="n">
        <v>0.010376</v>
      </c>
      <c r="Q1749" t="n">
        <v>100</v>
      </c>
      <c r="R1749" t="n">
        <v>0.1072</v>
      </c>
      <c r="S1749">
        <f>IMAGE("https://mitra.stanford.edu/kundaje/oak/projects/neuro-variants/variant_position/credible/roussos_2024/variant_figures/roussos_2024.adolescence.GLU/rs62055475_count_position.png",4,220,900)</f>
        <v/>
      </c>
      <c r="T1749">
        <f>IMAGE("https://mitra.stanford.edu/kundaje/oak/projects/neuro-variants/variant_position/credible/roussos_2024/variant_figures/roussos_2024.adolescence.GLU/rs62055475_profile_position.png",4,220,900)</f>
        <v/>
      </c>
    </row>
    <row r="1750">
      <c r="A1750" t="inlineStr">
        <is>
          <t>chr17</t>
        </is>
      </c>
      <c r="B1750" t="n">
        <v>45870562</v>
      </c>
      <c r="C1750" t="inlineStr">
        <is>
          <t>A</t>
        </is>
      </c>
      <c r="D1750" t="inlineStr">
        <is>
          <t>G</t>
        </is>
      </c>
      <c r="E1750" t="inlineStr">
        <is>
          <t>rs56289364</t>
        </is>
      </c>
      <c r="F1750" t="n">
        <v>0.008286994460000001</v>
      </c>
      <c r="G1750" t="n">
        <v>0.3958265801800937</v>
      </c>
      <c r="H1750" t="n">
        <v>0.0148517950124908</v>
      </c>
      <c r="I1750" t="n">
        <v>0.1861563934252156</v>
      </c>
      <c r="J1750" t="n">
        <v>0.3888176836630445</v>
      </c>
      <c r="K1750" t="n">
        <v>0.1784084453723689</v>
      </c>
      <c r="L1750" t="b">
        <v>0</v>
      </c>
      <c r="M1750" t="b">
        <v>0</v>
      </c>
      <c r="N1750" t="inlineStr">
        <is>
          <t>alt</t>
        </is>
      </c>
      <c r="O1750" t="n">
        <v>-40</v>
      </c>
      <c r="P1750" t="n">
        <v>0.005035</v>
      </c>
      <c r="Q1750" t="n">
        <v>-30</v>
      </c>
      <c r="R1750" t="n">
        <v>0.0537</v>
      </c>
      <c r="S1750">
        <f>IMAGE("https://mitra.stanford.edu/kundaje/oak/projects/neuro-variants/variant_position/credible/roussos_2024/variant_figures/roussos_2024.adolescence.GLU/rs56289364_count_position.png",4,220,900)</f>
        <v/>
      </c>
      <c r="T1750">
        <f>IMAGE("https://mitra.stanford.edu/kundaje/oak/projects/neuro-variants/variant_position/credible/roussos_2024/variant_figures/roussos_2024.adolescence.GLU/rs56289364_profile_position.png",4,220,900)</f>
        <v/>
      </c>
    </row>
    <row r="1751">
      <c r="A1751" t="inlineStr">
        <is>
          <t>chr17</t>
        </is>
      </c>
      <c r="B1751" t="n">
        <v>45873854</v>
      </c>
      <c r="C1751" t="inlineStr">
        <is>
          <t>T</t>
        </is>
      </c>
      <c r="D1751" t="inlineStr">
        <is>
          <t>G</t>
        </is>
      </c>
      <c r="E1751" t="inlineStr">
        <is>
          <t>rs34416056</t>
        </is>
      </c>
      <c r="F1751" t="n">
        <v>0.031175471</v>
      </c>
      <c r="G1751" t="n">
        <v>0.1571620627523395</v>
      </c>
      <c r="H1751" t="n">
        <v>0.0127335223656041</v>
      </c>
      <c r="I1751" t="n">
        <v>0.2766082873124519</v>
      </c>
      <c r="J1751" t="n">
        <v>0.258756456694601</v>
      </c>
      <c r="K1751" t="n">
        <v>0.3184728782466222</v>
      </c>
      <c r="L1751" t="b">
        <v>0</v>
      </c>
      <c r="M1751" t="b">
        <v>0</v>
      </c>
      <c r="N1751" t="inlineStr">
        <is>
          <t>alt</t>
        </is>
      </c>
      <c r="O1751" t="n">
        <v>-100</v>
      </c>
      <c r="P1751" t="n">
        <v>0.007637</v>
      </c>
      <c r="Q1751" t="n">
        <v>60</v>
      </c>
      <c r="R1751" t="n">
        <v>0.04907</v>
      </c>
      <c r="S1751">
        <f>IMAGE("https://mitra.stanford.edu/kundaje/oak/projects/neuro-variants/variant_position/credible/roussos_2024/variant_figures/roussos_2024.adolescence.GLU/rs34416056_count_position.png",4,220,900)</f>
        <v/>
      </c>
      <c r="T1751">
        <f>IMAGE("https://mitra.stanford.edu/kundaje/oak/projects/neuro-variants/variant_position/credible/roussos_2024/variant_figures/roussos_2024.adolescence.GLU/rs34416056_profile_position.png",4,220,900)</f>
        <v/>
      </c>
    </row>
    <row r="1752">
      <c r="A1752" t="inlineStr">
        <is>
          <t>chr17</t>
        </is>
      </c>
      <c r="B1752" t="n">
        <v>45876163</v>
      </c>
      <c r="C1752" t="inlineStr">
        <is>
          <t>A</t>
        </is>
      </c>
      <c r="D1752" t="inlineStr">
        <is>
          <t>G</t>
        </is>
      </c>
      <c r="E1752" t="inlineStr">
        <is>
          <t>rs62055497</t>
        </is>
      </c>
      <c r="F1752" t="n">
        <v>0.05954658</v>
      </c>
      <c r="G1752" t="n">
        <v>0.036714890665395</v>
      </c>
      <c r="H1752" t="n">
        <v>0.0137595314205123</v>
      </c>
      <c r="I1752" t="n">
        <v>0.2287784687798492</v>
      </c>
      <c r="J1752" t="n">
        <v>0.0956055182859306</v>
      </c>
      <c r="K1752" t="n">
        <v>0.5940142400875454</v>
      </c>
      <c r="L1752" t="b">
        <v>0</v>
      </c>
      <c r="M1752" t="b">
        <v>0</v>
      </c>
      <c r="N1752" t="inlineStr">
        <is>
          <t>alt</t>
        </is>
      </c>
      <c r="O1752" t="n">
        <v>-75</v>
      </c>
      <c r="P1752" t="n">
        <v>0.00666</v>
      </c>
      <c r="Q1752" t="n">
        <v>-90</v>
      </c>
      <c r="R1752" t="n">
        <v>0.0418</v>
      </c>
      <c r="S1752">
        <f>IMAGE("https://mitra.stanford.edu/kundaje/oak/projects/neuro-variants/variant_position/credible/roussos_2024/variant_figures/roussos_2024.adolescence.GLU/rs62055497_count_position.png",4,220,900)</f>
        <v/>
      </c>
      <c r="T1752">
        <f>IMAGE("https://mitra.stanford.edu/kundaje/oak/projects/neuro-variants/variant_position/credible/roussos_2024/variant_figures/roussos_2024.adolescence.GLU/rs62055497_profile_position.png",4,220,900)</f>
        <v/>
      </c>
    </row>
    <row r="1753">
      <c r="A1753" t="inlineStr">
        <is>
          <t>chr17</t>
        </is>
      </c>
      <c r="B1753" t="n">
        <v>45877999</v>
      </c>
      <c r="C1753" t="inlineStr">
        <is>
          <t>C</t>
        </is>
      </c>
      <c r="D1753" t="inlineStr">
        <is>
          <t>A</t>
        </is>
      </c>
      <c r="E1753" t="inlineStr">
        <is>
          <t>rs55905252</t>
        </is>
      </c>
      <c r="F1753" t="n">
        <v>0.0149025144</v>
      </c>
      <c r="G1753" t="n">
        <v>0.3053131133042775</v>
      </c>
      <c r="H1753" t="n">
        <v>0.0147655919517348</v>
      </c>
      <c r="I1753" t="n">
        <v>0.1880482061615549</v>
      </c>
      <c r="J1753" t="n">
        <v>0.3473676690171535</v>
      </c>
      <c r="K1753" t="n">
        <v>0.2180612444970076</v>
      </c>
      <c r="L1753" t="b">
        <v>0</v>
      </c>
      <c r="M1753" t="b">
        <v>0</v>
      </c>
      <c r="N1753" t="inlineStr">
        <is>
          <t>alt</t>
        </is>
      </c>
      <c r="O1753" t="n">
        <v>100</v>
      </c>
      <c r="P1753" t="n">
        <v>0.007072</v>
      </c>
      <c r="Q1753" t="n">
        <v>100</v>
      </c>
      <c r="R1753" t="n">
        <v>0.09894</v>
      </c>
      <c r="S1753">
        <f>IMAGE("https://mitra.stanford.edu/kundaje/oak/projects/neuro-variants/variant_position/credible/roussos_2024/variant_figures/roussos_2024.adolescence.GLU/rs55905252_count_position.png",4,220,900)</f>
        <v/>
      </c>
      <c r="T1753">
        <f>IMAGE("https://mitra.stanford.edu/kundaje/oak/projects/neuro-variants/variant_position/credible/roussos_2024/variant_figures/roussos_2024.adolescence.GLU/rs55905252_profile_position.png",4,220,900)</f>
        <v/>
      </c>
    </row>
    <row r="1754">
      <c r="A1754" t="inlineStr">
        <is>
          <t>chr17</t>
        </is>
      </c>
      <c r="B1754" t="n">
        <v>45879368</v>
      </c>
      <c r="C1754" t="inlineStr">
        <is>
          <t>C</t>
        </is>
      </c>
      <c r="D1754" t="inlineStr">
        <is>
          <t>A</t>
        </is>
      </c>
      <c r="E1754" t="inlineStr">
        <is>
          <t>rs55768605</t>
        </is>
      </c>
      <c r="F1754" t="n">
        <v>0.003923979352</v>
      </c>
      <c r="G1754" t="n">
        <v>0.745483211586377</v>
      </c>
      <c r="H1754" t="n">
        <v>0.0216569890130233</v>
      </c>
      <c r="I1754" t="n">
        <v>0.0402805566332956</v>
      </c>
      <c r="J1754" t="n">
        <v>0.0106364889870044</v>
      </c>
      <c r="K1754" t="n">
        <v>0.8745794869929114</v>
      </c>
      <c r="L1754" t="b">
        <v>0</v>
      </c>
      <c r="M1754" t="b">
        <v>0</v>
      </c>
      <c r="N1754" t="inlineStr">
        <is>
          <t>alt</t>
        </is>
      </c>
      <c r="O1754" t="n">
        <v>55</v>
      </c>
      <c r="P1754" t="n">
        <v>0.00615</v>
      </c>
      <c r="Q1754" t="n">
        <v>-55</v>
      </c>
      <c r="R1754" t="n">
        <v>0.02832</v>
      </c>
      <c r="S1754">
        <f>IMAGE("https://mitra.stanford.edu/kundaje/oak/projects/neuro-variants/variant_position/credible/roussos_2024/variant_figures/roussos_2024.adolescence.GLU/rs55768605_count_position.png",4,220,900)</f>
        <v/>
      </c>
      <c r="T1754">
        <f>IMAGE("https://mitra.stanford.edu/kundaje/oak/projects/neuro-variants/variant_position/credible/roussos_2024/variant_figures/roussos_2024.adolescence.GLU/rs55768605_profile_position.png",4,220,900)</f>
        <v/>
      </c>
    </row>
    <row r="1755">
      <c r="A1755" t="inlineStr">
        <is>
          <t>chr17</t>
        </is>
      </c>
      <c r="B1755" t="n">
        <v>45881747</v>
      </c>
      <c r="C1755" t="inlineStr">
        <is>
          <t>A</t>
        </is>
      </c>
      <c r="D1755" t="inlineStr">
        <is>
          <t>G</t>
        </is>
      </c>
      <c r="E1755" t="inlineStr">
        <is>
          <t>rs55975673</t>
        </is>
      </c>
      <c r="F1755" t="n">
        <v>0.086789923</v>
      </c>
      <c r="G1755" t="n">
        <v>0.0121077278160592</v>
      </c>
      <c r="H1755" t="n">
        <v>0.0153457330058137</v>
      </c>
      <c r="I1755" t="n">
        <v>0.1619241610814975</v>
      </c>
      <c r="J1755" t="n">
        <v>0.2471383357981296</v>
      </c>
      <c r="K1755" t="n">
        <v>0.3391686235795337</v>
      </c>
      <c r="L1755" t="b">
        <v>1</v>
      </c>
      <c r="M1755" t="b">
        <v>0</v>
      </c>
      <c r="N1755" t="inlineStr">
        <is>
          <t>alt</t>
        </is>
      </c>
      <c r="O1755" t="n">
        <v>100</v>
      </c>
      <c r="P1755" t="n">
        <v>0.005543</v>
      </c>
      <c r="Q1755" t="n">
        <v>-35</v>
      </c>
      <c r="R1755" t="n">
        <v>0.025</v>
      </c>
      <c r="S1755">
        <f>IMAGE("https://mitra.stanford.edu/kundaje/oak/projects/neuro-variants/variant_position/credible/roussos_2024/variant_figures/roussos_2024.adolescence.GLU/rs55975673_count_position.png",4,220,900)</f>
        <v/>
      </c>
      <c r="T1755">
        <f>IMAGE("https://mitra.stanford.edu/kundaje/oak/projects/neuro-variants/variant_position/credible/roussos_2024/variant_figures/roussos_2024.adolescence.GLU/rs55975673_profile_position.png",4,220,900)</f>
        <v/>
      </c>
    </row>
    <row r="1756">
      <c r="A1756" t="inlineStr">
        <is>
          <t>chr17</t>
        </is>
      </c>
      <c r="B1756" t="n">
        <v>45883234</v>
      </c>
      <c r="C1756" t="inlineStr">
        <is>
          <t>T</t>
        </is>
      </c>
      <c r="D1756" t="inlineStr">
        <is>
          <t>C</t>
        </is>
      </c>
      <c r="E1756" t="inlineStr">
        <is>
          <t>rs56194412</t>
        </is>
      </c>
      <c r="F1756" t="n">
        <v>0.0372922678</v>
      </c>
      <c r="G1756" t="n">
        <v>0.1208743629614845</v>
      </c>
      <c r="H1756" t="n">
        <v>0.0106203188745649</v>
      </c>
      <c r="I1756" t="n">
        <v>0.4530122716384022</v>
      </c>
      <c r="J1756" t="n">
        <v>0.1663487436683312</v>
      </c>
      <c r="K1756" t="n">
        <v>0.4571510527452293</v>
      </c>
      <c r="L1756" t="b">
        <v>0</v>
      </c>
      <c r="M1756" t="b">
        <v>0</v>
      </c>
      <c r="N1756" t="inlineStr">
        <is>
          <t>alt</t>
        </is>
      </c>
      <c r="O1756" t="n">
        <v>90</v>
      </c>
      <c r="P1756" t="n">
        <v>0.00457</v>
      </c>
      <c r="Q1756" t="n">
        <v>70</v>
      </c>
      <c r="R1756" t="n">
        <v>0.05353</v>
      </c>
      <c r="S1756">
        <f>IMAGE("https://mitra.stanford.edu/kundaje/oak/projects/neuro-variants/variant_position/credible/roussos_2024/variant_figures/roussos_2024.adolescence.GLU/rs56194412_count_position.png",4,220,900)</f>
        <v/>
      </c>
      <c r="T1756">
        <f>IMAGE("https://mitra.stanford.edu/kundaje/oak/projects/neuro-variants/variant_position/credible/roussos_2024/variant_figures/roussos_2024.adolescence.GLU/rs56194412_profile_position.png",4,220,900)</f>
        <v/>
      </c>
    </row>
    <row r="1757">
      <c r="A1757" t="inlineStr">
        <is>
          <t>chr17</t>
        </is>
      </c>
      <c r="B1757" t="n">
        <v>45885616</v>
      </c>
      <c r="C1757" t="inlineStr">
        <is>
          <t>G</t>
        </is>
      </c>
      <c r="D1757" t="inlineStr">
        <is>
          <t>A</t>
        </is>
      </c>
      <c r="E1757" t="inlineStr">
        <is>
          <t>rs77426526</t>
        </is>
      </c>
      <c r="F1757" t="n">
        <v>-0.06506476059999999</v>
      </c>
      <c r="G1757" t="n">
        <v>0.0317487696510026</v>
      </c>
      <c r="H1757" t="n">
        <v>0.0113326483119897</v>
      </c>
      <c r="I1757" t="n">
        <v>0.39307752804195</v>
      </c>
      <c r="J1757" t="n">
        <v>0.137339877546063</v>
      </c>
      <c r="K1757" t="n">
        <v>0.5076431481970136</v>
      </c>
      <c r="L1757" t="b">
        <v>0</v>
      </c>
      <c r="M1757" t="b">
        <v>0</v>
      </c>
      <c r="N1757" t="inlineStr">
        <is>
          <t>ref</t>
        </is>
      </c>
      <c r="O1757" t="n">
        <v>-80</v>
      </c>
      <c r="P1757" t="n">
        <v>0.003279</v>
      </c>
      <c r="Q1757" t="n">
        <v>-75</v>
      </c>
      <c r="R1757" t="n">
        <v>0.03488</v>
      </c>
      <c r="S1757">
        <f>IMAGE("https://mitra.stanford.edu/kundaje/oak/projects/neuro-variants/variant_position/credible/roussos_2024/variant_figures/roussos_2024.adolescence.GLU/rs77426526_count_position.png",4,220,900)</f>
        <v/>
      </c>
      <c r="T1757">
        <f>IMAGE("https://mitra.stanford.edu/kundaje/oak/projects/neuro-variants/variant_position/credible/roussos_2024/variant_figures/roussos_2024.adolescence.GLU/rs77426526_profile_position.png",4,220,900)</f>
        <v/>
      </c>
    </row>
    <row r="1758">
      <c r="A1758" t="inlineStr">
        <is>
          <t>chr17</t>
        </is>
      </c>
      <c r="B1758" t="n">
        <v>45885754</v>
      </c>
      <c r="C1758" t="inlineStr">
        <is>
          <t>C</t>
        </is>
      </c>
      <c r="D1758" t="inlineStr">
        <is>
          <t>T</t>
        </is>
      </c>
      <c r="E1758" t="inlineStr">
        <is>
          <t>rs74863825</t>
        </is>
      </c>
      <c r="F1758" t="n">
        <v>-0.002009744228</v>
      </c>
      <c r="G1758" t="n">
        <v>0.7265590889227646</v>
      </c>
      <c r="H1758" t="n">
        <v>0.0159024515786424</v>
      </c>
      <c r="I1758" t="n">
        <v>0.1356225417510825</v>
      </c>
      <c r="J1758" t="n">
        <v>0.1200462953040272</v>
      </c>
      <c r="K1758" t="n">
        <v>0.5405090843122362</v>
      </c>
      <c r="L1758" t="b">
        <v>0</v>
      </c>
      <c r="M1758" t="b">
        <v>0</v>
      </c>
      <c r="N1758" t="inlineStr">
        <is>
          <t>ref</t>
        </is>
      </c>
      <c r="O1758" t="n">
        <v>100</v>
      </c>
      <c r="P1758" t="n">
        <v>0.01701</v>
      </c>
      <c r="Q1758" t="n">
        <v>-75</v>
      </c>
      <c r="R1758" t="n">
        <v>0.08649999999999999</v>
      </c>
      <c r="S1758">
        <f>IMAGE("https://mitra.stanford.edu/kundaje/oak/projects/neuro-variants/variant_position/credible/roussos_2024/variant_figures/roussos_2024.adolescence.GLU/rs74863825_count_position.png",4,220,900)</f>
        <v/>
      </c>
      <c r="T1758">
        <f>IMAGE("https://mitra.stanford.edu/kundaje/oak/projects/neuro-variants/variant_position/credible/roussos_2024/variant_figures/roussos_2024.adolescence.GLU/rs74863825_profile_position.png",4,220,900)</f>
        <v/>
      </c>
    </row>
    <row r="1759">
      <c r="A1759" t="inlineStr">
        <is>
          <t>chr17</t>
        </is>
      </c>
      <c r="B1759" t="n">
        <v>45888589</v>
      </c>
      <c r="C1759" t="inlineStr">
        <is>
          <t>A</t>
        </is>
      </c>
      <c r="D1759" t="inlineStr">
        <is>
          <t>G</t>
        </is>
      </c>
      <c r="E1759" t="inlineStr">
        <is>
          <t>rs62055552</t>
        </is>
      </c>
      <c r="F1759" t="n">
        <v>0.07277000979999999</v>
      </c>
      <c r="G1759" t="n">
        <v>0.0226698454870727</v>
      </c>
      <c r="H1759" t="n">
        <v>0.0193090330708103</v>
      </c>
      <c r="I1759" t="n">
        <v>0.0689005913972395</v>
      </c>
      <c r="J1759" t="n">
        <v>0.1007422966185852</v>
      </c>
      <c r="K1759" t="n">
        <v>0.579992163993413</v>
      </c>
      <c r="L1759" t="b">
        <v>0</v>
      </c>
      <c r="M1759" t="b">
        <v>0</v>
      </c>
      <c r="N1759" t="inlineStr">
        <is>
          <t>alt</t>
        </is>
      </c>
      <c r="O1759" t="n">
        <v>-95</v>
      </c>
      <c r="P1759" t="n">
        <v>0.004677</v>
      </c>
      <c r="Q1759" t="n">
        <v>55</v>
      </c>
      <c r="R1759" t="n">
        <v>0.07729999999999999</v>
      </c>
      <c r="S1759">
        <f>IMAGE("https://mitra.stanford.edu/kundaje/oak/projects/neuro-variants/variant_position/credible/roussos_2024/variant_figures/roussos_2024.adolescence.GLU/rs62055552_count_position.png",4,220,900)</f>
        <v/>
      </c>
      <c r="T1759">
        <f>IMAGE("https://mitra.stanford.edu/kundaje/oak/projects/neuro-variants/variant_position/credible/roussos_2024/variant_figures/roussos_2024.adolescence.GLU/rs62055552_profile_position.png",4,220,900)</f>
        <v/>
      </c>
    </row>
    <row r="1760">
      <c r="A1760" t="inlineStr">
        <is>
          <t>chr17</t>
        </is>
      </c>
      <c r="B1760" t="n">
        <v>45889589</v>
      </c>
      <c r="C1760" t="inlineStr">
        <is>
          <t>A</t>
        </is>
      </c>
      <c r="D1760" t="inlineStr">
        <is>
          <t>G</t>
        </is>
      </c>
      <c r="E1760" t="inlineStr">
        <is>
          <t>rs62055558</t>
        </is>
      </c>
      <c r="F1760" t="n">
        <v>0.024840081</v>
      </c>
      <c r="G1760" t="n">
        <v>0.2138859931060152</v>
      </c>
      <c r="H1760" t="n">
        <v>0.0089591120529581</v>
      </c>
      <c r="I1760" t="n">
        <v>0.6770874394685433</v>
      </c>
      <c r="J1760" t="n">
        <v>0.1556293803716483</v>
      </c>
      <c r="K1760" t="n">
        <v>0.4756361094051218</v>
      </c>
      <c r="L1760" t="b">
        <v>0</v>
      </c>
      <c r="M1760" t="b">
        <v>0</v>
      </c>
      <c r="N1760" t="inlineStr">
        <is>
          <t>alt</t>
        </is>
      </c>
      <c r="O1760" t="n">
        <v>-95</v>
      </c>
      <c r="P1760" t="n">
        <v>0.008224</v>
      </c>
      <c r="Q1760" t="n">
        <v>75</v>
      </c>
      <c r="R1760" t="n">
        <v>0.0625</v>
      </c>
      <c r="S1760">
        <f>IMAGE("https://mitra.stanford.edu/kundaje/oak/projects/neuro-variants/variant_position/credible/roussos_2024/variant_figures/roussos_2024.adolescence.GLU/rs62055558_count_position.png",4,220,900)</f>
        <v/>
      </c>
      <c r="T1760">
        <f>IMAGE("https://mitra.stanford.edu/kundaje/oak/projects/neuro-variants/variant_position/credible/roussos_2024/variant_figures/roussos_2024.adolescence.GLU/rs62055558_profile_position.png",4,220,900)</f>
        <v/>
      </c>
    </row>
    <row r="1761">
      <c r="A1761" t="inlineStr">
        <is>
          <t>chr17</t>
        </is>
      </c>
      <c r="B1761" t="n">
        <v>45890853</v>
      </c>
      <c r="C1761" t="inlineStr">
        <is>
          <t>A</t>
        </is>
      </c>
      <c r="D1761" t="inlineStr">
        <is>
          <t>G</t>
        </is>
      </c>
      <c r="E1761" t="inlineStr">
        <is>
          <t>rs17691466</t>
        </is>
      </c>
      <c r="F1761" t="n">
        <v>0.01858787994</v>
      </c>
      <c r="G1761" t="n">
        <v>0.3129379709975741</v>
      </c>
      <c r="H1761" t="n">
        <v>0.0097821196234559</v>
      </c>
      <c r="I1761" t="n">
        <v>0.5514236597774577</v>
      </c>
      <c r="J1761" t="n">
        <v>0.1421737359881689</v>
      </c>
      <c r="K1761" t="n">
        <v>0.4930167948442859</v>
      </c>
      <c r="L1761" t="b">
        <v>0</v>
      </c>
      <c r="M1761" t="b">
        <v>0</v>
      </c>
      <c r="N1761" t="inlineStr">
        <is>
          <t>alt</t>
        </is>
      </c>
      <c r="O1761" t="n">
        <v>35</v>
      </c>
      <c r="P1761" t="n">
        <v>0.0009003</v>
      </c>
      <c r="Q1761" t="n">
        <v>70</v>
      </c>
      <c r="R1761" t="n">
        <v>0.05035</v>
      </c>
      <c r="S1761">
        <f>IMAGE("https://mitra.stanford.edu/kundaje/oak/projects/neuro-variants/variant_position/credible/roussos_2024/variant_figures/roussos_2024.adolescence.GLU/rs17691466_count_position.png",4,220,900)</f>
        <v/>
      </c>
      <c r="T1761">
        <f>IMAGE("https://mitra.stanford.edu/kundaje/oak/projects/neuro-variants/variant_position/credible/roussos_2024/variant_figures/roussos_2024.adolescence.GLU/rs17691466_profile_position.png",4,220,900)</f>
        <v/>
      </c>
    </row>
    <row r="1762">
      <c r="A1762" t="inlineStr">
        <is>
          <t>chr17</t>
        </is>
      </c>
      <c r="B1762" t="n">
        <v>45891628</v>
      </c>
      <c r="C1762" t="inlineStr">
        <is>
          <t>T</t>
        </is>
      </c>
      <c r="D1762" t="inlineStr">
        <is>
          <t>C</t>
        </is>
      </c>
      <c r="E1762" t="inlineStr">
        <is>
          <t>rs55960528</t>
        </is>
      </c>
      <c r="F1762" t="n">
        <v>-0.003146044772</v>
      </c>
      <c r="G1762" t="n">
        <v>0.8184339404743913</v>
      </c>
      <c r="H1762" t="n">
        <v>0.0277220730905022</v>
      </c>
      <c r="I1762" t="n">
        <v>0.0120868612604271</v>
      </c>
      <c r="J1762" t="n">
        <v>0.2016360531824449</v>
      </c>
      <c r="K1762" t="n">
        <v>0.4006716551254836</v>
      </c>
      <c r="L1762" t="b">
        <v>1</v>
      </c>
      <c r="M1762" t="b">
        <v>0</v>
      </c>
      <c r="N1762" t="inlineStr">
        <is>
          <t>ref</t>
        </is>
      </c>
      <c r="O1762" t="n">
        <v>-95</v>
      </c>
      <c r="P1762" t="n">
        <v>0.01256</v>
      </c>
      <c r="Q1762" t="n">
        <v>100</v>
      </c>
      <c r="R1762" t="n">
        <v>0.1375</v>
      </c>
      <c r="S1762">
        <f>IMAGE("https://mitra.stanford.edu/kundaje/oak/projects/neuro-variants/variant_position/credible/roussos_2024/variant_figures/roussos_2024.adolescence.GLU/rs55960528_count_position.png",4,220,900)</f>
        <v/>
      </c>
      <c r="T1762">
        <f>IMAGE("https://mitra.stanford.edu/kundaje/oak/projects/neuro-variants/variant_position/credible/roussos_2024/variant_figures/roussos_2024.adolescence.GLU/rs55960528_profile_position.png",4,220,900)</f>
        <v/>
      </c>
    </row>
    <row r="1763">
      <c r="A1763" t="inlineStr">
        <is>
          <t>chr17</t>
        </is>
      </c>
      <c r="B1763" t="n">
        <v>45891802</v>
      </c>
      <c r="C1763" t="inlineStr">
        <is>
          <t>T</t>
        </is>
      </c>
      <c r="D1763" t="inlineStr">
        <is>
          <t>A</t>
        </is>
      </c>
      <c r="E1763" t="inlineStr">
        <is>
          <t>rs17691556</t>
        </is>
      </c>
      <c r="F1763" t="n">
        <v>-0.005019629269</v>
      </c>
      <c r="G1763" t="n">
        <v>0.5924725279891323</v>
      </c>
      <c r="H1763" t="n">
        <v>0.009297606001712901</v>
      </c>
      <c r="I1763" t="n">
        <v>0.6222708750307898</v>
      </c>
      <c r="J1763" t="n">
        <v>0.2331311485950661</v>
      </c>
      <c r="K1763" t="n">
        <v>0.3572125302825435</v>
      </c>
      <c r="L1763" t="b">
        <v>0</v>
      </c>
      <c r="M1763" t="b">
        <v>0</v>
      </c>
      <c r="N1763" t="inlineStr">
        <is>
          <t>ref</t>
        </is>
      </c>
      <c r="O1763" t="n">
        <v>-100</v>
      </c>
      <c r="P1763" t="n">
        <v>0.01247</v>
      </c>
      <c r="Q1763" t="n">
        <v>20</v>
      </c>
      <c r="R1763" t="n">
        <v>0.00812</v>
      </c>
      <c r="S1763">
        <f>IMAGE("https://mitra.stanford.edu/kundaje/oak/projects/neuro-variants/variant_position/credible/roussos_2024/variant_figures/roussos_2024.adolescence.GLU/rs17691556_count_position.png",4,220,900)</f>
        <v/>
      </c>
      <c r="T1763">
        <f>IMAGE("https://mitra.stanford.edu/kundaje/oak/projects/neuro-variants/variant_position/credible/roussos_2024/variant_figures/roussos_2024.adolescence.GLU/rs17691556_profile_position.png",4,220,900)</f>
        <v/>
      </c>
    </row>
    <row r="1764">
      <c r="A1764" t="inlineStr">
        <is>
          <t>chr17</t>
        </is>
      </c>
      <c r="B1764" t="n">
        <v>45892742</v>
      </c>
      <c r="C1764" t="inlineStr">
        <is>
          <t>C</t>
        </is>
      </c>
      <c r="D1764" t="inlineStr">
        <is>
          <t>A</t>
        </is>
      </c>
      <c r="E1764" t="inlineStr">
        <is>
          <t>rs78729125</t>
        </is>
      </c>
      <c r="F1764" t="n">
        <v>-0.00222290672</v>
      </c>
      <c r="G1764" t="n">
        <v>0.8656367865919572</v>
      </c>
      <c r="H1764" t="n">
        <v>0.0219122448652965</v>
      </c>
      <c r="I1764" t="n">
        <v>0.0366459603213403</v>
      </c>
      <c r="J1764" t="n">
        <v>0.0921190818098034</v>
      </c>
      <c r="K1764" t="n">
        <v>0.5997166474848011</v>
      </c>
      <c r="L1764" t="b">
        <v>0</v>
      </c>
      <c r="M1764" t="b">
        <v>0</v>
      </c>
      <c r="N1764" t="inlineStr">
        <is>
          <t>ref</t>
        </is>
      </c>
      <c r="O1764" t="n">
        <v>-95</v>
      </c>
      <c r="P1764" t="n">
        <v>0.003265</v>
      </c>
      <c r="Q1764" t="n">
        <v>-65</v>
      </c>
      <c r="R1764" t="n">
        <v>0.0665</v>
      </c>
      <c r="S1764">
        <f>IMAGE("https://mitra.stanford.edu/kundaje/oak/projects/neuro-variants/variant_position/credible/roussos_2024/variant_figures/roussos_2024.adolescence.GLU/rs78729125_count_position.png",4,220,900)</f>
        <v/>
      </c>
      <c r="T1764">
        <f>IMAGE("https://mitra.stanford.edu/kundaje/oak/projects/neuro-variants/variant_position/credible/roussos_2024/variant_figures/roussos_2024.adolescence.GLU/rs78729125_profile_position.png",4,220,900)</f>
        <v/>
      </c>
    </row>
    <row r="1765">
      <c r="A1765" t="inlineStr">
        <is>
          <t>chr17</t>
        </is>
      </c>
      <c r="B1765" t="n">
        <v>45894419</v>
      </c>
      <c r="C1765" t="inlineStr">
        <is>
          <t>A</t>
        </is>
      </c>
      <c r="D1765" t="inlineStr">
        <is>
          <t>G</t>
        </is>
      </c>
      <c r="E1765" t="inlineStr">
        <is>
          <t>rs11575895</t>
        </is>
      </c>
      <c r="F1765" t="n">
        <v>-0.0700987792</v>
      </c>
      <c r="G1765" t="n">
        <v>0.0267786589750622</v>
      </c>
      <c r="H1765" t="n">
        <v>0.0317913169748284</v>
      </c>
      <c r="I1765" t="n">
        <v>0.0077308645811829</v>
      </c>
      <c r="J1765" t="n">
        <v>0.9734645033614104</v>
      </c>
      <c r="K1765" t="n">
        <v>0.0005979520758298</v>
      </c>
      <c r="L1765" t="b">
        <v>1</v>
      </c>
      <c r="M1765" t="b">
        <v>1</v>
      </c>
      <c r="N1765" t="inlineStr">
        <is>
          <t>ref</t>
        </is>
      </c>
      <c r="O1765" t="n">
        <v>-25</v>
      </c>
      <c r="P1765" t="n">
        <v>0.00903</v>
      </c>
      <c r="Q1765" t="n">
        <v>-25</v>
      </c>
      <c r="R1765" t="n">
        <v>0.06444999999999999</v>
      </c>
      <c r="S1765">
        <f>IMAGE("https://mitra.stanford.edu/kundaje/oak/projects/neuro-variants/variant_position/credible/roussos_2024/variant_figures/roussos_2024.adolescence.GLU/rs11575895_count_position.png",4,220,900)</f>
        <v/>
      </c>
      <c r="T1765">
        <f>IMAGE("https://mitra.stanford.edu/kundaje/oak/projects/neuro-variants/variant_position/credible/roussos_2024/variant_figures/roussos_2024.adolescence.GLU/rs11575895_profile_position.png",4,220,900)</f>
        <v/>
      </c>
    </row>
    <row r="1766">
      <c r="A1766" t="inlineStr">
        <is>
          <t>chr17</t>
        </is>
      </c>
      <c r="B1766" t="n">
        <v>45896533</v>
      </c>
      <c r="C1766" t="inlineStr">
        <is>
          <t>T</t>
        </is>
      </c>
      <c r="D1766" t="inlineStr">
        <is>
          <t>C</t>
        </is>
      </c>
      <c r="E1766" t="inlineStr">
        <is>
          <t>rs62056781</t>
        </is>
      </c>
      <c r="F1766" t="n">
        <v>0.0600498964</v>
      </c>
      <c r="G1766" t="n">
        <v>0.0345978054940578</v>
      </c>
      <c r="H1766" t="n">
        <v>0.0135177944515325</v>
      </c>
      <c r="I1766" t="n">
        <v>0.2268284114837969</v>
      </c>
      <c r="J1766" t="n">
        <v>0.919883404419487</v>
      </c>
      <c r="K1766" t="n">
        <v>0.0028540257713645</v>
      </c>
      <c r="L1766" t="b">
        <v>0</v>
      </c>
      <c r="M1766" t="b">
        <v>0</v>
      </c>
      <c r="N1766" t="inlineStr">
        <is>
          <t>alt</t>
        </is>
      </c>
      <c r="O1766" t="n">
        <v>100</v>
      </c>
      <c r="P1766" t="n">
        <v>0.008750000000000001</v>
      </c>
      <c r="Q1766" t="n">
        <v>60</v>
      </c>
      <c r="R1766" t="n">
        <v>0.1832</v>
      </c>
      <c r="S1766">
        <f>IMAGE("https://mitra.stanford.edu/kundaje/oak/projects/neuro-variants/variant_position/credible/roussos_2024/variant_figures/roussos_2024.adolescence.GLU/rs62056781_count_position.png",4,220,900)</f>
        <v/>
      </c>
      <c r="T1766">
        <f>IMAGE("https://mitra.stanford.edu/kundaje/oak/projects/neuro-variants/variant_position/credible/roussos_2024/variant_figures/roussos_2024.adolescence.GLU/rs62056781_profile_position.png",4,220,900)</f>
        <v/>
      </c>
    </row>
    <row r="1767">
      <c r="A1767" t="inlineStr">
        <is>
          <t>chr17</t>
        </is>
      </c>
      <c r="B1767" t="n">
        <v>45896864</v>
      </c>
      <c r="C1767" t="inlineStr">
        <is>
          <t>C</t>
        </is>
      </c>
      <c r="D1767" t="inlineStr">
        <is>
          <t>T</t>
        </is>
      </c>
      <c r="E1767" t="inlineStr">
        <is>
          <t>rs62056782</t>
        </is>
      </c>
      <c r="F1767" t="n">
        <v>0.1403824838</v>
      </c>
      <c r="G1767" t="n">
        <v>0.0035411913194739</v>
      </c>
      <c r="H1767" t="n">
        <v>0.0548718693488324</v>
      </c>
      <c r="I1767" t="n">
        <v>0.001262287939515</v>
      </c>
      <c r="J1767" t="n">
        <v>0.9072950825528144</v>
      </c>
      <c r="K1767" t="n">
        <v>0.003365239031586</v>
      </c>
      <c r="L1767" t="b">
        <v>1</v>
      </c>
      <c r="M1767" t="b">
        <v>1</v>
      </c>
      <c r="N1767" t="inlineStr">
        <is>
          <t>alt</t>
        </is>
      </c>
      <c r="O1767" t="n">
        <v>-75</v>
      </c>
      <c r="P1767" t="n">
        <v>0.01163</v>
      </c>
      <c r="Q1767" t="n">
        <v>-75</v>
      </c>
      <c r="R1767" t="n">
        <v>0.1484</v>
      </c>
      <c r="S1767">
        <f>IMAGE("https://mitra.stanford.edu/kundaje/oak/projects/neuro-variants/variant_position/credible/roussos_2024/variant_figures/roussos_2024.adolescence.GLU/rs62056782_count_position.png",4,220,900)</f>
        <v/>
      </c>
      <c r="T1767">
        <f>IMAGE("https://mitra.stanford.edu/kundaje/oak/projects/neuro-variants/variant_position/credible/roussos_2024/variant_figures/roussos_2024.adolescence.GLU/rs62056782_profile_position.png",4,220,900)</f>
        <v/>
      </c>
    </row>
    <row r="1768">
      <c r="A1768" t="inlineStr">
        <is>
          <t>chr17</t>
        </is>
      </c>
      <c r="B1768" t="n">
        <v>45897110</v>
      </c>
      <c r="C1768" t="inlineStr">
        <is>
          <t>G</t>
        </is>
      </c>
      <c r="D1768" t="inlineStr">
        <is>
          <t>T</t>
        </is>
      </c>
      <c r="E1768" t="inlineStr">
        <is>
          <t>rs80346216</t>
        </is>
      </c>
      <c r="F1768" t="n">
        <v>0.097348924</v>
      </c>
      <c r="G1768" t="n">
        <v>0.0104798716074022</v>
      </c>
      <c r="H1768" t="n">
        <v>0.0292977863451328</v>
      </c>
      <c r="I1768" t="n">
        <v>0.0131709545746644</v>
      </c>
      <c r="J1768" t="n">
        <v>0.875235584513935</v>
      </c>
      <c r="K1768" t="n">
        <v>0.0046429078408055</v>
      </c>
      <c r="L1768" t="b">
        <v>1</v>
      </c>
      <c r="M1768" t="b">
        <v>0</v>
      </c>
      <c r="N1768" t="inlineStr">
        <is>
          <t>alt</t>
        </is>
      </c>
      <c r="O1768" t="n">
        <v>70</v>
      </c>
      <c r="P1768" t="n">
        <v>0.002365</v>
      </c>
      <c r="Q1768" t="n">
        <v>30</v>
      </c>
      <c r="R1768" t="n">
        <v>0.12036</v>
      </c>
      <c r="S1768">
        <f>IMAGE("https://mitra.stanford.edu/kundaje/oak/projects/neuro-variants/variant_position/credible/roussos_2024/variant_figures/roussos_2024.adolescence.GLU/rs80346216_count_position.png",4,220,900)</f>
        <v/>
      </c>
      <c r="T1768">
        <f>IMAGE("https://mitra.stanford.edu/kundaje/oak/projects/neuro-variants/variant_position/credible/roussos_2024/variant_figures/roussos_2024.adolescence.GLU/rs80346216_profile_position.png",4,220,900)</f>
        <v/>
      </c>
    </row>
    <row r="1769">
      <c r="A1769" t="inlineStr">
        <is>
          <t>chr17</t>
        </is>
      </c>
      <c r="B1769" t="n">
        <v>45897183</v>
      </c>
      <c r="C1769" t="inlineStr">
        <is>
          <t>G</t>
        </is>
      </c>
      <c r="D1769" t="inlineStr">
        <is>
          <t>C</t>
        </is>
      </c>
      <c r="E1769" t="inlineStr">
        <is>
          <t>rs62056783</t>
        </is>
      </c>
      <c r="F1769" t="n">
        <v>-0.01198101288</v>
      </c>
      <c r="G1769" t="n">
        <v>0.463915112379685</v>
      </c>
      <c r="H1769" t="n">
        <v>0.0120153006028477</v>
      </c>
      <c r="I1769" t="n">
        <v>0.3354601091720076</v>
      </c>
      <c r="J1769" t="n">
        <v>0.8432775360610412</v>
      </c>
      <c r="K1769" t="n">
        <v>0.005874723016596</v>
      </c>
      <c r="L1769" t="b">
        <v>0</v>
      </c>
      <c r="M1769" t="b">
        <v>0</v>
      </c>
      <c r="N1769" t="inlineStr">
        <is>
          <t>ref</t>
        </is>
      </c>
      <c r="O1769" t="n">
        <v>20</v>
      </c>
      <c r="P1769" t="n">
        <v>0.0001678</v>
      </c>
      <c r="Q1769" t="n">
        <v>-45</v>
      </c>
      <c r="R1769" t="n">
        <v>0.02808</v>
      </c>
      <c r="S1769">
        <f>IMAGE("https://mitra.stanford.edu/kundaje/oak/projects/neuro-variants/variant_position/credible/roussos_2024/variant_figures/roussos_2024.adolescence.GLU/rs62056783_count_position.png",4,220,900)</f>
        <v/>
      </c>
      <c r="T1769">
        <f>IMAGE("https://mitra.stanford.edu/kundaje/oak/projects/neuro-variants/variant_position/credible/roussos_2024/variant_figures/roussos_2024.adolescence.GLU/rs62056783_profile_position.png",4,220,900)</f>
        <v/>
      </c>
    </row>
    <row r="1770">
      <c r="A1770" t="inlineStr">
        <is>
          <t>chr17</t>
        </is>
      </c>
      <c r="B1770" t="n">
        <v>45902138</v>
      </c>
      <c r="C1770" t="inlineStr">
        <is>
          <t>G</t>
        </is>
      </c>
      <c r="D1770" t="inlineStr">
        <is>
          <t>A</t>
        </is>
      </c>
      <c r="E1770" t="inlineStr">
        <is>
          <t>rs62056801</t>
        </is>
      </c>
      <c r="F1770" t="n">
        <v>0.0054266823599999</v>
      </c>
      <c r="G1770" t="n">
        <v>0.6461535702472149</v>
      </c>
      <c r="H1770" t="n">
        <v>0.009467579069954501</v>
      </c>
      <c r="I1770" t="n">
        <v>0.5937563006492056</v>
      </c>
      <c r="J1770" t="n">
        <v>0.1900107879489322</v>
      </c>
      <c r="K1770" t="n">
        <v>0.4150091969372027</v>
      </c>
      <c r="L1770" t="b">
        <v>0</v>
      </c>
      <c r="M1770" t="b">
        <v>0</v>
      </c>
      <c r="N1770" t="inlineStr">
        <is>
          <t>alt</t>
        </is>
      </c>
      <c r="O1770" t="n">
        <v>-95</v>
      </c>
      <c r="P1770" t="n">
        <v>0.008765999999999999</v>
      </c>
      <c r="Q1770" t="n">
        <v>95</v>
      </c>
      <c r="R1770" t="n">
        <v>0.03113</v>
      </c>
      <c r="S1770">
        <f>IMAGE("https://mitra.stanford.edu/kundaje/oak/projects/neuro-variants/variant_position/credible/roussos_2024/variant_figures/roussos_2024.adolescence.GLU/rs62056801_count_position.png",4,220,900)</f>
        <v/>
      </c>
      <c r="T1770">
        <f>IMAGE("https://mitra.stanford.edu/kundaje/oak/projects/neuro-variants/variant_position/credible/roussos_2024/variant_figures/roussos_2024.adolescence.GLU/rs62056801_profile_position.png",4,220,900)</f>
        <v/>
      </c>
    </row>
    <row r="1771">
      <c r="A1771" t="inlineStr">
        <is>
          <t>chr17</t>
        </is>
      </c>
      <c r="B1771" t="n">
        <v>45903164</v>
      </c>
      <c r="C1771" t="inlineStr">
        <is>
          <t>A</t>
        </is>
      </c>
      <c r="D1771" t="inlineStr">
        <is>
          <t>C</t>
        </is>
      </c>
      <c r="E1771" t="inlineStr">
        <is>
          <t>rs1984937</t>
        </is>
      </c>
      <c r="F1771" t="n">
        <v>0.0307358075999999</v>
      </c>
      <c r="G1771" t="n">
        <v>0.1666759755268011</v>
      </c>
      <c r="H1771" t="n">
        <v>0.0164370109011119</v>
      </c>
      <c r="I1771" t="n">
        <v>0.1190688034651333</v>
      </c>
      <c r="J1771" t="n">
        <v>0.354519150395439</v>
      </c>
      <c r="K1771" t="n">
        <v>0.2103565733238337</v>
      </c>
      <c r="L1771" t="b">
        <v>0</v>
      </c>
      <c r="M1771" t="b">
        <v>0</v>
      </c>
      <c r="N1771" t="inlineStr">
        <is>
          <t>alt</t>
        </is>
      </c>
      <c r="O1771" t="n">
        <v>-100</v>
      </c>
      <c r="P1771" t="n">
        <v>0.00817</v>
      </c>
      <c r="Q1771" t="n">
        <v>-5</v>
      </c>
      <c r="R1771" t="n">
        <v>0.0007324</v>
      </c>
      <c r="S1771">
        <f>IMAGE("https://mitra.stanford.edu/kundaje/oak/projects/neuro-variants/variant_position/credible/roussos_2024/variant_figures/roussos_2024.adolescence.GLU/rs1984937_count_position.png",4,220,900)</f>
        <v/>
      </c>
      <c r="T1771">
        <f>IMAGE("https://mitra.stanford.edu/kundaje/oak/projects/neuro-variants/variant_position/credible/roussos_2024/variant_figures/roussos_2024.adolescence.GLU/rs1984937_profile_position.png",4,220,900)</f>
        <v/>
      </c>
    </row>
    <row r="1772">
      <c r="A1772" t="inlineStr">
        <is>
          <t>chr17</t>
        </is>
      </c>
      <c r="B1772" t="n">
        <v>45908231</v>
      </c>
      <c r="C1772" t="inlineStr">
        <is>
          <t>C</t>
        </is>
      </c>
      <c r="D1772" t="inlineStr">
        <is>
          <t>T</t>
        </is>
      </c>
      <c r="E1772" t="inlineStr">
        <is>
          <t>rs74509629</t>
        </is>
      </c>
      <c r="F1772" t="n">
        <v>-0.08265243779999989</v>
      </c>
      <c r="G1772" t="n">
        <v>0.0142218615986974</v>
      </c>
      <c r="H1772" t="n">
        <v>0.0151276796588414</v>
      </c>
      <c r="I1772" t="n">
        <v>0.1618274444031494</v>
      </c>
      <c r="J1772" t="n">
        <v>0.5714012188238992</v>
      </c>
      <c r="K1772" t="n">
        <v>0.050440662129579</v>
      </c>
      <c r="L1772" t="b">
        <v>1</v>
      </c>
      <c r="M1772" t="b">
        <v>0</v>
      </c>
      <c r="N1772" t="inlineStr">
        <is>
          <t>ref</t>
        </is>
      </c>
      <c r="O1772" t="n">
        <v>100</v>
      </c>
      <c r="P1772" t="n">
        <v>0.00813</v>
      </c>
      <c r="Q1772" t="n">
        <v>-75</v>
      </c>
      <c r="R1772" t="n">
        <v>0.0431</v>
      </c>
      <c r="S1772">
        <f>IMAGE("https://mitra.stanford.edu/kundaje/oak/projects/neuro-variants/variant_position/credible/roussos_2024/variant_figures/roussos_2024.adolescence.GLU/rs74509629_count_position.png",4,220,900)</f>
        <v/>
      </c>
      <c r="T1772">
        <f>IMAGE("https://mitra.stanford.edu/kundaje/oak/projects/neuro-variants/variant_position/credible/roussos_2024/variant_figures/roussos_2024.adolescence.GLU/rs74509629_profile_position.png",4,220,900)</f>
        <v/>
      </c>
    </row>
    <row r="1773">
      <c r="A1773" t="inlineStr">
        <is>
          <t>chr17</t>
        </is>
      </c>
      <c r="B1773" t="n">
        <v>45911721</v>
      </c>
      <c r="C1773" t="inlineStr">
        <is>
          <t>A</t>
        </is>
      </c>
      <c r="D1773" t="inlineStr">
        <is>
          <t>G</t>
        </is>
      </c>
      <c r="E1773" t="inlineStr">
        <is>
          <t>rs62056838</t>
        </is>
      </c>
      <c r="F1773" t="n">
        <v>0.06367014979999989</v>
      </c>
      <c r="G1773" t="n">
        <v>0.0381362467224055</v>
      </c>
      <c r="H1773" t="n">
        <v>0.013703334632756</v>
      </c>
      <c r="I1773" t="n">
        <v>0.2493988785455247</v>
      </c>
      <c r="J1773" t="n">
        <v>0.1520900758014159</v>
      </c>
      <c r="K1773" t="n">
        <v>0.4725379860219059</v>
      </c>
      <c r="L1773" t="b">
        <v>0</v>
      </c>
      <c r="M1773" t="b">
        <v>0</v>
      </c>
      <c r="N1773" t="inlineStr">
        <is>
          <t>alt</t>
        </is>
      </c>
      <c r="O1773" t="n">
        <v>5</v>
      </c>
      <c r="P1773" t="n">
        <v>0.001282</v>
      </c>
      <c r="Q1773" t="n">
        <v>-95</v>
      </c>
      <c r="R1773" t="n">
        <v>0.02116</v>
      </c>
      <c r="S1773">
        <f>IMAGE("https://mitra.stanford.edu/kundaje/oak/projects/neuro-variants/variant_position/credible/roussos_2024/variant_figures/roussos_2024.adolescence.GLU/rs62056838_count_position.png",4,220,900)</f>
        <v/>
      </c>
      <c r="T1773">
        <f>IMAGE("https://mitra.stanford.edu/kundaje/oak/projects/neuro-variants/variant_position/credible/roussos_2024/variant_figures/roussos_2024.adolescence.GLU/rs62056838_profile_position.png",4,220,900)</f>
        <v/>
      </c>
    </row>
    <row r="1774">
      <c r="A1774" t="inlineStr">
        <is>
          <t>chr17</t>
        </is>
      </c>
      <c r="B1774" t="n">
        <v>45914415</v>
      </c>
      <c r="C1774" t="inlineStr">
        <is>
          <t>G</t>
        </is>
      </c>
      <c r="D1774" t="inlineStr">
        <is>
          <t>T</t>
        </is>
      </c>
      <c r="E1774" t="inlineStr">
        <is>
          <t>rs17564020</t>
        </is>
      </c>
      <c r="F1774" t="n">
        <v>-0.00112439178</v>
      </c>
      <c r="G1774" t="n">
        <v>0.6503390024383846</v>
      </c>
      <c r="H1774" t="n">
        <v>0.0073805557027891</v>
      </c>
      <c r="I1774" t="n">
        <v>0.8681470608199383</v>
      </c>
      <c r="J1774" t="n">
        <v>0.4428431603689335</v>
      </c>
      <c r="K1774" t="n">
        <v>0.1285125452554977</v>
      </c>
      <c r="L1774" t="b">
        <v>0</v>
      </c>
      <c r="M1774" t="b">
        <v>0</v>
      </c>
      <c r="N1774" t="inlineStr">
        <is>
          <t>ref</t>
        </is>
      </c>
      <c r="O1774" t="n">
        <v>100</v>
      </c>
      <c r="P1774" t="n">
        <v>0.00843</v>
      </c>
      <c r="Q1774" t="n">
        <v>90</v>
      </c>
      <c r="R1774" t="n">
        <v>0.1442</v>
      </c>
      <c r="S1774">
        <f>IMAGE("https://mitra.stanford.edu/kundaje/oak/projects/neuro-variants/variant_position/credible/roussos_2024/variant_figures/roussos_2024.adolescence.GLU/rs17564020_count_position.png",4,220,900)</f>
        <v/>
      </c>
      <c r="T1774">
        <f>IMAGE("https://mitra.stanford.edu/kundaje/oak/projects/neuro-variants/variant_position/credible/roussos_2024/variant_figures/roussos_2024.adolescence.GLU/rs17564020_profile_position.png",4,220,900)</f>
        <v/>
      </c>
    </row>
    <row r="1775">
      <c r="A1775" t="inlineStr">
        <is>
          <t>chr17</t>
        </is>
      </c>
      <c r="B1775" t="n">
        <v>45914522</v>
      </c>
      <c r="C1775" t="inlineStr">
        <is>
          <t>G</t>
        </is>
      </c>
      <c r="D1775" t="inlineStr">
        <is>
          <t>A</t>
        </is>
      </c>
      <c r="E1775" t="inlineStr">
        <is>
          <t>rs55682376</t>
        </is>
      </c>
      <c r="F1775" t="n">
        <v>0.0123761432</v>
      </c>
      <c r="G1775" t="n">
        <v>0.4219210594279718</v>
      </c>
      <c r="H1775" t="n">
        <v>0.0079213742300034</v>
      </c>
      <c r="I1775" t="n">
        <v>0.7865126027631372</v>
      </c>
      <c r="J1775" t="n">
        <v>0.4635774553300326</v>
      </c>
      <c r="K1775" t="n">
        <v>0.1134607382922723</v>
      </c>
      <c r="L1775" t="b">
        <v>0</v>
      </c>
      <c r="M1775" t="b">
        <v>0</v>
      </c>
      <c r="N1775" t="inlineStr">
        <is>
          <t>alt</t>
        </is>
      </c>
      <c r="O1775" t="n">
        <v>100</v>
      </c>
      <c r="P1775" t="n">
        <v>0.02112</v>
      </c>
      <c r="Q1775" t="n">
        <v>-15</v>
      </c>
      <c r="R1775" t="n">
        <v>0.03687</v>
      </c>
      <c r="S1775">
        <f>IMAGE("https://mitra.stanford.edu/kundaje/oak/projects/neuro-variants/variant_position/credible/roussos_2024/variant_figures/roussos_2024.adolescence.GLU/rs55682376_count_position.png",4,220,900)</f>
        <v/>
      </c>
      <c r="T1775">
        <f>IMAGE("https://mitra.stanford.edu/kundaje/oak/projects/neuro-variants/variant_position/credible/roussos_2024/variant_figures/roussos_2024.adolescence.GLU/rs55682376_profile_position.png",4,220,900)</f>
        <v/>
      </c>
    </row>
    <row r="1776">
      <c r="A1776" t="inlineStr">
        <is>
          <t>chr17</t>
        </is>
      </c>
      <c r="B1776" t="n">
        <v>45915090</v>
      </c>
      <c r="C1776" t="inlineStr">
        <is>
          <t>G</t>
        </is>
      </c>
      <c r="D1776" t="inlineStr">
        <is>
          <t>A</t>
        </is>
      </c>
      <c r="E1776" t="inlineStr">
        <is>
          <t>rs62056848</t>
        </is>
      </c>
      <c r="F1776" t="n">
        <v>-0.08339274520000001</v>
      </c>
      <c r="G1776" t="n">
        <v>0.0140588221100362</v>
      </c>
      <c r="H1776" t="n">
        <v>0.0137795204514802</v>
      </c>
      <c r="I1776" t="n">
        <v>0.2141441618248209</v>
      </c>
      <c r="J1776" t="n">
        <v>0.5133363339548906</v>
      </c>
      <c r="K1776" t="n">
        <v>0.0810416689484372</v>
      </c>
      <c r="L1776" t="b">
        <v>1</v>
      </c>
      <c r="M1776" t="b">
        <v>0</v>
      </c>
      <c r="N1776" t="inlineStr">
        <is>
          <t>ref</t>
        </is>
      </c>
      <c r="O1776" t="n">
        <v>-100</v>
      </c>
      <c r="P1776" t="n">
        <v>0.003304</v>
      </c>
      <c r="Q1776" t="n">
        <v>95</v>
      </c>
      <c r="R1776" t="n">
        <v>0.0431</v>
      </c>
      <c r="S1776">
        <f>IMAGE("https://mitra.stanford.edu/kundaje/oak/projects/neuro-variants/variant_position/credible/roussos_2024/variant_figures/roussos_2024.adolescence.GLU/rs62056848_count_position.png",4,220,900)</f>
        <v/>
      </c>
      <c r="T1776">
        <f>IMAGE("https://mitra.stanford.edu/kundaje/oak/projects/neuro-variants/variant_position/credible/roussos_2024/variant_figures/roussos_2024.adolescence.GLU/rs62056848_profile_position.png",4,220,900)</f>
        <v/>
      </c>
    </row>
    <row r="1777">
      <c r="A1777" t="inlineStr">
        <is>
          <t>chr17</t>
        </is>
      </c>
      <c r="B1777" t="n">
        <v>45915097</v>
      </c>
      <c r="C1777" t="inlineStr">
        <is>
          <t>G</t>
        </is>
      </c>
      <c r="D1777" t="inlineStr">
        <is>
          <t>C</t>
        </is>
      </c>
      <c r="E1777" t="inlineStr">
        <is>
          <t>rs62056849</t>
        </is>
      </c>
      <c r="F1777" t="n">
        <v>0.050078821</v>
      </c>
      <c r="G1777" t="n">
        <v>0.0648327678455988</v>
      </c>
      <c r="H1777" t="n">
        <v>0.0108596548511781</v>
      </c>
      <c r="I1777" t="n">
        <v>0.4353364310276184</v>
      </c>
      <c r="J1777" t="n">
        <v>0.5279050660493959</v>
      </c>
      <c r="K1777" t="n">
        <v>0.07240057907313679</v>
      </c>
      <c r="L1777" t="b">
        <v>0</v>
      </c>
      <c r="M1777" t="b">
        <v>0</v>
      </c>
      <c r="N1777" t="inlineStr">
        <is>
          <t>alt</t>
        </is>
      </c>
      <c r="O1777" t="n">
        <v>-75</v>
      </c>
      <c r="P1777" t="n">
        <v>0.003412</v>
      </c>
      <c r="Q1777" t="n">
        <v>85</v>
      </c>
      <c r="R1777" t="n">
        <v>0.05286</v>
      </c>
      <c r="S1777">
        <f>IMAGE("https://mitra.stanford.edu/kundaje/oak/projects/neuro-variants/variant_position/credible/roussos_2024/variant_figures/roussos_2024.adolescence.GLU/rs62056849_count_position.png",4,220,900)</f>
        <v/>
      </c>
      <c r="T1777">
        <f>IMAGE("https://mitra.stanford.edu/kundaje/oak/projects/neuro-variants/variant_position/credible/roussos_2024/variant_figures/roussos_2024.adolescence.GLU/rs62056849_profile_position.png",4,220,900)</f>
        <v/>
      </c>
    </row>
    <row r="1778">
      <c r="A1778" t="inlineStr">
        <is>
          <t>chr17</t>
        </is>
      </c>
      <c r="B1778" t="n">
        <v>45920535</v>
      </c>
      <c r="C1778" t="inlineStr">
        <is>
          <t>G</t>
        </is>
      </c>
      <c r="D1778" t="inlineStr">
        <is>
          <t>C</t>
        </is>
      </c>
      <c r="E1778" t="inlineStr">
        <is>
          <t>rs17649700</t>
        </is>
      </c>
      <c r="F1778" t="n">
        <v>-0.00618626338</v>
      </c>
      <c r="G1778" t="n">
        <v>0.6854799031162373</v>
      </c>
      <c r="H1778" t="n">
        <v>0.009633523202893001</v>
      </c>
      <c r="I1778" t="n">
        <v>0.5846931979148072</v>
      </c>
      <c r="J1778" t="n">
        <v>0.3396332097363025</v>
      </c>
      <c r="K1778" t="n">
        <v>0.2269213342181698</v>
      </c>
      <c r="L1778" t="b">
        <v>0</v>
      </c>
      <c r="M1778" t="b">
        <v>0</v>
      </c>
      <c r="N1778" t="inlineStr">
        <is>
          <t>ref</t>
        </is>
      </c>
      <c r="O1778" t="n">
        <v>95</v>
      </c>
      <c r="P1778" t="n">
        <v>0.00572</v>
      </c>
      <c r="Q1778" t="n">
        <v>70</v>
      </c>
      <c r="R1778" t="n">
        <v>0.05872</v>
      </c>
      <c r="S1778">
        <f>IMAGE("https://mitra.stanford.edu/kundaje/oak/projects/neuro-variants/variant_position/credible/roussos_2024/variant_figures/roussos_2024.adolescence.GLU/rs17649700_count_position.png",4,220,900)</f>
        <v/>
      </c>
      <c r="T1778">
        <f>IMAGE("https://mitra.stanford.edu/kundaje/oak/projects/neuro-variants/variant_position/credible/roussos_2024/variant_figures/roussos_2024.adolescence.GLU/rs17649700_profile_position.png",4,220,900)</f>
        <v/>
      </c>
    </row>
    <row r="1779">
      <c r="A1779" t="inlineStr">
        <is>
          <t>chr17</t>
        </is>
      </c>
      <c r="B1779" t="n">
        <v>45922868</v>
      </c>
      <c r="C1779" t="inlineStr">
        <is>
          <t>A</t>
        </is>
      </c>
      <c r="D1779" t="inlineStr">
        <is>
          <t>T</t>
        </is>
      </c>
      <c r="E1779" t="inlineStr">
        <is>
          <t>rs8079501</t>
        </is>
      </c>
      <c r="F1779" t="n">
        <v>-0.0004681154559999</v>
      </c>
      <c r="G1779" t="n">
        <v>0.9392983268318568</v>
      </c>
      <c r="H1779" t="n">
        <v>0.0165212748536109</v>
      </c>
      <c r="I1779" t="n">
        <v>0.1118419153118833</v>
      </c>
      <c r="J1779" t="n">
        <v>0.3079680791020996</v>
      </c>
      <c r="K1779" t="n">
        <v>0.2611277227044363</v>
      </c>
      <c r="L1779" t="b">
        <v>0</v>
      </c>
      <c r="M1779" t="b">
        <v>0</v>
      </c>
      <c r="N1779" t="inlineStr">
        <is>
          <t>ref</t>
        </is>
      </c>
      <c r="O1779" t="n">
        <v>80</v>
      </c>
      <c r="P1779" t="n">
        <v>0.004242</v>
      </c>
      <c r="Q1779" t="n">
        <v>20</v>
      </c>
      <c r="R1779" t="n">
        <v>0.03156</v>
      </c>
      <c r="S1779">
        <f>IMAGE("https://mitra.stanford.edu/kundaje/oak/projects/neuro-variants/variant_position/credible/roussos_2024/variant_figures/roussos_2024.adolescence.GLU/rs8079501_count_position.png",4,220,900)</f>
        <v/>
      </c>
      <c r="T1779">
        <f>IMAGE("https://mitra.stanford.edu/kundaje/oak/projects/neuro-variants/variant_position/credible/roussos_2024/variant_figures/roussos_2024.adolescence.GLU/rs8079501_profile_position.png",4,220,900)</f>
        <v/>
      </c>
    </row>
    <row r="1780">
      <c r="A1780" t="inlineStr">
        <is>
          <t>chr17</t>
        </is>
      </c>
      <c r="B1780" t="n">
        <v>45924591</v>
      </c>
      <c r="C1780" t="inlineStr">
        <is>
          <t>T</t>
        </is>
      </c>
      <c r="D1780" t="inlineStr">
        <is>
          <t>G</t>
        </is>
      </c>
      <c r="E1780" t="inlineStr">
        <is>
          <t>rs55685451</t>
        </is>
      </c>
      <c r="F1780" t="n">
        <v>0.0093629126</v>
      </c>
      <c r="G1780" t="n">
        <v>0.5423938666250229</v>
      </c>
      <c r="H1780" t="n">
        <v>0.0106772611478333</v>
      </c>
      <c r="I1780" t="n">
        <v>0.4483113890071524</v>
      </c>
      <c r="J1780" t="n">
        <v>0.4022833301183816</v>
      </c>
      <c r="K1780" t="n">
        <v>0.164147043308274</v>
      </c>
      <c r="L1780" t="b">
        <v>0</v>
      </c>
      <c r="M1780" t="b">
        <v>0</v>
      </c>
      <c r="N1780" t="inlineStr">
        <is>
          <t>alt</t>
        </is>
      </c>
      <c r="O1780" t="n">
        <v>-95</v>
      </c>
      <c r="P1780" t="n">
        <v>0.00383</v>
      </c>
      <c r="Q1780" t="n">
        <v>-70</v>
      </c>
      <c r="R1780" t="n">
        <v>0.09436</v>
      </c>
      <c r="S1780">
        <f>IMAGE("https://mitra.stanford.edu/kundaje/oak/projects/neuro-variants/variant_position/credible/roussos_2024/variant_figures/roussos_2024.adolescence.GLU/rs55685451_count_position.png",4,220,900)</f>
        <v/>
      </c>
      <c r="T1780">
        <f>IMAGE("https://mitra.stanford.edu/kundaje/oak/projects/neuro-variants/variant_position/credible/roussos_2024/variant_figures/roussos_2024.adolescence.GLU/rs55685451_profile_position.png",4,220,900)</f>
        <v/>
      </c>
    </row>
    <row r="1781">
      <c r="A1781" t="inlineStr">
        <is>
          <t>chr17</t>
        </is>
      </c>
      <c r="B1781" t="n">
        <v>45928047</v>
      </c>
      <c r="C1781" t="inlineStr">
        <is>
          <t>A</t>
        </is>
      </c>
      <c r="D1781" t="inlineStr">
        <is>
          <t>G</t>
        </is>
      </c>
      <c r="E1781" t="inlineStr">
        <is>
          <t>rs17564780</t>
        </is>
      </c>
      <c r="F1781" t="n">
        <v>0.0096316039999999</v>
      </c>
      <c r="G1781" t="n">
        <v>0.470378537509118</v>
      </c>
      <c r="H1781" t="n">
        <v>0.0126309649784557</v>
      </c>
      <c r="I1781" t="n">
        <v>0.2848074385287727</v>
      </c>
      <c r="J1781" t="n">
        <v>0.2139743232526737</v>
      </c>
      <c r="K1781" t="n">
        <v>0.3838468463714835</v>
      </c>
      <c r="L1781" t="b">
        <v>0</v>
      </c>
      <c r="M1781" t="b">
        <v>0</v>
      </c>
      <c r="N1781" t="inlineStr">
        <is>
          <t>alt</t>
        </is>
      </c>
      <c r="O1781" t="n">
        <v>-85</v>
      </c>
      <c r="P1781" t="n">
        <v>0.01538</v>
      </c>
      <c r="Q1781" t="n">
        <v>-65</v>
      </c>
      <c r="R1781" t="n">
        <v>0.03108</v>
      </c>
      <c r="S1781">
        <f>IMAGE("https://mitra.stanford.edu/kundaje/oak/projects/neuro-variants/variant_position/credible/roussos_2024/variant_figures/roussos_2024.adolescence.GLU/rs17564780_count_position.png",4,220,900)</f>
        <v/>
      </c>
      <c r="T1781">
        <f>IMAGE("https://mitra.stanford.edu/kundaje/oak/projects/neuro-variants/variant_position/credible/roussos_2024/variant_figures/roussos_2024.adolescence.GLU/rs17564780_profile_position.png",4,220,900)</f>
        <v/>
      </c>
    </row>
    <row r="1782">
      <c r="A1782" t="inlineStr">
        <is>
          <t>chr17</t>
        </is>
      </c>
      <c r="B1782" t="n">
        <v>45933086</v>
      </c>
      <c r="C1782" t="inlineStr">
        <is>
          <t>C</t>
        </is>
      </c>
      <c r="D1782" t="inlineStr">
        <is>
          <t>A</t>
        </is>
      </c>
      <c r="E1782" t="inlineStr">
        <is>
          <t>rs62061714</t>
        </is>
      </c>
      <c r="F1782" t="n">
        <v>0.002806293794</v>
      </c>
      <c r="G1782" t="n">
        <v>0.7795441001995004</v>
      </c>
      <c r="H1782" t="n">
        <v>0.0246819226960557</v>
      </c>
      <c r="I1782" t="n">
        <v>0.0232826100702316</v>
      </c>
      <c r="J1782" t="n">
        <v>0.0866436619013938</v>
      </c>
      <c r="K1782" t="n">
        <v>0.6112680177776693</v>
      </c>
      <c r="L1782" t="b">
        <v>0</v>
      </c>
      <c r="M1782" t="b">
        <v>0</v>
      </c>
      <c r="N1782" t="inlineStr">
        <is>
          <t>alt</t>
        </is>
      </c>
      <c r="O1782" t="n">
        <v>95</v>
      </c>
      <c r="P1782" t="n">
        <v>0.01605</v>
      </c>
      <c r="Q1782" t="n">
        <v>-20</v>
      </c>
      <c r="R1782" t="n">
        <v>0.02805</v>
      </c>
      <c r="S1782">
        <f>IMAGE("https://mitra.stanford.edu/kundaje/oak/projects/neuro-variants/variant_position/credible/roussos_2024/variant_figures/roussos_2024.adolescence.GLU/rs62061714_count_position.png",4,220,900)</f>
        <v/>
      </c>
      <c r="T1782">
        <f>IMAGE("https://mitra.stanford.edu/kundaje/oak/projects/neuro-variants/variant_position/credible/roussos_2024/variant_figures/roussos_2024.adolescence.GLU/rs62061714_profile_position.png",4,220,900)</f>
        <v/>
      </c>
    </row>
    <row r="1783">
      <c r="A1783" t="inlineStr">
        <is>
          <t>chr17</t>
        </is>
      </c>
      <c r="B1783" t="n">
        <v>45934730</v>
      </c>
      <c r="C1783" t="inlineStr">
        <is>
          <t>A</t>
        </is>
      </c>
      <c r="D1783" t="inlineStr">
        <is>
          <t>G</t>
        </is>
      </c>
      <c r="E1783" t="inlineStr">
        <is>
          <t>rs62061716</t>
        </is>
      </c>
      <c r="F1783" t="n">
        <v>0.0310762625999999</v>
      </c>
      <c r="G1783" t="n">
        <v>0.1549312129573219</v>
      </c>
      <c r="H1783" t="n">
        <v>0.0142373502060666</v>
      </c>
      <c r="I1783" t="n">
        <v>0.1914521652226151</v>
      </c>
      <c r="J1783" t="n">
        <v>0.4028391595401904</v>
      </c>
      <c r="K1783" t="n">
        <v>0.1649216826161521</v>
      </c>
      <c r="L1783" t="b">
        <v>0</v>
      </c>
      <c r="M1783" t="b">
        <v>0</v>
      </c>
      <c r="N1783" t="inlineStr">
        <is>
          <t>alt</t>
        </is>
      </c>
      <c r="O1783" t="n">
        <v>-60</v>
      </c>
      <c r="P1783" t="n">
        <v>0.005135</v>
      </c>
      <c r="Q1783" t="n">
        <v>-90</v>
      </c>
      <c r="R1783" t="n">
        <v>0.0901</v>
      </c>
      <c r="S1783">
        <f>IMAGE("https://mitra.stanford.edu/kundaje/oak/projects/neuro-variants/variant_position/credible/roussos_2024/variant_figures/roussos_2024.adolescence.GLU/rs62061716_count_position.png",4,220,900)</f>
        <v/>
      </c>
      <c r="T1783">
        <f>IMAGE("https://mitra.stanford.edu/kundaje/oak/projects/neuro-variants/variant_position/credible/roussos_2024/variant_figures/roussos_2024.adolescence.GLU/rs62061716_profile_position.png",4,220,900)</f>
        <v/>
      </c>
    </row>
    <row r="1784">
      <c r="A1784" t="inlineStr">
        <is>
          <t>chr17</t>
        </is>
      </c>
      <c r="B1784" t="n">
        <v>45935549</v>
      </c>
      <c r="C1784" t="inlineStr">
        <is>
          <t>T</t>
        </is>
      </c>
      <c r="D1784" t="inlineStr">
        <is>
          <t>C</t>
        </is>
      </c>
      <c r="E1784" t="inlineStr">
        <is>
          <t>rs77924424</t>
        </is>
      </c>
      <c r="F1784" t="n">
        <v>0.070441274</v>
      </c>
      <c r="G1784" t="n">
        <v>0.021395414113422</v>
      </c>
      <c r="H1784" t="n">
        <v>0.0116413225155756</v>
      </c>
      <c r="I1784" t="n">
        <v>0.3519068415729428</v>
      </c>
      <c r="J1784" t="n">
        <v>0.5075980024433633</v>
      </c>
      <c r="K1784" t="n">
        <v>0.0840788982320687</v>
      </c>
      <c r="L1784" t="b">
        <v>0</v>
      </c>
      <c r="M1784" t="b">
        <v>0</v>
      </c>
      <c r="N1784" t="inlineStr">
        <is>
          <t>alt</t>
        </is>
      </c>
      <c r="O1784" t="n">
        <v>40</v>
      </c>
      <c r="P1784" t="n">
        <v>0.003143</v>
      </c>
      <c r="Q1784" t="n">
        <v>5</v>
      </c>
      <c r="R1784" t="n">
        <v>0.00647</v>
      </c>
      <c r="S1784">
        <f>IMAGE("https://mitra.stanford.edu/kundaje/oak/projects/neuro-variants/variant_position/credible/roussos_2024/variant_figures/roussos_2024.adolescence.GLU/rs77924424_count_position.png",4,220,900)</f>
        <v/>
      </c>
      <c r="T1784">
        <f>IMAGE("https://mitra.stanford.edu/kundaje/oak/projects/neuro-variants/variant_position/credible/roussos_2024/variant_figures/roussos_2024.adolescence.GLU/rs77924424_profile_position.png",4,220,900)</f>
        <v/>
      </c>
    </row>
    <row r="1785">
      <c r="A1785" t="inlineStr">
        <is>
          <t>chr17</t>
        </is>
      </c>
      <c r="B1785" t="n">
        <v>45935823</v>
      </c>
      <c r="C1785" t="inlineStr">
        <is>
          <t>C</t>
        </is>
      </c>
      <c r="D1785" t="inlineStr">
        <is>
          <t>T</t>
        </is>
      </c>
      <c r="E1785" t="inlineStr">
        <is>
          <t>rs62061720</t>
        </is>
      </c>
      <c r="F1785" t="n">
        <v>0.0376369846</v>
      </c>
      <c r="G1785" t="n">
        <v>0.1187975622010509</v>
      </c>
      <c r="H1785" t="n">
        <v>0.0213686093432969</v>
      </c>
      <c r="I1785" t="n">
        <v>0.0477437960867109</v>
      </c>
      <c r="J1785" t="n">
        <v>0.4594351687135192</v>
      </c>
      <c r="K1785" t="n">
        <v>0.1176693393935948</v>
      </c>
      <c r="L1785" t="b">
        <v>0</v>
      </c>
      <c r="M1785" t="b">
        <v>0</v>
      </c>
      <c r="N1785" t="inlineStr">
        <is>
          <t>alt</t>
        </is>
      </c>
      <c r="O1785" t="n">
        <v>45</v>
      </c>
      <c r="P1785" t="n">
        <v>0.0067</v>
      </c>
      <c r="Q1785" t="n">
        <v>-85</v>
      </c>
      <c r="R1785" t="n">
        <v>0.1046</v>
      </c>
      <c r="S1785">
        <f>IMAGE("https://mitra.stanford.edu/kundaje/oak/projects/neuro-variants/variant_position/credible/roussos_2024/variant_figures/roussos_2024.adolescence.GLU/rs62061720_count_position.png",4,220,900)</f>
        <v/>
      </c>
      <c r="T1785">
        <f>IMAGE("https://mitra.stanford.edu/kundaje/oak/projects/neuro-variants/variant_position/credible/roussos_2024/variant_figures/roussos_2024.adolescence.GLU/rs62061720_profile_position.png",4,220,900)</f>
        <v/>
      </c>
    </row>
    <row r="1786">
      <c r="A1786" t="inlineStr">
        <is>
          <t>chr17</t>
        </is>
      </c>
      <c r="B1786" t="n">
        <v>45936771</v>
      </c>
      <c r="C1786" t="inlineStr">
        <is>
          <t>G</t>
        </is>
      </c>
      <c r="D1786" t="inlineStr">
        <is>
          <t>T</t>
        </is>
      </c>
      <c r="E1786" t="inlineStr">
        <is>
          <t>rs12150460</t>
        </is>
      </c>
      <c r="F1786" t="n">
        <v>0.1035666159999999</v>
      </c>
      <c r="G1786" t="n">
        <v>0.0075652335323869</v>
      </c>
      <c r="H1786" t="n">
        <v>0.0357178507749329</v>
      </c>
      <c r="I1786" t="n">
        <v>0.0044430692617945</v>
      </c>
      <c r="J1786" t="n">
        <v>0.3943188231848025</v>
      </c>
      <c r="K1786" t="n">
        <v>0.1726577548973285</v>
      </c>
      <c r="L1786" t="b">
        <v>1</v>
      </c>
      <c r="M1786" t="b">
        <v>1</v>
      </c>
      <c r="N1786" t="inlineStr">
        <is>
          <t>alt</t>
        </is>
      </c>
      <c r="O1786" t="n">
        <v>-80</v>
      </c>
      <c r="P1786" t="n">
        <v>0.004837</v>
      </c>
      <c r="Q1786" t="n">
        <v>45</v>
      </c>
      <c r="R1786" t="n">
        <v>0.01715</v>
      </c>
      <c r="S1786">
        <f>IMAGE("https://mitra.stanford.edu/kundaje/oak/projects/neuro-variants/variant_position/credible/roussos_2024/variant_figures/roussos_2024.adolescence.GLU/rs12150460_count_position.png",4,220,900)</f>
        <v/>
      </c>
      <c r="T1786">
        <f>IMAGE("https://mitra.stanford.edu/kundaje/oak/projects/neuro-variants/variant_position/credible/roussos_2024/variant_figures/roussos_2024.adolescence.GLU/rs12150460_profile_position.png",4,220,900)</f>
        <v/>
      </c>
    </row>
    <row r="1787">
      <c r="A1787" t="inlineStr">
        <is>
          <t>chr17</t>
        </is>
      </c>
      <c r="B1787" t="n">
        <v>45940575</v>
      </c>
      <c r="C1787" t="inlineStr">
        <is>
          <t>G</t>
        </is>
      </c>
      <c r="D1787" t="inlineStr">
        <is>
          <t>T</t>
        </is>
      </c>
      <c r="E1787" t="inlineStr">
        <is>
          <t>rs62061732</t>
        </is>
      </c>
      <c r="F1787" t="n">
        <v>0.0140748847399999</v>
      </c>
      <c r="G1787" t="n">
        <v>0.4045161534095081</v>
      </c>
      <c r="H1787" t="n">
        <v>0.0126622539882255</v>
      </c>
      <c r="I1787" t="n">
        <v>0.2963558129485499</v>
      </c>
      <c r="J1787" t="n">
        <v>0.2860263911810303</v>
      </c>
      <c r="K1787" t="n">
        <v>0.2890851658366679</v>
      </c>
      <c r="L1787" t="b">
        <v>0</v>
      </c>
      <c r="M1787" t="b">
        <v>0</v>
      </c>
      <c r="N1787" t="inlineStr">
        <is>
          <t>alt</t>
        </is>
      </c>
      <c r="O1787" t="n">
        <v>90</v>
      </c>
      <c r="P1787" t="n">
        <v>0.01443</v>
      </c>
      <c r="Q1787" t="n">
        <v>-15</v>
      </c>
      <c r="R1787" t="n">
        <v>0.0301</v>
      </c>
      <c r="S1787">
        <f>IMAGE("https://mitra.stanford.edu/kundaje/oak/projects/neuro-variants/variant_position/credible/roussos_2024/variant_figures/roussos_2024.adolescence.GLU/rs62061732_count_position.png",4,220,900)</f>
        <v/>
      </c>
      <c r="T1787">
        <f>IMAGE("https://mitra.stanford.edu/kundaje/oak/projects/neuro-variants/variant_position/credible/roussos_2024/variant_figures/roussos_2024.adolescence.GLU/rs62061732_profile_position.png",4,220,900)</f>
        <v/>
      </c>
    </row>
    <row r="1788">
      <c r="A1788" t="inlineStr">
        <is>
          <t>chr17</t>
        </is>
      </c>
      <c r="B1788" t="n">
        <v>45941033</v>
      </c>
      <c r="C1788" t="inlineStr">
        <is>
          <t>A</t>
        </is>
      </c>
      <c r="D1788" t="inlineStr">
        <is>
          <t>G</t>
        </is>
      </c>
      <c r="E1788" t="inlineStr">
        <is>
          <t>rs62061733</t>
        </is>
      </c>
      <c r="F1788" t="n">
        <v>-0.02768518754</v>
      </c>
      <c r="G1788" t="n">
        <v>0.2176358532877003</v>
      </c>
      <c r="H1788" t="n">
        <v>0.0190336699915539</v>
      </c>
      <c r="I1788" t="n">
        <v>0.07301569945332009</v>
      </c>
      <c r="J1788" t="n">
        <v>0.2864621957405462</v>
      </c>
      <c r="K1788" t="n">
        <v>0.2882429135669401</v>
      </c>
      <c r="L1788" t="b">
        <v>0</v>
      </c>
      <c r="M1788" t="b">
        <v>0</v>
      </c>
      <c r="N1788" t="inlineStr">
        <is>
          <t>ref</t>
        </is>
      </c>
      <c r="O1788" t="n">
        <v>85</v>
      </c>
      <c r="P1788" t="n">
        <v>0.0303</v>
      </c>
      <c r="Q1788" t="n">
        <v>0</v>
      </c>
      <c r="R1788" t="n">
        <v>0</v>
      </c>
      <c r="S1788">
        <f>IMAGE("https://mitra.stanford.edu/kundaje/oak/projects/neuro-variants/variant_position/credible/roussos_2024/variant_figures/roussos_2024.adolescence.GLU/rs62061733_count_position.png",4,220,900)</f>
        <v/>
      </c>
      <c r="T1788">
        <f>IMAGE("https://mitra.stanford.edu/kundaje/oak/projects/neuro-variants/variant_position/credible/roussos_2024/variant_figures/roussos_2024.adolescence.GLU/rs62061733_profile_position.png",4,220,900)</f>
        <v/>
      </c>
    </row>
    <row r="1789">
      <c r="A1789" t="inlineStr">
        <is>
          <t>chr17</t>
        </is>
      </c>
      <c r="B1789" t="n">
        <v>45942314</v>
      </c>
      <c r="C1789" t="inlineStr">
        <is>
          <t>T</t>
        </is>
      </c>
      <c r="D1789" t="inlineStr">
        <is>
          <t>C</t>
        </is>
      </c>
      <c r="E1789" t="inlineStr">
        <is>
          <t>rs62062770</t>
        </is>
      </c>
      <c r="F1789" t="n">
        <v>0.009057846939999999</v>
      </c>
      <c r="G1789" t="n">
        <v>0.5350631226606445</v>
      </c>
      <c r="H1789" t="n">
        <v>0.0107483111846297</v>
      </c>
      <c r="I1789" t="n">
        <v>0.434941446105405</v>
      </c>
      <c r="J1789" t="n">
        <v>0.2980574547584856</v>
      </c>
      <c r="K1789" t="n">
        <v>0.2732517623537681</v>
      </c>
      <c r="L1789" t="b">
        <v>0</v>
      </c>
      <c r="M1789" t="b">
        <v>0</v>
      </c>
      <c r="N1789" t="inlineStr">
        <is>
          <t>alt</t>
        </is>
      </c>
      <c r="O1789" t="n">
        <v>-20</v>
      </c>
      <c r="P1789" t="n">
        <v>0.001379</v>
      </c>
      <c r="Q1789" t="n">
        <v>100</v>
      </c>
      <c r="R1789" t="n">
        <v>0.1343</v>
      </c>
      <c r="S1789">
        <f>IMAGE("https://mitra.stanford.edu/kundaje/oak/projects/neuro-variants/variant_position/credible/roussos_2024/variant_figures/roussos_2024.adolescence.GLU/rs62062770_count_position.png",4,220,900)</f>
        <v/>
      </c>
      <c r="T1789">
        <f>IMAGE("https://mitra.stanford.edu/kundaje/oak/projects/neuro-variants/variant_position/credible/roussos_2024/variant_figures/roussos_2024.adolescence.GLU/rs62062770_profile_position.png",4,220,900)</f>
        <v/>
      </c>
    </row>
    <row r="1790">
      <c r="A1790" t="inlineStr">
        <is>
          <t>chr17</t>
        </is>
      </c>
      <c r="B1790" t="n">
        <v>45942948</v>
      </c>
      <c r="C1790" t="inlineStr">
        <is>
          <t>C</t>
        </is>
      </c>
      <c r="D1790" t="inlineStr">
        <is>
          <t>T</t>
        </is>
      </c>
      <c r="E1790" t="inlineStr">
        <is>
          <t>rs62062772</t>
        </is>
      </c>
      <c r="F1790" t="n">
        <v>-0.0053749939799999</v>
      </c>
      <c r="G1790" t="n">
        <v>0.7094850764581087</v>
      </c>
      <c r="H1790" t="n">
        <v>0.008169045298022599</v>
      </c>
      <c r="I1790" t="n">
        <v>0.7791411258716567</v>
      </c>
      <c r="J1790" t="n">
        <v>0.3367411821020069</v>
      </c>
      <c r="K1790" t="n">
        <v>0.2303756532350471</v>
      </c>
      <c r="L1790" t="b">
        <v>0</v>
      </c>
      <c r="M1790" t="b">
        <v>0</v>
      </c>
      <c r="N1790" t="inlineStr">
        <is>
          <t>ref</t>
        </is>
      </c>
      <c r="O1790" t="n">
        <v>100</v>
      </c>
      <c r="P1790" t="n">
        <v>0.00451</v>
      </c>
      <c r="Q1790" t="n">
        <v>25</v>
      </c>
      <c r="R1790" t="n">
        <v>0.01013</v>
      </c>
      <c r="S1790">
        <f>IMAGE("https://mitra.stanford.edu/kundaje/oak/projects/neuro-variants/variant_position/credible/roussos_2024/variant_figures/roussos_2024.adolescence.GLU/rs62062772_count_position.png",4,220,900)</f>
        <v/>
      </c>
      <c r="T1790">
        <f>IMAGE("https://mitra.stanford.edu/kundaje/oak/projects/neuro-variants/variant_position/credible/roussos_2024/variant_figures/roussos_2024.adolescence.GLU/rs62062772_profile_position.png",4,220,900)</f>
        <v/>
      </c>
    </row>
    <row r="1791">
      <c r="A1791" t="inlineStr">
        <is>
          <t>chr17</t>
        </is>
      </c>
      <c r="B1791" t="n">
        <v>45944953</v>
      </c>
      <c r="C1791" t="inlineStr">
        <is>
          <t>G</t>
        </is>
      </c>
      <c r="D1791" t="inlineStr">
        <is>
          <t>A</t>
        </is>
      </c>
      <c r="E1791" t="inlineStr">
        <is>
          <t>rs75839508</t>
        </is>
      </c>
      <c r="F1791" t="n">
        <v>-0.0578451152</v>
      </c>
      <c r="G1791" t="n">
        <v>0.0423453689274758</v>
      </c>
      <c r="H1791" t="n">
        <v>0.0145797367887833</v>
      </c>
      <c r="I1791" t="n">
        <v>0.1710618067172309</v>
      </c>
      <c r="J1791" t="n">
        <v>0.5196890784519651</v>
      </c>
      <c r="K1791" t="n">
        <v>0.07581259514118301</v>
      </c>
      <c r="L1791" t="b">
        <v>0</v>
      </c>
      <c r="M1791" t="b">
        <v>0</v>
      </c>
      <c r="N1791" t="inlineStr">
        <is>
          <t>ref</t>
        </is>
      </c>
      <c r="O1791" t="n">
        <v>35</v>
      </c>
      <c r="P1791" t="n">
        <v>0.006172</v>
      </c>
      <c r="Q1791" t="n">
        <v>35</v>
      </c>
      <c r="R1791" t="n">
        <v>0.146</v>
      </c>
      <c r="S1791">
        <f>IMAGE("https://mitra.stanford.edu/kundaje/oak/projects/neuro-variants/variant_position/credible/roussos_2024/variant_figures/roussos_2024.adolescence.GLU/rs75839508_count_position.png",4,220,900)</f>
        <v/>
      </c>
      <c r="T1791">
        <f>IMAGE("https://mitra.stanford.edu/kundaje/oak/projects/neuro-variants/variant_position/credible/roussos_2024/variant_figures/roussos_2024.adolescence.GLU/rs75839508_profile_position.png",4,220,900)</f>
        <v/>
      </c>
    </row>
    <row r="1792">
      <c r="A1792" t="inlineStr">
        <is>
          <t>chr17</t>
        </is>
      </c>
      <c r="B1792" t="n">
        <v>45947196</v>
      </c>
      <c r="C1792" t="inlineStr">
        <is>
          <t>G</t>
        </is>
      </c>
      <c r="D1792" t="inlineStr">
        <is>
          <t>T</t>
        </is>
      </c>
      <c r="E1792" t="inlineStr">
        <is>
          <t>rs62062785</t>
        </is>
      </c>
      <c r="F1792" t="n">
        <v>-0.0821414578</v>
      </c>
      <c r="G1792" t="n">
        <v>0.0203729031110279</v>
      </c>
      <c r="H1792" t="n">
        <v>0.0259845817434574</v>
      </c>
      <c r="I1792" t="n">
        <v>0.0255918389428206</v>
      </c>
      <c r="J1792" t="n">
        <v>0.2154246236720463</v>
      </c>
      <c r="K1792" t="n">
        <v>0.3764533281491857</v>
      </c>
      <c r="L1792" t="b">
        <v>1</v>
      </c>
      <c r="M1792" t="b">
        <v>0</v>
      </c>
      <c r="N1792" t="inlineStr">
        <is>
          <t>ref</t>
        </is>
      </c>
      <c r="O1792" t="n">
        <v>80</v>
      </c>
      <c r="P1792" t="n">
        <v>0.02345</v>
      </c>
      <c r="Q1792" t="n">
        <v>-85</v>
      </c>
      <c r="R1792" t="n">
        <v>0.056</v>
      </c>
      <c r="S1792">
        <f>IMAGE("https://mitra.stanford.edu/kundaje/oak/projects/neuro-variants/variant_position/credible/roussos_2024/variant_figures/roussos_2024.adolescence.GLU/rs62062785_count_position.png",4,220,900)</f>
        <v/>
      </c>
      <c r="T1792">
        <f>IMAGE("https://mitra.stanford.edu/kundaje/oak/projects/neuro-variants/variant_position/credible/roussos_2024/variant_figures/roussos_2024.adolescence.GLU/rs62062785_profile_position.png",4,220,900)</f>
        <v/>
      </c>
    </row>
    <row r="1793">
      <c r="A1793" t="inlineStr">
        <is>
          <t>chr17</t>
        </is>
      </c>
      <c r="B1793" t="n">
        <v>45947294</v>
      </c>
      <c r="C1793" t="inlineStr">
        <is>
          <t>G</t>
        </is>
      </c>
      <c r="D1793" t="inlineStr">
        <is>
          <t>C</t>
        </is>
      </c>
      <c r="E1793" t="inlineStr">
        <is>
          <t>rs62062786</t>
        </is>
      </c>
      <c r="F1793" t="n">
        <v>-0.0296977816</v>
      </c>
      <c r="G1793" t="n">
        <v>0.1848097046663229</v>
      </c>
      <c r="H1793" t="n">
        <v>0.0147349291383557</v>
      </c>
      <c r="I1793" t="n">
        <v>0.1991889824464436</v>
      </c>
      <c r="J1793" t="n">
        <v>0.1963863943245386</v>
      </c>
      <c r="K1793" t="n">
        <v>0.4042537098633225</v>
      </c>
      <c r="L1793" t="b">
        <v>0</v>
      </c>
      <c r="M1793" t="b">
        <v>0</v>
      </c>
      <c r="N1793" t="inlineStr">
        <is>
          <t>ref</t>
        </is>
      </c>
      <c r="O1793" t="n">
        <v>-5</v>
      </c>
      <c r="P1793" t="n">
        <v>0.000473</v>
      </c>
      <c r="Q1793" t="n">
        <v>-10</v>
      </c>
      <c r="R1793" t="n">
        <v>0.0126</v>
      </c>
      <c r="S1793">
        <f>IMAGE("https://mitra.stanford.edu/kundaje/oak/projects/neuro-variants/variant_position/credible/roussos_2024/variant_figures/roussos_2024.adolescence.GLU/rs62062786_count_position.png",4,220,900)</f>
        <v/>
      </c>
      <c r="T1793">
        <f>IMAGE("https://mitra.stanford.edu/kundaje/oak/projects/neuro-variants/variant_position/credible/roussos_2024/variant_figures/roussos_2024.adolescence.GLU/rs62062786_profile_position.png",4,220,900)</f>
        <v/>
      </c>
    </row>
    <row r="1794">
      <c r="A1794" t="inlineStr">
        <is>
          <t>chr17</t>
        </is>
      </c>
      <c r="B1794" t="n">
        <v>45949182</v>
      </c>
      <c r="C1794" t="inlineStr">
        <is>
          <t>T</t>
        </is>
      </c>
      <c r="D1794" t="inlineStr">
        <is>
          <t>C</t>
        </is>
      </c>
      <c r="E1794" t="inlineStr">
        <is>
          <t>rs242561</t>
        </is>
      </c>
      <c r="F1794" t="n">
        <v>0.036367313</v>
      </c>
      <c r="G1794" t="n">
        <v>0.1190021966667866</v>
      </c>
      <c r="H1794" t="n">
        <v>0.0129304368891745</v>
      </c>
      <c r="I1794" t="n">
        <v>0.2562976947382461</v>
      </c>
      <c r="J1794" t="n">
        <v>0.5821020068442749</v>
      </c>
      <c r="K1794" t="n">
        <v>0.0455303575448729</v>
      </c>
      <c r="L1794" t="b">
        <v>0</v>
      </c>
      <c r="M1794" t="b">
        <v>0</v>
      </c>
      <c r="N1794" t="inlineStr">
        <is>
          <t>alt</t>
        </is>
      </c>
      <c r="O1794" t="n">
        <v>95</v>
      </c>
      <c r="P1794" t="n">
        <v>0.002258</v>
      </c>
      <c r="Q1794" t="n">
        <v>95</v>
      </c>
      <c r="R1794" t="n">
        <v>0.05396</v>
      </c>
      <c r="S1794">
        <f>IMAGE("https://mitra.stanford.edu/kundaje/oak/projects/neuro-variants/variant_position/credible/roussos_2024/variant_figures/roussos_2024.adolescence.GLU/rs242561_count_position.png",4,220,900)</f>
        <v/>
      </c>
      <c r="T1794">
        <f>IMAGE("https://mitra.stanford.edu/kundaje/oak/projects/neuro-variants/variant_position/credible/roussos_2024/variant_figures/roussos_2024.adolescence.GLU/rs242561_profile_position.png",4,220,900)</f>
        <v/>
      </c>
    </row>
    <row r="1795">
      <c r="A1795" t="inlineStr">
        <is>
          <t>chr17</t>
        </is>
      </c>
      <c r="B1795" t="n">
        <v>45949724</v>
      </c>
      <c r="C1795" t="inlineStr">
        <is>
          <t>C</t>
        </is>
      </c>
      <c r="D1795" t="inlineStr">
        <is>
          <t>T</t>
        </is>
      </c>
      <c r="E1795" t="inlineStr">
        <is>
          <t>rs62062795</t>
        </is>
      </c>
      <c r="F1795" t="n">
        <v>0.114962872</v>
      </c>
      <c r="G1795" t="n">
        <v>0.0059316308633261</v>
      </c>
      <c r="H1795" t="n">
        <v>0.0320642430632112</v>
      </c>
      <c r="I1795" t="n">
        <v>0.0081036243891558</v>
      </c>
      <c r="J1795" t="n">
        <v>0.5494838216487701</v>
      </c>
      <c r="K1795" t="n">
        <v>0.0604019635411922</v>
      </c>
      <c r="L1795" t="b">
        <v>1</v>
      </c>
      <c r="M1795" t="b">
        <v>1</v>
      </c>
      <c r="N1795" t="inlineStr">
        <is>
          <t>alt</t>
        </is>
      </c>
      <c r="O1795" t="n">
        <v>-90</v>
      </c>
      <c r="P1795" t="n">
        <v>0.008545000000000001</v>
      </c>
      <c r="Q1795" t="n">
        <v>20</v>
      </c>
      <c r="R1795" t="n">
        <v>0.01869</v>
      </c>
      <c r="S1795">
        <f>IMAGE("https://mitra.stanford.edu/kundaje/oak/projects/neuro-variants/variant_position/credible/roussos_2024/variant_figures/roussos_2024.adolescence.GLU/rs62062795_count_position.png",4,220,900)</f>
        <v/>
      </c>
      <c r="T1795">
        <f>IMAGE("https://mitra.stanford.edu/kundaje/oak/projects/neuro-variants/variant_position/credible/roussos_2024/variant_figures/roussos_2024.adolescence.GLU/rs62062795_profile_position.png",4,220,900)</f>
        <v/>
      </c>
    </row>
    <row r="1796">
      <c r="A1796" t="inlineStr">
        <is>
          <t>chr17</t>
        </is>
      </c>
      <c r="B1796" t="n">
        <v>45950017</v>
      </c>
      <c r="C1796" t="inlineStr">
        <is>
          <t>A</t>
        </is>
      </c>
      <c r="D1796" t="inlineStr">
        <is>
          <t>G</t>
        </is>
      </c>
      <c r="E1796" t="inlineStr">
        <is>
          <t>rs62062798</t>
        </is>
      </c>
      <c r="F1796" t="n">
        <v>0.06275371199999991</v>
      </c>
      <c r="G1796" t="n">
        <v>0.0362955193624675</v>
      </c>
      <c r="H1796" t="n">
        <v>0.0162708159076594</v>
      </c>
      <c r="I1796" t="n">
        <v>0.1372688827553182</v>
      </c>
      <c r="J1796" t="n">
        <v>0.3995241871530531</v>
      </c>
      <c r="K1796" t="n">
        <v>0.1672952599545003</v>
      </c>
      <c r="L1796" t="b">
        <v>0</v>
      </c>
      <c r="M1796" t="b">
        <v>0</v>
      </c>
      <c r="N1796" t="inlineStr">
        <is>
          <t>alt</t>
        </is>
      </c>
      <c r="O1796" t="n">
        <v>70</v>
      </c>
      <c r="P1796" t="n">
        <v>0.004623</v>
      </c>
      <c r="Q1796" t="n">
        <v>-45</v>
      </c>
      <c r="R1796" t="n">
        <v>0.06235</v>
      </c>
      <c r="S1796">
        <f>IMAGE("https://mitra.stanford.edu/kundaje/oak/projects/neuro-variants/variant_position/credible/roussos_2024/variant_figures/roussos_2024.adolescence.GLU/rs62062798_count_position.png",4,220,900)</f>
        <v/>
      </c>
      <c r="T1796">
        <f>IMAGE("https://mitra.stanford.edu/kundaje/oak/projects/neuro-variants/variant_position/credible/roussos_2024/variant_figures/roussos_2024.adolescence.GLU/rs62062798_profile_position.png",4,220,900)</f>
        <v/>
      </c>
    </row>
    <row r="1797">
      <c r="A1797" t="inlineStr">
        <is>
          <t>chr17</t>
        </is>
      </c>
      <c r="B1797" t="n">
        <v>45950645</v>
      </c>
      <c r="C1797" t="inlineStr">
        <is>
          <t>T</t>
        </is>
      </c>
      <c r="D1797" t="inlineStr">
        <is>
          <t>G</t>
        </is>
      </c>
      <c r="E1797" t="inlineStr">
        <is>
          <t>rs62062801</t>
        </is>
      </c>
      <c r="F1797" t="n">
        <v>0.00290392334</v>
      </c>
      <c r="G1797" t="n">
        <v>0.7767389791056065</v>
      </c>
      <c r="H1797" t="n">
        <v>0.0213618305183774</v>
      </c>
      <c r="I1797" t="n">
        <v>0.043360802935754</v>
      </c>
      <c r="J1797" t="n">
        <v>0.2432032349558122</v>
      </c>
      <c r="K1797" t="n">
        <v>0.3421237770098855</v>
      </c>
      <c r="L1797" t="b">
        <v>0</v>
      </c>
      <c r="M1797" t="b">
        <v>0</v>
      </c>
      <c r="N1797" t="inlineStr">
        <is>
          <t>alt</t>
        </is>
      </c>
      <c r="O1797" t="n">
        <v>80</v>
      </c>
      <c r="P1797" t="n">
        <v>0.0121</v>
      </c>
      <c r="Q1797" t="n">
        <v>-75</v>
      </c>
      <c r="R1797" t="n">
        <v>0.03125</v>
      </c>
      <c r="S1797">
        <f>IMAGE("https://mitra.stanford.edu/kundaje/oak/projects/neuro-variants/variant_position/credible/roussos_2024/variant_figures/roussos_2024.adolescence.GLU/rs62062801_count_position.png",4,220,900)</f>
        <v/>
      </c>
      <c r="T1797">
        <f>IMAGE("https://mitra.stanford.edu/kundaje/oak/projects/neuro-variants/variant_position/credible/roussos_2024/variant_figures/roussos_2024.adolescence.GLU/rs62062801_profile_position.png",4,220,900)</f>
        <v/>
      </c>
    </row>
    <row r="1798">
      <c r="A1798" t="inlineStr">
        <is>
          <t>chr17</t>
        </is>
      </c>
      <c r="B1798" t="n">
        <v>45950679</v>
      </c>
      <c r="C1798" t="inlineStr">
        <is>
          <t>G</t>
        </is>
      </c>
      <c r="D1798" t="inlineStr">
        <is>
          <t>T</t>
        </is>
      </c>
      <c r="E1798" t="inlineStr">
        <is>
          <t>rs62062802</t>
        </is>
      </c>
      <c r="F1798" t="n">
        <v>-0.00384430546</v>
      </c>
      <c r="G1798" t="n">
        <v>0.7380702279119277</v>
      </c>
      <c r="H1798" t="n">
        <v>0.0306166114165609</v>
      </c>
      <c r="I1798" t="n">
        <v>0.0083521486215187</v>
      </c>
      <c r="J1798" t="n">
        <v>0.247784183866658</v>
      </c>
      <c r="K1798" t="n">
        <v>0.3359056293848847</v>
      </c>
      <c r="L1798" t="b">
        <v>1</v>
      </c>
      <c r="M1798" t="b">
        <v>1</v>
      </c>
      <c r="N1798" t="inlineStr">
        <is>
          <t>ref</t>
        </is>
      </c>
      <c r="O1798" t="n">
        <v>45</v>
      </c>
      <c r="P1798" t="n">
        <v>0.009384</v>
      </c>
      <c r="Q1798" t="n">
        <v>-100</v>
      </c>
      <c r="R1798" t="n">
        <v>0.0896</v>
      </c>
      <c r="S1798">
        <f>IMAGE("https://mitra.stanford.edu/kundaje/oak/projects/neuro-variants/variant_position/credible/roussos_2024/variant_figures/roussos_2024.adolescence.GLU/rs62062802_count_position.png",4,220,900)</f>
        <v/>
      </c>
      <c r="T1798">
        <f>IMAGE("https://mitra.stanford.edu/kundaje/oak/projects/neuro-variants/variant_position/credible/roussos_2024/variant_figures/roussos_2024.adolescence.GLU/rs62062802_profile_position.png",4,220,900)</f>
        <v/>
      </c>
    </row>
    <row r="1799">
      <c r="A1799" t="inlineStr">
        <is>
          <t>chr17</t>
        </is>
      </c>
      <c r="B1799" t="n">
        <v>45955636</v>
      </c>
      <c r="C1799" t="inlineStr">
        <is>
          <t>T</t>
        </is>
      </c>
      <c r="D1799" t="inlineStr">
        <is>
          <t>C</t>
        </is>
      </c>
      <c r="E1799" t="inlineStr">
        <is>
          <t>rs62063262</t>
        </is>
      </c>
      <c r="F1799" t="n">
        <v>0.0698644782</v>
      </c>
      <c r="G1799" t="n">
        <v>0.0266483703239407</v>
      </c>
      <c r="H1799" t="n">
        <v>0.017557495202182</v>
      </c>
      <c r="I1799" t="n">
        <v>0.0991279913683034</v>
      </c>
      <c r="J1799" t="n">
        <v>0.4494588164691258</v>
      </c>
      <c r="K1799" t="n">
        <v>0.1252719606882984</v>
      </c>
      <c r="L1799" t="b">
        <v>0</v>
      </c>
      <c r="M1799" t="b">
        <v>0</v>
      </c>
      <c r="N1799" t="inlineStr">
        <is>
          <t>alt</t>
        </is>
      </c>
      <c r="O1799" t="n">
        <v>100</v>
      </c>
      <c r="P1799" t="n">
        <v>0.005302</v>
      </c>
      <c r="Q1799" t="n">
        <v>-90</v>
      </c>
      <c r="R1799" t="n">
        <v>0.1388</v>
      </c>
      <c r="S1799">
        <f>IMAGE("https://mitra.stanford.edu/kundaje/oak/projects/neuro-variants/variant_position/credible/roussos_2024/variant_figures/roussos_2024.adolescence.GLU/rs62063262_count_position.png",4,220,900)</f>
        <v/>
      </c>
      <c r="T1799">
        <f>IMAGE("https://mitra.stanford.edu/kundaje/oak/projects/neuro-variants/variant_position/credible/roussos_2024/variant_figures/roussos_2024.adolescence.GLU/rs62063262_profile_position.png",4,220,900)</f>
        <v/>
      </c>
    </row>
    <row r="1800">
      <c r="A1800" t="inlineStr">
        <is>
          <t>chr17</t>
        </is>
      </c>
      <c r="B1800" t="n">
        <v>45957467</v>
      </c>
      <c r="C1800" t="inlineStr">
        <is>
          <t>G</t>
        </is>
      </c>
      <c r="D1800" t="inlineStr">
        <is>
          <t>A</t>
        </is>
      </c>
      <c r="E1800" t="inlineStr">
        <is>
          <t>rs62063269</t>
        </is>
      </c>
      <c r="F1800" t="n">
        <v>-0.001486129988</v>
      </c>
      <c r="G1800" t="n">
        <v>0.9176852571718817</v>
      </c>
      <c r="H1800" t="n">
        <v>0.0101131082036587</v>
      </c>
      <c r="I1800" t="n">
        <v>0.5285623810228507</v>
      </c>
      <c r="J1800" t="n">
        <v>0.266749540976345</v>
      </c>
      <c r="K1800" t="n">
        <v>0.3102502472352502</v>
      </c>
      <c r="L1800" t="b">
        <v>0</v>
      </c>
      <c r="M1800" t="b">
        <v>0</v>
      </c>
      <c r="N1800" t="inlineStr">
        <is>
          <t>ref</t>
        </is>
      </c>
      <c r="O1800" t="n">
        <v>100</v>
      </c>
      <c r="P1800" t="n">
        <v>0.03046</v>
      </c>
      <c r="Q1800" t="n">
        <v>100</v>
      </c>
      <c r="R1800" t="n">
        <v>0.1821</v>
      </c>
      <c r="S1800">
        <f>IMAGE("https://mitra.stanford.edu/kundaje/oak/projects/neuro-variants/variant_position/credible/roussos_2024/variant_figures/roussos_2024.adolescence.GLU/rs62063269_count_position.png",4,220,900)</f>
        <v/>
      </c>
      <c r="T1800">
        <f>IMAGE("https://mitra.stanford.edu/kundaje/oak/projects/neuro-variants/variant_position/credible/roussos_2024/variant_figures/roussos_2024.adolescence.GLU/rs62063269_profile_position.png",4,220,900)</f>
        <v/>
      </c>
    </row>
    <row r="1801">
      <c r="A1801" t="inlineStr">
        <is>
          <t>chr17</t>
        </is>
      </c>
      <c r="B1801" t="n">
        <v>45957493</v>
      </c>
      <c r="C1801" t="inlineStr">
        <is>
          <t>A</t>
        </is>
      </c>
      <c r="D1801" t="inlineStr">
        <is>
          <t>G</t>
        </is>
      </c>
      <c r="E1801" t="inlineStr">
        <is>
          <t>rs17571809</t>
        </is>
      </c>
      <c r="F1801" t="n">
        <v>-0.0003392025859999</v>
      </c>
      <c r="G1801" t="n">
        <v>0.8244234438935516</v>
      </c>
      <c r="H1801" t="n">
        <v>0.0124078503938827</v>
      </c>
      <c r="I1801" t="n">
        <v>0.3057397814773241</v>
      </c>
      <c r="J1801" t="n">
        <v>0.2673539518900343</v>
      </c>
      <c r="K1801" t="n">
        <v>0.3095248173887518</v>
      </c>
      <c r="L1801" t="b">
        <v>0</v>
      </c>
      <c r="M1801" t="b">
        <v>0</v>
      </c>
      <c r="N1801" t="inlineStr">
        <is>
          <t>ref</t>
        </is>
      </c>
      <c r="O1801" t="n">
        <v>100</v>
      </c>
      <c r="P1801" t="n">
        <v>0.04337</v>
      </c>
      <c r="Q1801" t="n">
        <v>100</v>
      </c>
      <c r="R1801" t="n">
        <v>0.2283</v>
      </c>
      <c r="S1801">
        <f>IMAGE("https://mitra.stanford.edu/kundaje/oak/projects/neuro-variants/variant_position/credible/roussos_2024/variant_figures/roussos_2024.adolescence.GLU/rs17571809_count_position.png",4,220,900)</f>
        <v/>
      </c>
      <c r="T1801">
        <f>IMAGE("https://mitra.stanford.edu/kundaje/oak/projects/neuro-variants/variant_position/credible/roussos_2024/variant_figures/roussos_2024.adolescence.GLU/rs17571809_profile_position.png",4,220,900)</f>
        <v/>
      </c>
    </row>
    <row r="1802">
      <c r="A1802" t="inlineStr">
        <is>
          <t>chr17</t>
        </is>
      </c>
      <c r="B1802" t="n">
        <v>45958150</v>
      </c>
      <c r="C1802" t="inlineStr">
        <is>
          <t>G</t>
        </is>
      </c>
      <c r="D1802" t="inlineStr">
        <is>
          <t>A</t>
        </is>
      </c>
      <c r="E1802" t="inlineStr">
        <is>
          <t>rs77555455</t>
        </is>
      </c>
      <c r="F1802" t="n">
        <v>-0.0038871842199999</v>
      </c>
      <c r="G1802" t="n">
        <v>0.7790483184013749</v>
      </c>
      <c r="H1802" t="n">
        <v>0.0121648891887768</v>
      </c>
      <c r="I1802" t="n">
        <v>0.3206954516023008</v>
      </c>
      <c r="J1802" t="n">
        <v>0.1126690528752383</v>
      </c>
      <c r="K1802" t="n">
        <v>0.5474384610026584</v>
      </c>
      <c r="L1802" t="b">
        <v>0</v>
      </c>
      <c r="M1802" t="b">
        <v>0</v>
      </c>
      <c r="N1802" t="inlineStr">
        <is>
          <t>ref</t>
        </is>
      </c>
      <c r="O1802" t="n">
        <v>-100</v>
      </c>
      <c r="P1802" t="n">
        <v>0.003265</v>
      </c>
      <c r="Q1802" t="n">
        <v>-100</v>
      </c>
      <c r="R1802" t="n">
        <v>0.01843</v>
      </c>
      <c r="S1802">
        <f>IMAGE("https://mitra.stanford.edu/kundaje/oak/projects/neuro-variants/variant_position/credible/roussos_2024/variant_figures/roussos_2024.adolescence.GLU/rs77555455_count_position.png",4,220,900)</f>
        <v/>
      </c>
      <c r="T1802">
        <f>IMAGE("https://mitra.stanford.edu/kundaje/oak/projects/neuro-variants/variant_position/credible/roussos_2024/variant_figures/roussos_2024.adolescence.GLU/rs77555455_profile_position.png",4,220,900)</f>
        <v/>
      </c>
    </row>
    <row r="1803">
      <c r="A1803" t="inlineStr">
        <is>
          <t>chr17</t>
        </is>
      </c>
      <c r="B1803" t="n">
        <v>45963457</v>
      </c>
      <c r="C1803" t="inlineStr">
        <is>
          <t>C</t>
        </is>
      </c>
      <c r="D1803" t="inlineStr">
        <is>
          <t>T</t>
        </is>
      </c>
      <c r="E1803" t="inlineStr">
        <is>
          <t>rs55711941</t>
        </is>
      </c>
      <c r="F1803" t="n">
        <v>-0.0342866568</v>
      </c>
      <c r="G1803" t="n">
        <v>0.1475429073618062</v>
      </c>
      <c r="H1803" t="n">
        <v>0.0098145134756623</v>
      </c>
      <c r="I1803" t="n">
        <v>0.5670858535715185</v>
      </c>
      <c r="J1803" t="n">
        <v>0.36386108551057</v>
      </c>
      <c r="K1803" t="n">
        <v>0.1997583283339799</v>
      </c>
      <c r="L1803" t="b">
        <v>0</v>
      </c>
      <c r="M1803" t="b">
        <v>0</v>
      </c>
      <c r="N1803" t="inlineStr">
        <is>
          <t>ref</t>
        </is>
      </c>
      <c r="O1803" t="n">
        <v>50</v>
      </c>
      <c r="P1803" t="n">
        <v>0.0239</v>
      </c>
      <c r="Q1803" t="n">
        <v>-85</v>
      </c>
      <c r="R1803" t="n">
        <v>0.05615</v>
      </c>
      <c r="S1803">
        <f>IMAGE("https://mitra.stanford.edu/kundaje/oak/projects/neuro-variants/variant_position/credible/roussos_2024/variant_figures/roussos_2024.adolescence.GLU/rs55711941_count_position.png",4,220,900)</f>
        <v/>
      </c>
      <c r="T1803">
        <f>IMAGE("https://mitra.stanford.edu/kundaje/oak/projects/neuro-variants/variant_position/credible/roussos_2024/variant_figures/roussos_2024.adolescence.GLU/rs55711941_profile_position.png",4,220,900)</f>
        <v/>
      </c>
    </row>
    <row r="1804">
      <c r="A1804" t="inlineStr">
        <is>
          <t>chr17</t>
        </is>
      </c>
      <c r="B1804" t="n">
        <v>45963735</v>
      </c>
      <c r="C1804" t="inlineStr">
        <is>
          <t>T</t>
        </is>
      </c>
      <c r="D1804" t="inlineStr">
        <is>
          <t>C</t>
        </is>
      </c>
      <c r="E1804" t="inlineStr">
        <is>
          <t>rs55709241</t>
        </is>
      </c>
      <c r="F1804" t="n">
        <v>0.0708406088</v>
      </c>
      <c r="G1804" t="n">
        <v>0.0253941261635399</v>
      </c>
      <c r="H1804" t="n">
        <v>0.0138806186502037</v>
      </c>
      <c r="I1804" t="n">
        <v>0.2128448215923637</v>
      </c>
      <c r="J1804" t="n">
        <v>0.4569832322409642</v>
      </c>
      <c r="K1804" t="n">
        <v>0.1191689404647906</v>
      </c>
      <c r="L1804" t="b">
        <v>0</v>
      </c>
      <c r="M1804" t="b">
        <v>0</v>
      </c>
      <c r="N1804" t="inlineStr">
        <is>
          <t>alt</t>
        </is>
      </c>
      <c r="O1804" t="n">
        <v>-45</v>
      </c>
      <c r="P1804" t="n">
        <v>0.002792</v>
      </c>
      <c r="Q1804" t="n">
        <v>15</v>
      </c>
      <c r="R1804" t="n">
        <v>0.01416</v>
      </c>
      <c r="S1804">
        <f>IMAGE("https://mitra.stanford.edu/kundaje/oak/projects/neuro-variants/variant_position/credible/roussos_2024/variant_figures/roussos_2024.adolescence.GLU/rs55709241_count_position.png",4,220,900)</f>
        <v/>
      </c>
      <c r="T1804">
        <f>IMAGE("https://mitra.stanford.edu/kundaje/oak/projects/neuro-variants/variant_position/credible/roussos_2024/variant_figures/roussos_2024.adolescence.GLU/rs55709241_profile_position.png",4,220,900)</f>
        <v/>
      </c>
    </row>
    <row r="1805">
      <c r="A1805" t="inlineStr">
        <is>
          <t>chr17</t>
        </is>
      </c>
      <c r="B1805" t="n">
        <v>45964196</v>
      </c>
      <c r="C1805" t="inlineStr">
        <is>
          <t>G</t>
        </is>
      </c>
      <c r="D1805" t="inlineStr">
        <is>
          <t>T</t>
        </is>
      </c>
      <c r="E1805" t="inlineStr">
        <is>
          <t>rs112058117</t>
        </is>
      </c>
      <c r="F1805" t="n">
        <v>0.00227502292</v>
      </c>
      <c r="G1805" t="n">
        <v>0.7342088392197419</v>
      </c>
      <c r="H1805" t="n">
        <v>0.0340679582217691</v>
      </c>
      <c r="I1805" t="n">
        <v>0.0053391268748517</v>
      </c>
      <c r="J1805" t="n">
        <v>0.3970293846582505</v>
      </c>
      <c r="K1805" t="n">
        <v>0.1700357082824251</v>
      </c>
      <c r="L1805" t="b">
        <v>1</v>
      </c>
      <c r="M1805" t="b">
        <v>1</v>
      </c>
      <c r="N1805" t="inlineStr">
        <is>
          <t>alt</t>
        </is>
      </c>
      <c r="O1805" t="n">
        <v>-45</v>
      </c>
      <c r="P1805" t="n">
        <v>9.155e-05</v>
      </c>
      <c r="Q1805" t="n">
        <v>-100</v>
      </c>
      <c r="R1805" t="n">
        <v>0.1531</v>
      </c>
      <c r="S1805">
        <f>IMAGE("https://mitra.stanford.edu/kundaje/oak/projects/neuro-variants/variant_position/credible/roussos_2024/variant_figures/roussos_2024.adolescence.GLU/rs112058117_count_position.png",4,220,900)</f>
        <v/>
      </c>
      <c r="T1805">
        <f>IMAGE("https://mitra.stanford.edu/kundaje/oak/projects/neuro-variants/variant_position/credible/roussos_2024/variant_figures/roussos_2024.adolescence.GLU/rs112058117_profile_position.png",4,220,900)</f>
        <v/>
      </c>
    </row>
    <row r="1806">
      <c r="A1806" t="inlineStr">
        <is>
          <t>chr17</t>
        </is>
      </c>
      <c r="B1806" t="n">
        <v>45966012</v>
      </c>
      <c r="C1806" t="inlineStr">
        <is>
          <t>T</t>
        </is>
      </c>
      <c r="D1806" t="inlineStr">
        <is>
          <t>C</t>
        </is>
      </c>
      <c r="E1806" t="inlineStr">
        <is>
          <t>rs62063291</t>
        </is>
      </c>
      <c r="F1806" t="n">
        <v>-0.0032253374899999</v>
      </c>
      <c r="G1806" t="n">
        <v>0.6805353614632349</v>
      </c>
      <c r="H1806" t="n">
        <v>0.012272823350199</v>
      </c>
      <c r="I1806" t="n">
        <v>0.3119571324494835</v>
      </c>
      <c r="J1806" t="n">
        <v>0.1845467989797886</v>
      </c>
      <c r="K1806" t="n">
        <v>0.4242223430625657</v>
      </c>
      <c r="L1806" t="b">
        <v>0</v>
      </c>
      <c r="M1806" t="b">
        <v>0</v>
      </c>
      <c r="N1806" t="inlineStr">
        <is>
          <t>ref</t>
        </is>
      </c>
      <c r="O1806" t="n">
        <v>-45</v>
      </c>
      <c r="P1806" t="n">
        <v>0.00222</v>
      </c>
      <c r="Q1806" t="n">
        <v>-5</v>
      </c>
      <c r="R1806" t="n">
        <v>0.004246</v>
      </c>
      <c r="S1806">
        <f>IMAGE("https://mitra.stanford.edu/kundaje/oak/projects/neuro-variants/variant_position/credible/roussos_2024/variant_figures/roussos_2024.adolescence.GLU/rs62063291_count_position.png",4,220,900)</f>
        <v/>
      </c>
      <c r="T1806">
        <f>IMAGE("https://mitra.stanford.edu/kundaje/oak/projects/neuro-variants/variant_position/credible/roussos_2024/variant_figures/roussos_2024.adolescence.GLU/rs62063291_profile_position.png",4,220,900)</f>
        <v/>
      </c>
    </row>
    <row r="1807">
      <c r="A1807" t="inlineStr">
        <is>
          <t>chr17</t>
        </is>
      </c>
      <c r="B1807" t="n">
        <v>45967142</v>
      </c>
      <c r="C1807" t="inlineStr">
        <is>
          <t>A</t>
        </is>
      </c>
      <c r="D1807" t="inlineStr">
        <is>
          <t>C</t>
        </is>
      </c>
      <c r="E1807" t="inlineStr">
        <is>
          <t>rs17650991</t>
        </is>
      </c>
      <c r="F1807" t="n">
        <v>0.014572063</v>
      </c>
      <c r="G1807" t="n">
        <v>0.3834903745900836</v>
      </c>
      <c r="H1807" t="n">
        <v>0.0077251629819877</v>
      </c>
      <c r="I1807" t="n">
        <v>0.8375353499566088</v>
      </c>
      <c r="J1807" t="n">
        <v>0.2190139386015674</v>
      </c>
      <c r="K1807" t="n">
        <v>0.3722262144029782</v>
      </c>
      <c r="L1807" t="b">
        <v>0</v>
      </c>
      <c r="M1807" t="b">
        <v>0</v>
      </c>
      <c r="N1807" t="inlineStr">
        <is>
          <t>alt</t>
        </is>
      </c>
      <c r="O1807" t="n">
        <v>-80</v>
      </c>
      <c r="P1807" t="n">
        <v>0.001854</v>
      </c>
      <c r="Q1807" t="n">
        <v>-100</v>
      </c>
      <c r="R1807" t="n">
        <v>0.0645</v>
      </c>
      <c r="S1807">
        <f>IMAGE("https://mitra.stanford.edu/kundaje/oak/projects/neuro-variants/variant_position/credible/roussos_2024/variant_figures/roussos_2024.adolescence.GLU/rs17650991_count_position.png",4,220,900)</f>
        <v/>
      </c>
      <c r="T1807">
        <f>IMAGE("https://mitra.stanford.edu/kundaje/oak/projects/neuro-variants/variant_position/credible/roussos_2024/variant_figures/roussos_2024.adolescence.GLU/rs17650991_profile_position.png",4,220,900)</f>
        <v/>
      </c>
    </row>
    <row r="1808">
      <c r="A1808" t="inlineStr">
        <is>
          <t>chr17</t>
        </is>
      </c>
      <c r="B1808" t="n">
        <v>45971767</v>
      </c>
      <c r="C1808" t="inlineStr">
        <is>
          <t>T</t>
        </is>
      </c>
      <c r="D1808" t="inlineStr">
        <is>
          <t>C</t>
        </is>
      </c>
      <c r="E1808" t="inlineStr">
        <is>
          <t>rs62063303</t>
        </is>
      </c>
      <c r="F1808" t="n">
        <v>-0.0014133192928</v>
      </c>
      <c r="G1808" t="n">
        <v>0.5366852766201493</v>
      </c>
      <c r="H1808" t="n">
        <v>0.0157186503109591</v>
      </c>
      <c r="I1808" t="n">
        <v>0.1500350349518535</v>
      </c>
      <c r="J1808" t="n">
        <v>0.6042794578877053</v>
      </c>
      <c r="K1808" t="n">
        <v>0.0369655909426121</v>
      </c>
      <c r="L1808" t="b">
        <v>0</v>
      </c>
      <c r="M1808" t="b">
        <v>0</v>
      </c>
      <c r="N1808" t="inlineStr">
        <is>
          <t>ref</t>
        </is>
      </c>
      <c r="O1808" t="n">
        <v>100</v>
      </c>
      <c r="P1808" t="n">
        <v>0.004883</v>
      </c>
      <c r="Q1808" t="n">
        <v>95</v>
      </c>
      <c r="R1808" t="n">
        <v>0.104</v>
      </c>
      <c r="S1808">
        <f>IMAGE("https://mitra.stanford.edu/kundaje/oak/projects/neuro-variants/variant_position/credible/roussos_2024/variant_figures/roussos_2024.adolescence.GLU/rs62063303_count_position.png",4,220,900)</f>
        <v/>
      </c>
      <c r="T1808">
        <f>IMAGE("https://mitra.stanford.edu/kundaje/oak/projects/neuro-variants/variant_position/credible/roussos_2024/variant_figures/roussos_2024.adolescence.GLU/rs62063303_profile_position.png",4,220,900)</f>
        <v/>
      </c>
    </row>
    <row r="1809">
      <c r="A1809" t="inlineStr">
        <is>
          <t>chr17</t>
        </is>
      </c>
      <c r="B1809" t="n">
        <v>45971963</v>
      </c>
      <c r="C1809" t="inlineStr">
        <is>
          <t>C</t>
        </is>
      </c>
      <c r="D1809" t="inlineStr">
        <is>
          <t>T</t>
        </is>
      </c>
      <c r="E1809" t="inlineStr">
        <is>
          <t>rs75242405</t>
        </is>
      </c>
      <c r="F1809" t="n">
        <v>-0.0532929934</v>
      </c>
      <c r="G1809" t="n">
        <v>0.0581806350780348</v>
      </c>
      <c r="H1809" t="n">
        <v>0.0108596461625876</v>
      </c>
      <c r="I1809" t="n">
        <v>0.4408587703533351</v>
      </c>
      <c r="J1809" t="n">
        <v>0.6047895635524502</v>
      </c>
      <c r="K1809" t="n">
        <v>0.0368017938966224</v>
      </c>
      <c r="L1809" t="b">
        <v>0</v>
      </c>
      <c r="M1809" t="b">
        <v>0</v>
      </c>
      <c r="N1809" t="inlineStr">
        <is>
          <t>ref</t>
        </is>
      </c>
      <c r="O1809" t="n">
        <v>-40</v>
      </c>
      <c r="P1809" t="n">
        <v>0.02962</v>
      </c>
      <c r="Q1809" t="n">
        <v>-30</v>
      </c>
      <c r="R1809" t="n">
        <v>0.1218</v>
      </c>
      <c r="S1809">
        <f>IMAGE("https://mitra.stanford.edu/kundaje/oak/projects/neuro-variants/variant_position/credible/roussos_2024/variant_figures/roussos_2024.adolescence.GLU/rs75242405_count_position.png",4,220,900)</f>
        <v/>
      </c>
      <c r="T1809">
        <f>IMAGE("https://mitra.stanford.edu/kundaje/oak/projects/neuro-variants/variant_position/credible/roussos_2024/variant_figures/roussos_2024.adolescence.GLU/rs75242405_profile_position.png",4,220,900)</f>
        <v/>
      </c>
    </row>
    <row r="1810">
      <c r="A1810" t="inlineStr">
        <is>
          <t>chr17</t>
        </is>
      </c>
      <c r="B1810" t="n">
        <v>45973484</v>
      </c>
      <c r="C1810" t="inlineStr">
        <is>
          <t>A</t>
        </is>
      </c>
      <c r="D1810" t="inlineStr">
        <is>
          <t>G</t>
        </is>
      </c>
      <c r="E1810" t="inlineStr">
        <is>
          <t>rs62063776</t>
        </is>
      </c>
      <c r="F1810" t="n">
        <v>0.0451648884</v>
      </c>
      <c r="G1810" t="n">
        <v>0.0785104189160624</v>
      </c>
      <c r="H1810" t="n">
        <v>0.008333904219321</v>
      </c>
      <c r="I1810" t="n">
        <v>0.7214330409717302</v>
      </c>
      <c r="J1810" t="n">
        <v>0.5600202899171971</v>
      </c>
      <c r="K1810" t="n">
        <v>0.0552260901240703</v>
      </c>
      <c r="L1810" t="b">
        <v>0</v>
      </c>
      <c r="M1810" t="b">
        <v>0</v>
      </c>
      <c r="N1810" t="inlineStr">
        <is>
          <t>alt</t>
        </is>
      </c>
      <c r="O1810" t="n">
        <v>-10</v>
      </c>
      <c r="P1810" t="n">
        <v>0.0001507</v>
      </c>
      <c r="Q1810" t="n">
        <v>-50</v>
      </c>
      <c r="R1810" t="n">
        <v>0.1011</v>
      </c>
      <c r="S1810">
        <f>IMAGE("https://mitra.stanford.edu/kundaje/oak/projects/neuro-variants/variant_position/credible/roussos_2024/variant_figures/roussos_2024.adolescence.GLU/rs62063776_count_position.png",4,220,900)</f>
        <v/>
      </c>
      <c r="T1810">
        <f>IMAGE("https://mitra.stanford.edu/kundaje/oak/projects/neuro-variants/variant_position/credible/roussos_2024/variant_figures/roussos_2024.adolescence.GLU/rs62063776_profile_position.png",4,220,900)</f>
        <v/>
      </c>
    </row>
    <row r="1811">
      <c r="A1811" t="inlineStr">
        <is>
          <t>chr17</t>
        </is>
      </c>
      <c r="B1811" t="n">
        <v>45977022</v>
      </c>
      <c r="C1811" t="inlineStr">
        <is>
          <t>T</t>
        </is>
      </c>
      <c r="D1811" t="inlineStr">
        <is>
          <t>C</t>
        </is>
      </c>
      <c r="E1811" t="inlineStr">
        <is>
          <t>rs17572467</t>
        </is>
      </c>
      <c r="F1811" t="n">
        <v>0.0461787822</v>
      </c>
      <c r="G1811" t="n">
        <v>0.07611467925412049</v>
      </c>
      <c r="H1811" t="n">
        <v>0.0126233252338308</v>
      </c>
      <c r="I1811" t="n">
        <v>0.3066883325199089</v>
      </c>
      <c r="J1811" t="n">
        <v>0.5335276593008551</v>
      </c>
      <c r="K1811" t="n">
        <v>0.068996328175984</v>
      </c>
      <c r="L1811" t="b">
        <v>0</v>
      </c>
      <c r="M1811" t="b">
        <v>0</v>
      </c>
      <c r="N1811" t="inlineStr">
        <is>
          <t>alt</t>
        </is>
      </c>
      <c r="O1811" t="n">
        <v>80</v>
      </c>
      <c r="P1811" t="n">
        <v>0.005875</v>
      </c>
      <c r="Q1811" t="n">
        <v>80</v>
      </c>
      <c r="R1811" t="n">
        <v>0.10706</v>
      </c>
      <c r="S1811">
        <f>IMAGE("https://mitra.stanford.edu/kundaje/oak/projects/neuro-variants/variant_position/credible/roussos_2024/variant_figures/roussos_2024.adolescence.GLU/rs17572467_count_position.png",4,220,900)</f>
        <v/>
      </c>
      <c r="T1811">
        <f>IMAGE("https://mitra.stanford.edu/kundaje/oak/projects/neuro-variants/variant_position/credible/roussos_2024/variant_figures/roussos_2024.adolescence.GLU/rs17572467_profile_position.png",4,220,900)</f>
        <v/>
      </c>
    </row>
    <row r="1812">
      <c r="A1812" t="inlineStr">
        <is>
          <t>chr17</t>
        </is>
      </c>
      <c r="B1812" t="n">
        <v>45977230</v>
      </c>
      <c r="C1812" t="inlineStr">
        <is>
          <t>T</t>
        </is>
      </c>
      <c r="D1812" t="inlineStr">
        <is>
          <t>G</t>
        </is>
      </c>
      <c r="E1812" t="inlineStr">
        <is>
          <t>rs17572495</t>
        </is>
      </c>
      <c r="F1812" t="n">
        <v>0.0118896549999999</v>
      </c>
      <c r="G1812" t="n">
        <v>0.4454690628753421</v>
      </c>
      <c r="H1812" t="n">
        <v>0.0150503976046421</v>
      </c>
      <c r="I1812" t="n">
        <v>0.1565818816941091</v>
      </c>
      <c r="J1812" t="n">
        <v>0.5094583878089033</v>
      </c>
      <c r="K1812" t="n">
        <v>0.0827800390371432</v>
      </c>
      <c r="L1812" t="b">
        <v>0</v>
      </c>
      <c r="M1812" t="b">
        <v>0</v>
      </c>
      <c r="N1812" t="inlineStr">
        <is>
          <t>alt</t>
        </is>
      </c>
      <c r="O1812" t="n">
        <v>-100</v>
      </c>
      <c r="P1812" t="n">
        <v>0.01591</v>
      </c>
      <c r="Q1812" t="n">
        <v>-20</v>
      </c>
      <c r="R1812" t="n">
        <v>0.04846</v>
      </c>
      <c r="S1812">
        <f>IMAGE("https://mitra.stanford.edu/kundaje/oak/projects/neuro-variants/variant_position/credible/roussos_2024/variant_figures/roussos_2024.adolescence.GLU/rs17572495_count_position.png",4,220,900)</f>
        <v/>
      </c>
      <c r="T1812">
        <f>IMAGE("https://mitra.stanford.edu/kundaje/oak/projects/neuro-variants/variant_position/credible/roussos_2024/variant_figures/roussos_2024.adolescence.GLU/rs17572495_profile_position.png",4,220,900)</f>
        <v/>
      </c>
    </row>
    <row r="1813">
      <c r="A1813" t="inlineStr">
        <is>
          <t>chr17</t>
        </is>
      </c>
      <c r="B1813" t="n">
        <v>45982882</v>
      </c>
      <c r="C1813" t="inlineStr">
        <is>
          <t>G</t>
        </is>
      </c>
      <c r="D1813" t="inlineStr">
        <is>
          <t>A</t>
        </is>
      </c>
      <c r="E1813" t="inlineStr">
        <is>
          <t>rs56234850</t>
        </is>
      </c>
      <c r="F1813" t="n">
        <v>-0.0541708455999999</v>
      </c>
      <c r="G1813" t="n">
        <v>0.0544192082915243</v>
      </c>
      <c r="H1813" t="n">
        <v>0.0137440623031711</v>
      </c>
      <c r="I1813" t="n">
        <v>0.2100219333866447</v>
      </c>
      <c r="J1813" t="n">
        <v>0.6754070486029249</v>
      </c>
      <c r="K1813" t="n">
        <v>0.0186219349405026</v>
      </c>
      <c r="L1813" t="b">
        <v>0</v>
      </c>
      <c r="M1813" t="b">
        <v>0</v>
      </c>
      <c r="N1813" t="inlineStr">
        <is>
          <t>ref</t>
        </is>
      </c>
      <c r="O1813" t="n">
        <v>100</v>
      </c>
      <c r="P1813" t="n">
        <v>0.001656</v>
      </c>
      <c r="Q1813" t="n">
        <v>100</v>
      </c>
      <c r="R1813" t="n">
        <v>0.1448</v>
      </c>
      <c r="S1813">
        <f>IMAGE("https://mitra.stanford.edu/kundaje/oak/projects/neuro-variants/variant_position/credible/roussos_2024/variant_figures/roussos_2024.adolescence.GLU/rs56234850_count_position.png",4,220,900)</f>
        <v/>
      </c>
      <c r="T1813">
        <f>IMAGE("https://mitra.stanford.edu/kundaje/oak/projects/neuro-variants/variant_position/credible/roussos_2024/variant_figures/roussos_2024.adolescence.GLU/rs56234850_profile_position.png",4,220,900)</f>
        <v/>
      </c>
    </row>
    <row r="1814">
      <c r="A1814" t="inlineStr">
        <is>
          <t>chr17</t>
        </is>
      </c>
      <c r="B1814" t="n">
        <v>45988044</v>
      </c>
      <c r="C1814" t="inlineStr">
        <is>
          <t>G</t>
        </is>
      </c>
      <c r="D1814" t="inlineStr">
        <is>
          <t>A</t>
        </is>
      </c>
      <c r="E1814" t="inlineStr">
        <is>
          <t>rs10445371</t>
        </is>
      </c>
      <c r="F1814" t="n">
        <v>-0.0225746396</v>
      </c>
      <c r="G1814" t="n">
        <v>0.2659597293883738</v>
      </c>
      <c r="H1814" t="n">
        <v>0.010183226775907</v>
      </c>
      <c r="I1814" t="n">
        <v>0.5031576381616901</v>
      </c>
      <c r="J1814" t="n">
        <v>0.4816640589836465</v>
      </c>
      <c r="K1814" t="n">
        <v>0.1010578571243932</v>
      </c>
      <c r="L1814" t="b">
        <v>0</v>
      </c>
      <c r="M1814" t="b">
        <v>0</v>
      </c>
      <c r="N1814" t="inlineStr">
        <is>
          <t>ref</t>
        </is>
      </c>
      <c r="O1814" t="n">
        <v>-100</v>
      </c>
      <c r="P1814" t="n">
        <v>0.002136</v>
      </c>
      <c r="Q1814" t="n">
        <v>85</v>
      </c>
      <c r="R1814" t="n">
        <v>0.0286</v>
      </c>
      <c r="S1814">
        <f>IMAGE("https://mitra.stanford.edu/kundaje/oak/projects/neuro-variants/variant_position/credible/roussos_2024/variant_figures/roussos_2024.adolescence.GLU/rs10445371_count_position.png",4,220,900)</f>
        <v/>
      </c>
      <c r="T1814">
        <f>IMAGE("https://mitra.stanford.edu/kundaje/oak/projects/neuro-variants/variant_position/credible/roussos_2024/variant_figures/roussos_2024.adolescence.GLU/rs10445371_profile_position.png",4,220,900)</f>
        <v/>
      </c>
    </row>
    <row r="1815">
      <c r="A1815" t="inlineStr">
        <is>
          <t>chr17</t>
        </is>
      </c>
      <c r="B1815" t="n">
        <v>45988535</v>
      </c>
      <c r="C1815" t="inlineStr">
        <is>
          <t>C</t>
        </is>
      </c>
      <c r="D1815" t="inlineStr">
        <is>
          <t>T</t>
        </is>
      </c>
      <c r="E1815" t="inlineStr">
        <is>
          <t>rs919464</t>
        </is>
      </c>
      <c r="F1815" t="n">
        <v>-0.08135315680000001</v>
      </c>
      <c r="G1815" t="n">
        <v>0.0153922810146184</v>
      </c>
      <c r="H1815" t="n">
        <v>0.0215276901693272</v>
      </c>
      <c r="I1815" t="n">
        <v>0.0403414752373608</v>
      </c>
      <c r="J1815" t="n">
        <v>0.379668645648027</v>
      </c>
      <c r="K1815" t="n">
        <v>0.1866291654856416</v>
      </c>
      <c r="L1815" t="b">
        <v>1</v>
      </c>
      <c r="M1815" t="b">
        <v>0</v>
      </c>
      <c r="N1815" t="inlineStr">
        <is>
          <t>ref</t>
        </is>
      </c>
      <c r="O1815" t="n">
        <v>100</v>
      </c>
      <c r="P1815" t="n">
        <v>0.01935</v>
      </c>
      <c r="Q1815" t="n">
        <v>-70</v>
      </c>
      <c r="R1815" t="n">
        <v>0.06213</v>
      </c>
      <c r="S1815">
        <f>IMAGE("https://mitra.stanford.edu/kundaje/oak/projects/neuro-variants/variant_position/credible/roussos_2024/variant_figures/roussos_2024.adolescence.GLU/rs919464_count_position.png",4,220,900)</f>
        <v/>
      </c>
      <c r="T1815">
        <f>IMAGE("https://mitra.stanford.edu/kundaje/oak/projects/neuro-variants/variant_position/credible/roussos_2024/variant_figures/roussos_2024.adolescence.GLU/rs919464_profile_position.png",4,220,900)</f>
        <v/>
      </c>
    </row>
    <row r="1816">
      <c r="A1816" t="inlineStr">
        <is>
          <t>chr17</t>
        </is>
      </c>
      <c r="B1816" t="n">
        <v>45990034</v>
      </c>
      <c r="C1816" t="inlineStr">
        <is>
          <t>T</t>
        </is>
      </c>
      <c r="D1816" t="inlineStr">
        <is>
          <t>C</t>
        </is>
      </c>
      <c r="E1816" t="inlineStr">
        <is>
          <t>rs10445337</t>
        </is>
      </c>
      <c r="F1816" t="n">
        <v>-0.0049964178799999</v>
      </c>
      <c r="G1816" t="n">
        <v>0.4158216696959475</v>
      </c>
      <c r="H1816" t="n">
        <v>0.008610635912769201</v>
      </c>
      <c r="I1816" t="n">
        <v>0.7173860621255259</v>
      </c>
      <c r="J1816" t="n">
        <v>0.2496231362210743</v>
      </c>
      <c r="K1816" t="n">
        <v>0.336322494488872</v>
      </c>
      <c r="L1816" t="b">
        <v>0</v>
      </c>
      <c r="M1816" t="b">
        <v>0</v>
      </c>
      <c r="N1816" t="inlineStr">
        <is>
          <t>ref</t>
        </is>
      </c>
      <c r="O1816" t="n">
        <v>-90</v>
      </c>
      <c r="P1816" t="n">
        <v>0.00701</v>
      </c>
      <c r="Q1816" t="n">
        <v>-30</v>
      </c>
      <c r="R1816" t="n">
        <v>0.03882</v>
      </c>
      <c r="S1816">
        <f>IMAGE("https://mitra.stanford.edu/kundaje/oak/projects/neuro-variants/variant_position/credible/roussos_2024/variant_figures/roussos_2024.adolescence.GLU/rs10445337_count_position.png",4,220,900)</f>
        <v/>
      </c>
      <c r="T1816">
        <f>IMAGE("https://mitra.stanford.edu/kundaje/oak/projects/neuro-variants/variant_position/credible/roussos_2024/variant_figures/roussos_2024.adolescence.GLU/rs10445337_profile_position.png",4,220,900)</f>
        <v/>
      </c>
    </row>
    <row r="1817">
      <c r="A1817" t="inlineStr">
        <is>
          <t>chr17</t>
        </is>
      </c>
      <c r="B1817" t="n">
        <v>45990923</v>
      </c>
      <c r="C1817" t="inlineStr">
        <is>
          <t>G</t>
        </is>
      </c>
      <c r="D1817" t="inlineStr">
        <is>
          <t>A</t>
        </is>
      </c>
      <c r="E1817" t="inlineStr">
        <is>
          <t>rs62063796</t>
        </is>
      </c>
      <c r="F1817" t="n">
        <v>-0.0531487048</v>
      </c>
      <c r="G1817" t="n">
        <v>0.0615690510408592</v>
      </c>
      <c r="H1817" t="n">
        <v>0.0200813224034509</v>
      </c>
      <c r="I1817" t="n">
        <v>0.0610617654832505</v>
      </c>
      <c r="J1817" t="n">
        <v>0.3423623464860578</v>
      </c>
      <c r="K1817" t="n">
        <v>0.2250464451216687</v>
      </c>
      <c r="L1817" t="b">
        <v>0</v>
      </c>
      <c r="M1817" t="b">
        <v>0</v>
      </c>
      <c r="N1817" t="inlineStr">
        <is>
          <t>ref</t>
        </is>
      </c>
      <c r="O1817" t="n">
        <v>20</v>
      </c>
      <c r="P1817" t="n">
        <v>0.002125</v>
      </c>
      <c r="Q1817" t="n">
        <v>30</v>
      </c>
      <c r="R1817" t="n">
        <v>0.00893</v>
      </c>
      <c r="S1817">
        <f>IMAGE("https://mitra.stanford.edu/kundaje/oak/projects/neuro-variants/variant_position/credible/roussos_2024/variant_figures/roussos_2024.adolescence.GLU/rs62063796_count_position.png",4,220,900)</f>
        <v/>
      </c>
      <c r="T1817">
        <f>IMAGE("https://mitra.stanford.edu/kundaje/oak/projects/neuro-variants/variant_position/credible/roussos_2024/variant_figures/roussos_2024.adolescence.GLU/rs62063796_profile_position.png",4,220,900)</f>
        <v/>
      </c>
    </row>
    <row r="1818">
      <c r="A1818" t="inlineStr">
        <is>
          <t>chr17</t>
        </is>
      </c>
      <c r="B1818" t="n">
        <v>45991114</v>
      </c>
      <c r="C1818" t="inlineStr">
        <is>
          <t>T</t>
        </is>
      </c>
      <c r="D1818" t="inlineStr">
        <is>
          <t>C</t>
        </is>
      </c>
      <c r="E1818" t="inlineStr">
        <is>
          <t>rs77290642</t>
        </is>
      </c>
      <c r="F1818" t="n">
        <v>0.111280698</v>
      </c>
      <c r="G1818" t="n">
        <v>0.0052584984826086</v>
      </c>
      <c r="H1818" t="n">
        <v>0.0219530543525846</v>
      </c>
      <c r="I1818" t="n">
        <v>0.042037346310471</v>
      </c>
      <c r="J1818" t="n">
        <v>0.4033892734923662</v>
      </c>
      <c r="K1818" t="n">
        <v>0.1645391607981129</v>
      </c>
      <c r="L1818" t="b">
        <v>1</v>
      </c>
      <c r="M1818" t="b">
        <v>1</v>
      </c>
      <c r="N1818" t="inlineStr">
        <is>
          <t>alt</t>
        </is>
      </c>
      <c r="O1818" t="n">
        <v>-55</v>
      </c>
      <c r="P1818" t="n">
        <v>0.001794</v>
      </c>
      <c r="Q1818" t="n">
        <v>-100</v>
      </c>
      <c r="R1818" t="n">
        <v>0.08685</v>
      </c>
      <c r="S1818">
        <f>IMAGE("https://mitra.stanford.edu/kundaje/oak/projects/neuro-variants/variant_position/credible/roussos_2024/variant_figures/roussos_2024.adolescence.GLU/rs77290642_count_position.png",4,220,900)</f>
        <v/>
      </c>
      <c r="T1818">
        <f>IMAGE("https://mitra.stanford.edu/kundaje/oak/projects/neuro-variants/variant_position/credible/roussos_2024/variant_figures/roussos_2024.adolescence.GLU/rs77290642_profile_position.png",4,220,900)</f>
        <v/>
      </c>
    </row>
    <row r="1819">
      <c r="A1819" t="inlineStr">
        <is>
          <t>chr17</t>
        </is>
      </c>
      <c r="B1819" t="n">
        <v>45991558</v>
      </c>
      <c r="C1819" t="inlineStr">
        <is>
          <t>G</t>
        </is>
      </c>
      <c r="D1819" t="inlineStr">
        <is>
          <t>A</t>
        </is>
      </c>
      <c r="E1819" t="inlineStr">
        <is>
          <t>rs1052551</t>
        </is>
      </c>
      <c r="F1819" t="n">
        <v>-0.0915762606</v>
      </c>
      <c r="G1819" t="n">
        <v>0.0112945843457685</v>
      </c>
      <c r="H1819" t="n">
        <v>0.0162005303802804</v>
      </c>
      <c r="I1819" t="n">
        <v>0.1248167673307131</v>
      </c>
      <c r="J1819" t="n">
        <v>0.3664587664587664</v>
      </c>
      <c r="K1819" t="n">
        <v>0.2001305817659616</v>
      </c>
      <c r="L1819" t="b">
        <v>1</v>
      </c>
      <c r="M1819" t="b">
        <v>0</v>
      </c>
      <c r="N1819" t="inlineStr">
        <is>
          <t>ref</t>
        </is>
      </c>
      <c r="O1819" t="n">
        <v>100</v>
      </c>
      <c r="P1819" t="n">
        <v>0.013504</v>
      </c>
      <c r="Q1819" t="n">
        <v>-65</v>
      </c>
      <c r="R1819" t="n">
        <v>0.07525999999999999</v>
      </c>
      <c r="S1819">
        <f>IMAGE("https://mitra.stanford.edu/kundaje/oak/projects/neuro-variants/variant_position/credible/roussos_2024/variant_figures/roussos_2024.adolescence.GLU/rs1052551_count_position.png",4,220,900)</f>
        <v/>
      </c>
      <c r="T1819">
        <f>IMAGE("https://mitra.stanford.edu/kundaje/oak/projects/neuro-variants/variant_position/credible/roussos_2024/variant_figures/roussos_2024.adolescence.GLU/rs1052551_profile_position.png",4,220,900)</f>
        <v/>
      </c>
    </row>
    <row r="1820">
      <c r="A1820" t="inlineStr">
        <is>
          <t>chr17</t>
        </is>
      </c>
      <c r="B1820" t="n">
        <v>45992402</v>
      </c>
      <c r="C1820" t="inlineStr">
        <is>
          <t>A</t>
        </is>
      </c>
      <c r="D1820" t="inlineStr">
        <is>
          <t>G</t>
        </is>
      </c>
      <c r="E1820" t="inlineStr">
        <is>
          <t>rs74759276</t>
        </is>
      </c>
      <c r="F1820" t="n">
        <v>-0.1034565964</v>
      </c>
      <c r="G1820" t="n">
        <v>0.0147059214863442</v>
      </c>
      <c r="H1820" t="n">
        <v>0.0265709990318722</v>
      </c>
      <c r="I1820" t="n">
        <v>0.0279667675732466</v>
      </c>
      <c r="J1820" t="n">
        <v>0.3895778411242329</v>
      </c>
      <c r="K1820" t="n">
        <v>0.1767214058925529</v>
      </c>
      <c r="L1820" t="b">
        <v>1</v>
      </c>
      <c r="M1820" t="b">
        <v>0</v>
      </c>
      <c r="N1820" t="inlineStr">
        <is>
          <t>ref</t>
        </is>
      </c>
      <c r="O1820" t="n">
        <v>-100</v>
      </c>
      <c r="P1820" t="n">
        <v>0.0117</v>
      </c>
      <c r="Q1820" t="n">
        <v>-70</v>
      </c>
      <c r="R1820" t="n">
        <v>0.1045</v>
      </c>
      <c r="S1820">
        <f>IMAGE("https://mitra.stanford.edu/kundaje/oak/projects/neuro-variants/variant_position/credible/roussos_2024/variant_figures/roussos_2024.adolescence.GLU/rs74759276_count_position.png",4,220,900)</f>
        <v/>
      </c>
      <c r="T1820">
        <f>IMAGE("https://mitra.stanford.edu/kundaje/oak/projects/neuro-variants/variant_position/credible/roussos_2024/variant_figures/roussos_2024.adolescence.GLU/rs74759276_profile_position.png",4,220,900)</f>
        <v/>
      </c>
    </row>
    <row r="1821">
      <c r="A1821" t="inlineStr">
        <is>
          <t>chr17</t>
        </is>
      </c>
      <c r="B1821" t="n">
        <v>45992474</v>
      </c>
      <c r="C1821" t="inlineStr">
        <is>
          <t>G</t>
        </is>
      </c>
      <c r="D1821" t="inlineStr">
        <is>
          <t>A</t>
        </is>
      </c>
      <c r="E1821" t="inlineStr">
        <is>
          <t>rs17651887</t>
        </is>
      </c>
      <c r="F1821" t="n">
        <v>0.0281223104999999</v>
      </c>
      <c r="G1821" t="n">
        <v>0.1839079320211481</v>
      </c>
      <c r="H1821" t="n">
        <v>0.0160608717405078</v>
      </c>
      <c r="I1821" t="n">
        <v>0.1324822626377812</v>
      </c>
      <c r="J1821" t="n">
        <v>0.4013717127119188</v>
      </c>
      <c r="K1821" t="n">
        <v>0.1656854648459847</v>
      </c>
      <c r="L1821" t="b">
        <v>0</v>
      </c>
      <c r="M1821" t="b">
        <v>0</v>
      </c>
      <c r="N1821" t="inlineStr">
        <is>
          <t>alt</t>
        </is>
      </c>
      <c r="O1821" t="n">
        <v>-100</v>
      </c>
      <c r="P1821" t="n">
        <v>0.01352</v>
      </c>
      <c r="Q1821" t="n">
        <v>15</v>
      </c>
      <c r="R1821" t="n">
        <v>0.02808</v>
      </c>
      <c r="S1821">
        <f>IMAGE("https://mitra.stanford.edu/kundaje/oak/projects/neuro-variants/variant_position/credible/roussos_2024/variant_figures/roussos_2024.adolescence.GLU/rs17651887_count_position.png",4,220,900)</f>
        <v/>
      </c>
      <c r="T1821">
        <f>IMAGE("https://mitra.stanford.edu/kundaje/oak/projects/neuro-variants/variant_position/credible/roussos_2024/variant_figures/roussos_2024.adolescence.GLU/rs17651887_profile_position.png",4,220,900)</f>
        <v/>
      </c>
    </row>
    <row r="1822">
      <c r="A1822" t="inlineStr">
        <is>
          <t>chr17</t>
        </is>
      </c>
      <c r="B1822" t="n">
        <v>45993590</v>
      </c>
      <c r="C1822" t="inlineStr">
        <is>
          <t>T</t>
        </is>
      </c>
      <c r="D1822" t="inlineStr">
        <is>
          <t>A</t>
        </is>
      </c>
      <c r="E1822" t="inlineStr">
        <is>
          <t>rs55913645</t>
        </is>
      </c>
      <c r="F1822" t="n">
        <v>-0.00766229754</v>
      </c>
      <c r="G1822" t="n">
        <v>0.6155316519902023</v>
      </c>
      <c r="H1822" t="n">
        <v>0.0262405087990175</v>
      </c>
      <c r="I1822" t="n">
        <v>0.0166049993502754</v>
      </c>
      <c r="J1822" t="n">
        <v>0.3666473769566553</v>
      </c>
      <c r="K1822" t="n">
        <v>0.1993033591686317</v>
      </c>
      <c r="L1822" t="b">
        <v>1</v>
      </c>
      <c r="M1822" t="b">
        <v>0</v>
      </c>
      <c r="N1822" t="inlineStr">
        <is>
          <t>ref</t>
        </is>
      </c>
      <c r="O1822" t="n">
        <v>-100</v>
      </c>
      <c r="P1822" t="n">
        <v>0.01689</v>
      </c>
      <c r="Q1822" t="n">
        <v>100</v>
      </c>
      <c r="R1822" t="n">
        <v>0.0641</v>
      </c>
      <c r="S1822">
        <f>IMAGE("https://mitra.stanford.edu/kundaje/oak/projects/neuro-variants/variant_position/credible/roussos_2024/variant_figures/roussos_2024.adolescence.GLU/rs55913645_count_position.png",4,220,900)</f>
        <v/>
      </c>
      <c r="T1822">
        <f>IMAGE("https://mitra.stanford.edu/kundaje/oak/projects/neuro-variants/variant_position/credible/roussos_2024/variant_figures/roussos_2024.adolescence.GLU/rs55913645_profile_position.png",4,220,900)</f>
        <v/>
      </c>
    </row>
    <row r="1823">
      <c r="A1823" t="inlineStr">
        <is>
          <t>chr17</t>
        </is>
      </c>
      <c r="B1823" t="n">
        <v>45995696</v>
      </c>
      <c r="C1823" t="inlineStr">
        <is>
          <t>T</t>
        </is>
      </c>
      <c r="D1823" t="inlineStr">
        <is>
          <t>G</t>
        </is>
      </c>
      <c r="E1823" t="inlineStr">
        <is>
          <t>rs62063849</t>
        </is>
      </c>
      <c r="F1823" t="n">
        <v>-0.008045775845</v>
      </c>
      <c r="G1823" t="n">
        <v>0.6309816893294414</v>
      </c>
      <c r="H1823" t="n">
        <v>0.008587896209808101</v>
      </c>
      <c r="I1823" t="n">
        <v>0.7279902329125288</v>
      </c>
      <c r="J1823" t="n">
        <v>0.535042258753599</v>
      </c>
      <c r="K1823" t="n">
        <v>0.06725521025163771</v>
      </c>
      <c r="L1823" t="b">
        <v>0</v>
      </c>
      <c r="M1823" t="b">
        <v>0</v>
      </c>
      <c r="N1823" t="inlineStr">
        <is>
          <t>ref</t>
        </is>
      </c>
      <c r="O1823" t="n">
        <v>100</v>
      </c>
      <c r="P1823" t="n">
        <v>0.007427</v>
      </c>
      <c r="Q1823" t="n">
        <v>85</v>
      </c>
      <c r="R1823" t="n">
        <v>0.04376</v>
      </c>
      <c r="S1823">
        <f>IMAGE("https://mitra.stanford.edu/kundaje/oak/projects/neuro-variants/variant_position/credible/roussos_2024/variant_figures/roussos_2024.adolescence.GLU/rs62063849_count_position.png",4,220,900)</f>
        <v/>
      </c>
      <c r="T1823">
        <f>IMAGE("https://mitra.stanford.edu/kundaje/oak/projects/neuro-variants/variant_position/credible/roussos_2024/variant_figures/roussos_2024.adolescence.GLU/rs62063849_profile_position.png",4,220,900)</f>
        <v/>
      </c>
    </row>
    <row r="1824">
      <c r="A1824" t="inlineStr">
        <is>
          <t>chr17</t>
        </is>
      </c>
      <c r="B1824" t="n">
        <v>45997069</v>
      </c>
      <c r="C1824" t="inlineStr">
        <is>
          <t>C</t>
        </is>
      </c>
      <c r="D1824" t="inlineStr">
        <is>
          <t>G</t>
        </is>
      </c>
      <c r="E1824" t="inlineStr">
        <is>
          <t>rs62063851</t>
        </is>
      </c>
      <c r="F1824" t="n">
        <v>-0.0807670576</v>
      </c>
      <c r="G1824" t="n">
        <v>0.0196810903085362</v>
      </c>
      <c r="H1824" t="n">
        <v>0.0223186224460631</v>
      </c>
      <c r="I1824" t="n">
        <v>0.0403941482792257</v>
      </c>
      <c r="J1824" t="n">
        <v>0.623983539447457</v>
      </c>
      <c r="K1824" t="n">
        <v>0.0306379298084072</v>
      </c>
      <c r="L1824" t="b">
        <v>1</v>
      </c>
      <c r="M1824" t="b">
        <v>0</v>
      </c>
      <c r="N1824" t="inlineStr">
        <is>
          <t>ref</t>
        </is>
      </c>
      <c r="O1824" t="n">
        <v>0</v>
      </c>
      <c r="P1824" t="n">
        <v>0</v>
      </c>
      <c r="Q1824" t="n">
        <v>25</v>
      </c>
      <c r="R1824" t="n">
        <v>0.04446</v>
      </c>
      <c r="S1824">
        <f>IMAGE("https://mitra.stanford.edu/kundaje/oak/projects/neuro-variants/variant_position/credible/roussos_2024/variant_figures/roussos_2024.adolescence.GLU/rs62063851_count_position.png",4,220,900)</f>
        <v/>
      </c>
      <c r="T1824">
        <f>IMAGE("https://mitra.stanford.edu/kundaje/oak/projects/neuro-variants/variant_position/credible/roussos_2024/variant_figures/roussos_2024.adolescence.GLU/rs62063851_profile_position.png",4,220,900)</f>
        <v/>
      </c>
    </row>
    <row r="1825">
      <c r="A1825" t="inlineStr">
        <is>
          <t>chr17</t>
        </is>
      </c>
      <c r="B1825" t="n">
        <v>45997733</v>
      </c>
      <c r="C1825" t="inlineStr">
        <is>
          <t>T</t>
        </is>
      </c>
      <c r="D1825" t="inlineStr">
        <is>
          <t>C</t>
        </is>
      </c>
      <c r="E1825" t="inlineStr">
        <is>
          <t>rs2004673</t>
        </is>
      </c>
      <c r="F1825" t="n">
        <v>-0.001517301812</v>
      </c>
      <c r="G1825" t="n">
        <v>0.8368704203493811</v>
      </c>
      <c r="H1825" t="n">
        <v>0.008830193946464299</v>
      </c>
      <c r="I1825" t="n">
        <v>0.6491666713660769</v>
      </c>
      <c r="J1825" t="n">
        <v>0.5199305570439592</v>
      </c>
      <c r="K1825" t="n">
        <v>0.0768066278604678</v>
      </c>
      <c r="L1825" t="b">
        <v>0</v>
      </c>
      <c r="M1825" t="b">
        <v>0</v>
      </c>
      <c r="N1825" t="inlineStr">
        <is>
          <t>ref</t>
        </is>
      </c>
      <c r="O1825" t="n">
        <v>-15</v>
      </c>
      <c r="P1825" t="n">
        <v>0.0017395</v>
      </c>
      <c r="Q1825" t="n">
        <v>100</v>
      </c>
      <c r="R1825" t="n">
        <v>0.0835</v>
      </c>
      <c r="S1825">
        <f>IMAGE("https://mitra.stanford.edu/kundaje/oak/projects/neuro-variants/variant_position/credible/roussos_2024/variant_figures/roussos_2024.adolescence.GLU/rs2004673_count_position.png",4,220,900)</f>
        <v/>
      </c>
      <c r="T1825">
        <f>IMAGE("https://mitra.stanford.edu/kundaje/oak/projects/neuro-variants/variant_position/credible/roussos_2024/variant_figures/roussos_2024.adolescence.GLU/rs2004673_profile_position.png",4,220,900)</f>
        <v/>
      </c>
    </row>
    <row r="1826">
      <c r="A1826" t="inlineStr">
        <is>
          <t>chr17</t>
        </is>
      </c>
      <c r="B1826" t="n">
        <v>45998471</v>
      </c>
      <c r="C1826" t="inlineStr">
        <is>
          <t>T</t>
        </is>
      </c>
      <c r="D1826" t="inlineStr">
        <is>
          <t>C</t>
        </is>
      </c>
      <c r="E1826" t="inlineStr">
        <is>
          <t>rs1078269</t>
        </is>
      </c>
      <c r="F1826" t="n">
        <v>0.002809211</v>
      </c>
      <c r="G1826" t="n">
        <v>0.4222154755749655</v>
      </c>
      <c r="H1826" t="n">
        <v>0.013023425651617</v>
      </c>
      <c r="I1826" t="n">
        <v>0.3085029199158051</v>
      </c>
      <c r="J1826" t="n">
        <v>0.5061905680462382</v>
      </c>
      <c r="K1826" t="n">
        <v>0.08396699916328269</v>
      </c>
      <c r="L1826" t="b">
        <v>0</v>
      </c>
      <c r="M1826" t="b">
        <v>0</v>
      </c>
      <c r="N1826" t="inlineStr">
        <is>
          <t>alt</t>
        </is>
      </c>
      <c r="O1826" t="n">
        <v>100</v>
      </c>
      <c r="P1826" t="n">
        <v>0.006874</v>
      </c>
      <c r="Q1826" t="n">
        <v>-5</v>
      </c>
      <c r="R1826" t="n">
        <v>0.001221</v>
      </c>
      <c r="S1826">
        <f>IMAGE("https://mitra.stanford.edu/kundaje/oak/projects/neuro-variants/variant_position/credible/roussos_2024/variant_figures/roussos_2024.adolescence.GLU/rs1078269_count_position.png",4,220,900)</f>
        <v/>
      </c>
      <c r="T1826">
        <f>IMAGE("https://mitra.stanford.edu/kundaje/oak/projects/neuro-variants/variant_position/credible/roussos_2024/variant_figures/roussos_2024.adolescence.GLU/rs1078269_profile_position.png",4,220,900)</f>
        <v/>
      </c>
    </row>
    <row r="1827">
      <c r="A1827" t="inlineStr">
        <is>
          <t>chr17</t>
        </is>
      </c>
      <c r="B1827" t="n">
        <v>46001466</v>
      </c>
      <c r="C1827" t="inlineStr">
        <is>
          <t>G</t>
        </is>
      </c>
      <c r="D1827" t="inlineStr">
        <is>
          <t>A</t>
        </is>
      </c>
      <c r="E1827" t="inlineStr">
        <is>
          <t>rs62064660</t>
        </is>
      </c>
      <c r="F1827" t="n">
        <v>-0.0016414527839999</v>
      </c>
      <c r="G1827" t="n">
        <v>0.8797847606252117</v>
      </c>
      <c r="H1827" t="n">
        <v>0.0253494536830273</v>
      </c>
      <c r="I1827" t="n">
        <v>0.0198896965773258</v>
      </c>
      <c r="J1827" t="n">
        <v>0.1567438969500824</v>
      </c>
      <c r="K1827" t="n">
        <v>0.4684243074022092</v>
      </c>
      <c r="L1827" t="b">
        <v>1</v>
      </c>
      <c r="M1827" t="b">
        <v>0</v>
      </c>
      <c r="N1827" t="inlineStr">
        <is>
          <t>ref</t>
        </is>
      </c>
      <c r="O1827" t="n">
        <v>-60</v>
      </c>
      <c r="P1827" t="n">
        <v>0.02155</v>
      </c>
      <c r="Q1827" t="n">
        <v>90</v>
      </c>
      <c r="R1827" t="n">
        <v>0.03528</v>
      </c>
      <c r="S1827">
        <f>IMAGE("https://mitra.stanford.edu/kundaje/oak/projects/neuro-variants/variant_position/credible/roussos_2024/variant_figures/roussos_2024.adolescence.GLU/rs62064660_count_position.png",4,220,900)</f>
        <v/>
      </c>
      <c r="T1827">
        <f>IMAGE("https://mitra.stanford.edu/kundaje/oak/projects/neuro-variants/variant_position/credible/roussos_2024/variant_figures/roussos_2024.adolescence.GLU/rs62064660_profile_position.png",4,220,900)</f>
        <v/>
      </c>
    </row>
    <row r="1828">
      <c r="A1828" t="inlineStr">
        <is>
          <t>chr17</t>
        </is>
      </c>
      <c r="B1828" t="n">
        <v>46004161</v>
      </c>
      <c r="C1828" t="inlineStr">
        <is>
          <t>T</t>
        </is>
      </c>
      <c r="D1828" t="inlineStr">
        <is>
          <t>C</t>
        </is>
      </c>
      <c r="E1828" t="inlineStr">
        <is>
          <t>rs62064665</t>
        </is>
      </c>
      <c r="F1828" t="n">
        <v>0.0194436056</v>
      </c>
      <c r="G1828" t="n">
        <v>0.3022467306999376</v>
      </c>
      <c r="H1828" t="n">
        <v>0.009243761554592</v>
      </c>
      <c r="I1828" t="n">
        <v>0.6061552793882071</v>
      </c>
      <c r="J1828" t="n">
        <v>0.226711247329804</v>
      </c>
      <c r="K1828" t="n">
        <v>0.3647807281665787</v>
      </c>
      <c r="L1828" t="b">
        <v>0</v>
      </c>
      <c r="M1828" t="b">
        <v>0</v>
      </c>
      <c r="N1828" t="inlineStr">
        <is>
          <t>alt</t>
        </is>
      </c>
      <c r="O1828" t="n">
        <v>-100</v>
      </c>
      <c r="P1828" t="n">
        <v>0.004417</v>
      </c>
      <c r="Q1828" t="n">
        <v>0</v>
      </c>
      <c r="R1828" t="n">
        <v>0</v>
      </c>
      <c r="S1828">
        <f>IMAGE("https://mitra.stanford.edu/kundaje/oak/projects/neuro-variants/variant_position/credible/roussos_2024/variant_figures/roussos_2024.adolescence.GLU/rs62064665_count_position.png",4,220,900)</f>
        <v/>
      </c>
      <c r="T1828">
        <f>IMAGE("https://mitra.stanford.edu/kundaje/oak/projects/neuro-variants/variant_position/credible/roussos_2024/variant_figures/roussos_2024.adolescence.GLU/rs62064665_profile_position.png",4,220,900)</f>
        <v/>
      </c>
    </row>
    <row r="1829">
      <c r="A1829" t="inlineStr">
        <is>
          <t>chr17</t>
        </is>
      </c>
      <c r="B1829" t="n">
        <v>46005237</v>
      </c>
      <c r="C1829" t="inlineStr">
        <is>
          <t>A</t>
        </is>
      </c>
      <c r="D1829" t="inlineStr">
        <is>
          <t>C</t>
        </is>
      </c>
      <c r="E1829" t="inlineStr">
        <is>
          <t>rs17573593</t>
        </is>
      </c>
      <c r="F1829" t="n">
        <v>0.1091478584</v>
      </c>
      <c r="G1829" t="n">
        <v>0.0109252471224481</v>
      </c>
      <c r="H1829" t="n">
        <v>0.0336392700487942</v>
      </c>
      <c r="I1829" t="n">
        <v>0.011273193792628</v>
      </c>
      <c r="J1829" t="n">
        <v>0.2259768094819641</v>
      </c>
      <c r="K1829" t="n">
        <v>0.362675336142416</v>
      </c>
      <c r="L1829" t="b">
        <v>1</v>
      </c>
      <c r="M1829" t="b">
        <v>0</v>
      </c>
      <c r="N1829" t="inlineStr">
        <is>
          <t>alt</t>
        </is>
      </c>
      <c r="O1829" t="n">
        <v>10</v>
      </c>
      <c r="P1829" t="n">
        <v>0.0005407</v>
      </c>
      <c r="Q1829" t="n">
        <v>-85</v>
      </c>
      <c r="R1829" t="n">
        <v>0.11475</v>
      </c>
      <c r="S1829">
        <f>IMAGE("https://mitra.stanford.edu/kundaje/oak/projects/neuro-variants/variant_position/credible/roussos_2024/variant_figures/roussos_2024.adolescence.GLU/rs17573593_count_position.png",4,220,900)</f>
        <v/>
      </c>
      <c r="T1829">
        <f>IMAGE("https://mitra.stanford.edu/kundaje/oak/projects/neuro-variants/variant_position/credible/roussos_2024/variant_figures/roussos_2024.adolescence.GLU/rs17573593_profile_position.png",4,220,900)</f>
        <v/>
      </c>
    </row>
    <row r="1830">
      <c r="A1830" t="inlineStr">
        <is>
          <t>chr17</t>
        </is>
      </c>
      <c r="B1830" t="n">
        <v>46005957</v>
      </c>
      <c r="C1830" t="inlineStr">
        <is>
          <t>C</t>
        </is>
      </c>
      <c r="D1830" t="inlineStr">
        <is>
          <t>T</t>
        </is>
      </c>
      <c r="E1830" t="inlineStr">
        <is>
          <t>rs17652337</t>
        </is>
      </c>
      <c r="F1830" t="n">
        <v>-0.052116032</v>
      </c>
      <c r="G1830" t="n">
        <v>0.0594550019880452</v>
      </c>
      <c r="H1830" t="n">
        <v>0.0099422807584486</v>
      </c>
      <c r="I1830" t="n">
        <v>0.5181631451738246</v>
      </c>
      <c r="J1830" t="n">
        <v>0.1946331740146172</v>
      </c>
      <c r="K1830" t="n">
        <v>0.4078390190776185</v>
      </c>
      <c r="L1830" t="b">
        <v>0</v>
      </c>
      <c r="M1830" t="b">
        <v>0</v>
      </c>
      <c r="N1830" t="inlineStr">
        <is>
          <t>ref</t>
        </is>
      </c>
      <c r="O1830" t="n">
        <v>-95</v>
      </c>
      <c r="P1830" t="n">
        <v>0.007156</v>
      </c>
      <c r="Q1830" t="n">
        <v>-85</v>
      </c>
      <c r="R1830" t="n">
        <v>0.0864</v>
      </c>
      <c r="S1830">
        <f>IMAGE("https://mitra.stanford.edu/kundaje/oak/projects/neuro-variants/variant_position/credible/roussos_2024/variant_figures/roussos_2024.adolescence.GLU/rs17652337_count_position.png",4,220,900)</f>
        <v/>
      </c>
      <c r="T1830">
        <f>IMAGE("https://mitra.stanford.edu/kundaje/oak/projects/neuro-variants/variant_position/credible/roussos_2024/variant_figures/roussos_2024.adolescence.GLU/rs17652337_profile_position.png",4,220,900)</f>
        <v/>
      </c>
    </row>
    <row r="1831">
      <c r="A1831" t="inlineStr">
        <is>
          <t>chr17</t>
        </is>
      </c>
      <c r="B1831" t="n">
        <v>46007167</v>
      </c>
      <c r="C1831" t="inlineStr">
        <is>
          <t>T</t>
        </is>
      </c>
      <c r="D1831" t="inlineStr">
        <is>
          <t>C</t>
        </is>
      </c>
      <c r="E1831" t="inlineStr">
        <is>
          <t>rs74829364</t>
        </is>
      </c>
      <c r="F1831" t="n">
        <v>-6.714120000000066e-06</v>
      </c>
      <c r="G1831" t="n">
        <v>0.8516160952744752</v>
      </c>
      <c r="H1831" t="n">
        <v>0.0224954402593091</v>
      </c>
      <c r="I1831" t="n">
        <v>0.0368399941680537</v>
      </c>
      <c r="J1831" t="n">
        <v>0.0800080016574861</v>
      </c>
      <c r="K1831" t="n">
        <v>0.618644900610571</v>
      </c>
      <c r="L1831" t="b">
        <v>0</v>
      </c>
      <c r="M1831" t="b">
        <v>0</v>
      </c>
      <c r="N1831" t="inlineStr">
        <is>
          <t>ref</t>
        </is>
      </c>
      <c r="O1831" t="n">
        <v>-100</v>
      </c>
      <c r="P1831" t="n">
        <v>0.08740000000000001</v>
      </c>
      <c r="Q1831" t="n">
        <v>100</v>
      </c>
      <c r="R1831" t="n">
        <v>0.10693</v>
      </c>
      <c r="S1831">
        <f>IMAGE("https://mitra.stanford.edu/kundaje/oak/projects/neuro-variants/variant_position/credible/roussos_2024/variant_figures/roussos_2024.adolescence.GLU/rs74829364_count_position.png",4,220,900)</f>
        <v/>
      </c>
      <c r="T1831">
        <f>IMAGE("https://mitra.stanford.edu/kundaje/oak/projects/neuro-variants/variant_position/credible/roussos_2024/variant_figures/roussos_2024.adolescence.GLU/rs74829364_profile_position.png",4,220,900)</f>
        <v/>
      </c>
    </row>
    <row r="1832">
      <c r="A1832" t="inlineStr">
        <is>
          <t>chr17</t>
        </is>
      </c>
      <c r="B1832" t="n">
        <v>46009155</v>
      </c>
      <c r="C1832" t="inlineStr">
        <is>
          <t>G</t>
        </is>
      </c>
      <c r="D1832" t="inlineStr">
        <is>
          <t>A</t>
        </is>
      </c>
      <c r="E1832" t="inlineStr">
        <is>
          <t>rs62064672</t>
        </is>
      </c>
      <c r="F1832" t="n">
        <v>0.04176913568</v>
      </c>
      <c r="G1832" t="n">
        <v>0.1043480593860955</v>
      </c>
      <c r="H1832" t="n">
        <v>0.0160387564433291</v>
      </c>
      <c r="I1832" t="n">
        <v>0.1528769130996343</v>
      </c>
      <c r="J1832" t="n">
        <v>0.3696065613591387</v>
      </c>
      <c r="K1832" t="n">
        <v>0.1969230403461341</v>
      </c>
      <c r="L1832" t="b">
        <v>0</v>
      </c>
      <c r="M1832" t="b">
        <v>0</v>
      </c>
      <c r="N1832" t="inlineStr">
        <is>
          <t>alt</t>
        </is>
      </c>
      <c r="O1832" t="n">
        <v>100</v>
      </c>
      <c r="P1832" t="n">
        <v>0.008240000000000001</v>
      </c>
      <c r="Q1832" t="n">
        <v>-100</v>
      </c>
      <c r="R1832" t="n">
        <v>0.06934</v>
      </c>
      <c r="S1832">
        <f>IMAGE("https://mitra.stanford.edu/kundaje/oak/projects/neuro-variants/variant_position/credible/roussos_2024/variant_figures/roussos_2024.adolescence.GLU/rs62064672_count_position.png",4,220,900)</f>
        <v/>
      </c>
      <c r="T1832">
        <f>IMAGE("https://mitra.stanford.edu/kundaje/oak/projects/neuro-variants/variant_position/credible/roussos_2024/variant_figures/roussos_2024.adolescence.GLU/rs62064672_profile_position.png",4,220,900)</f>
        <v/>
      </c>
    </row>
    <row r="1833">
      <c r="A1833" t="inlineStr">
        <is>
          <t>chr17</t>
        </is>
      </c>
      <c r="B1833" t="n">
        <v>46011406</v>
      </c>
      <c r="C1833" t="inlineStr">
        <is>
          <t>C</t>
        </is>
      </c>
      <c r="D1833" t="inlineStr">
        <is>
          <t>A</t>
        </is>
      </c>
      <c r="E1833" t="inlineStr">
        <is>
          <t>rs62064674</t>
        </is>
      </c>
      <c r="F1833" t="n">
        <v>-0.0104777369</v>
      </c>
      <c r="G1833" t="n">
        <v>0.5076685092242287</v>
      </c>
      <c r="H1833" t="n">
        <v>0.0156122016165797</v>
      </c>
      <c r="I1833" t="n">
        <v>0.1357660139850171</v>
      </c>
      <c r="J1833" t="n">
        <v>0.521290838816612</v>
      </c>
      <c r="K1833" t="n">
        <v>0.07578217416572749</v>
      </c>
      <c r="L1833" t="b">
        <v>0</v>
      </c>
      <c r="M1833" t="b">
        <v>0</v>
      </c>
      <c r="N1833" t="inlineStr">
        <is>
          <t>ref</t>
        </is>
      </c>
      <c r="O1833" t="n">
        <v>-100</v>
      </c>
      <c r="P1833" t="n">
        <v>0.00364</v>
      </c>
      <c r="Q1833" t="n">
        <v>30</v>
      </c>
      <c r="R1833" t="n">
        <v>0.04425</v>
      </c>
      <c r="S1833">
        <f>IMAGE("https://mitra.stanford.edu/kundaje/oak/projects/neuro-variants/variant_position/credible/roussos_2024/variant_figures/roussos_2024.adolescence.GLU/rs62064674_count_position.png",4,220,900)</f>
        <v/>
      </c>
      <c r="T1833">
        <f>IMAGE("https://mitra.stanford.edu/kundaje/oak/projects/neuro-variants/variant_position/credible/roussos_2024/variant_figures/roussos_2024.adolescence.GLU/rs62064674_profile_position.png",4,220,900)</f>
        <v/>
      </c>
    </row>
    <row r="1834">
      <c r="A1834" t="inlineStr">
        <is>
          <t>chr17</t>
        </is>
      </c>
      <c r="B1834" t="n">
        <v>46011742</v>
      </c>
      <c r="C1834" t="inlineStr">
        <is>
          <t>T</t>
        </is>
      </c>
      <c r="D1834" t="inlineStr">
        <is>
          <t>C</t>
        </is>
      </c>
      <c r="E1834" t="inlineStr">
        <is>
          <t>rs76723223</t>
        </is>
      </c>
      <c r="F1834" t="n">
        <v>0.0511991324</v>
      </c>
      <c r="G1834" t="n">
        <v>0.0593237110854558</v>
      </c>
      <c r="H1834" t="n">
        <v>0.0109623163513215</v>
      </c>
      <c r="I1834" t="n">
        <v>0.4268293529588859</v>
      </c>
      <c r="J1834" t="n">
        <v>0.5355509355509355</v>
      </c>
      <c r="K1834" t="n">
        <v>0.0672358687930413</v>
      </c>
      <c r="L1834" t="b">
        <v>0</v>
      </c>
      <c r="M1834" t="b">
        <v>0</v>
      </c>
      <c r="N1834" t="inlineStr">
        <is>
          <t>alt</t>
        </is>
      </c>
      <c r="O1834" t="n">
        <v>85</v>
      </c>
      <c r="P1834" t="n">
        <v>0.00399</v>
      </c>
      <c r="Q1834" t="n">
        <v>55</v>
      </c>
      <c r="R1834" t="n">
        <v>0.08606</v>
      </c>
      <c r="S1834">
        <f>IMAGE("https://mitra.stanford.edu/kundaje/oak/projects/neuro-variants/variant_position/credible/roussos_2024/variant_figures/roussos_2024.adolescence.GLU/rs76723223_count_position.png",4,220,900)</f>
        <v/>
      </c>
      <c r="T1834">
        <f>IMAGE("https://mitra.stanford.edu/kundaje/oak/projects/neuro-variants/variant_position/credible/roussos_2024/variant_figures/roussos_2024.adolescence.GLU/rs76723223_profile_position.png",4,220,900)</f>
        <v/>
      </c>
    </row>
    <row r="1835">
      <c r="A1835" t="inlineStr">
        <is>
          <t>chr17</t>
        </is>
      </c>
      <c r="B1835" t="n">
        <v>46012197</v>
      </c>
      <c r="C1835" t="inlineStr">
        <is>
          <t>C</t>
        </is>
      </c>
      <c r="D1835" t="inlineStr">
        <is>
          <t>T</t>
        </is>
      </c>
      <c r="E1835" t="inlineStr">
        <is>
          <t>rs733966</t>
        </is>
      </c>
      <c r="F1835" t="n">
        <v>-0.0842579448</v>
      </c>
      <c r="G1835" t="n">
        <v>0.0142838578951862</v>
      </c>
      <c r="H1835" t="n">
        <v>0.0176895633173986</v>
      </c>
      <c r="I1835" t="n">
        <v>0.0962351618173496</v>
      </c>
      <c r="J1835" t="n">
        <v>0.5480678140471955</v>
      </c>
      <c r="K1835" t="n">
        <v>0.0603831931191338</v>
      </c>
      <c r="L1835" t="b">
        <v>1</v>
      </c>
      <c r="M1835" t="b">
        <v>0</v>
      </c>
      <c r="N1835" t="inlineStr">
        <is>
          <t>ref</t>
        </is>
      </c>
      <c r="O1835" t="n">
        <v>-10</v>
      </c>
      <c r="P1835" t="n">
        <v>0.000738</v>
      </c>
      <c r="Q1835" t="n">
        <v>80</v>
      </c>
      <c r="R1835" t="n">
        <v>0.11865</v>
      </c>
      <c r="S1835">
        <f>IMAGE("https://mitra.stanford.edu/kundaje/oak/projects/neuro-variants/variant_position/credible/roussos_2024/variant_figures/roussos_2024.adolescence.GLU/rs733966_count_position.png",4,220,900)</f>
        <v/>
      </c>
      <c r="T1835">
        <f>IMAGE("https://mitra.stanford.edu/kundaje/oak/projects/neuro-variants/variant_position/credible/roussos_2024/variant_figures/roussos_2024.adolescence.GLU/rs733966_profile_position.png",4,220,900)</f>
        <v/>
      </c>
    </row>
    <row r="1836">
      <c r="A1836" t="inlineStr">
        <is>
          <t>chr17</t>
        </is>
      </c>
      <c r="B1836" t="n">
        <v>46012361</v>
      </c>
      <c r="C1836" t="inlineStr">
        <is>
          <t>G</t>
        </is>
      </c>
      <c r="D1836" t="inlineStr">
        <is>
          <t>A</t>
        </is>
      </c>
      <c r="E1836" t="inlineStr">
        <is>
          <t>rs733969</t>
        </is>
      </c>
      <c r="F1836" t="n">
        <v>-0.0218269224</v>
      </c>
      <c r="G1836" t="n">
        <v>0.2704038844040217</v>
      </c>
      <c r="H1836" t="n">
        <v>0.008280338652228599</v>
      </c>
      <c r="I1836" t="n">
        <v>0.7350679728932027</v>
      </c>
      <c r="J1836" t="n">
        <v>0.5440098306077688</v>
      </c>
      <c r="K1836" t="n">
        <v>0.0624953397606613</v>
      </c>
      <c r="L1836" t="b">
        <v>0</v>
      </c>
      <c r="M1836" t="b">
        <v>0</v>
      </c>
      <c r="N1836" t="inlineStr">
        <is>
          <t>ref</t>
        </is>
      </c>
      <c r="O1836" t="n">
        <v>-85</v>
      </c>
      <c r="P1836" t="n">
        <v>0.00337</v>
      </c>
      <c r="Q1836" t="n">
        <v>-45</v>
      </c>
      <c r="R1836" t="n">
        <v>0.1077</v>
      </c>
      <c r="S1836">
        <f>IMAGE("https://mitra.stanford.edu/kundaje/oak/projects/neuro-variants/variant_position/credible/roussos_2024/variant_figures/roussos_2024.adolescence.GLU/rs733969_count_position.png",4,220,900)</f>
        <v/>
      </c>
      <c r="T1836">
        <f>IMAGE("https://mitra.stanford.edu/kundaje/oak/projects/neuro-variants/variant_position/credible/roussos_2024/variant_figures/roussos_2024.adolescence.GLU/rs733969_profile_position.png",4,220,900)</f>
        <v/>
      </c>
    </row>
    <row r="1837">
      <c r="A1837" t="inlineStr">
        <is>
          <t>chr17</t>
        </is>
      </c>
      <c r="B1837" t="n">
        <v>46012870</v>
      </c>
      <c r="C1837" t="inlineStr">
        <is>
          <t>T</t>
        </is>
      </c>
      <c r="D1837" t="inlineStr">
        <is>
          <t>C</t>
        </is>
      </c>
      <c r="E1837" t="inlineStr">
        <is>
          <t>rs4306559</t>
        </is>
      </c>
      <c r="F1837" t="n">
        <v>0.0614619312</v>
      </c>
      <c r="G1837" t="n">
        <v>0.0367916843958843</v>
      </c>
      <c r="H1837" t="n">
        <v>0.0200299732613386</v>
      </c>
      <c r="I1837" t="n">
        <v>0.0581028394522304</v>
      </c>
      <c r="J1837" t="n">
        <v>0.5173071564824141</v>
      </c>
      <c r="K1837" t="n">
        <v>0.0780737286367523</v>
      </c>
      <c r="L1837" t="b">
        <v>0</v>
      </c>
      <c r="M1837" t="b">
        <v>0</v>
      </c>
      <c r="N1837" t="inlineStr">
        <is>
          <t>alt</t>
        </is>
      </c>
      <c r="O1837" t="n">
        <v>-100</v>
      </c>
      <c r="P1837" t="n">
        <v>0.002857</v>
      </c>
      <c r="Q1837" t="n">
        <v>-45</v>
      </c>
      <c r="R1837" t="n">
        <v>0.03735</v>
      </c>
      <c r="S1837">
        <f>IMAGE("https://mitra.stanford.edu/kundaje/oak/projects/neuro-variants/variant_position/credible/roussos_2024/variant_figures/roussos_2024.adolescence.GLU/rs4306559_count_position.png",4,220,900)</f>
        <v/>
      </c>
      <c r="T1837">
        <f>IMAGE("https://mitra.stanford.edu/kundaje/oak/projects/neuro-variants/variant_position/credible/roussos_2024/variant_figures/roussos_2024.adolescence.GLU/rs4306559_profile_position.png",4,220,900)</f>
        <v/>
      </c>
    </row>
    <row r="1838">
      <c r="A1838" t="inlineStr">
        <is>
          <t>chr17</t>
        </is>
      </c>
      <c r="B1838" t="n">
        <v>46013829</v>
      </c>
      <c r="C1838" t="inlineStr">
        <is>
          <t>T</t>
        </is>
      </c>
      <c r="D1838" t="inlineStr">
        <is>
          <t>C</t>
        </is>
      </c>
      <c r="E1838" t="inlineStr">
        <is>
          <t>rs62062270</t>
        </is>
      </c>
      <c r="F1838" t="n">
        <v>-0.01438050646</v>
      </c>
      <c r="G1838" t="n">
        <v>0.4268631686093722</v>
      </c>
      <c r="H1838" t="n">
        <v>0.0168374835549832</v>
      </c>
      <c r="I1838" t="n">
        <v>0.1146935618802213</v>
      </c>
      <c r="J1838" t="n">
        <v>0.4394267383958105</v>
      </c>
      <c r="K1838" t="n">
        <v>0.1327546006554391</v>
      </c>
      <c r="L1838" t="b">
        <v>0</v>
      </c>
      <c r="M1838" t="b">
        <v>0</v>
      </c>
      <c r="N1838" t="inlineStr">
        <is>
          <t>ref</t>
        </is>
      </c>
      <c r="O1838" t="n">
        <v>95</v>
      </c>
      <c r="P1838" t="n">
        <v>0.00406</v>
      </c>
      <c r="Q1838" t="n">
        <v>-50</v>
      </c>
      <c r="R1838" t="n">
        <v>0.01892</v>
      </c>
      <c r="S1838">
        <f>IMAGE("https://mitra.stanford.edu/kundaje/oak/projects/neuro-variants/variant_position/credible/roussos_2024/variant_figures/roussos_2024.adolescence.GLU/rs62062270_count_position.png",4,220,900)</f>
        <v/>
      </c>
      <c r="T1838">
        <f>IMAGE("https://mitra.stanford.edu/kundaje/oak/projects/neuro-variants/variant_position/credible/roussos_2024/variant_figures/roussos_2024.adolescence.GLU/rs62062270_profile_position.png",4,220,900)</f>
        <v/>
      </c>
    </row>
    <row r="1839">
      <c r="A1839" t="inlineStr">
        <is>
          <t>chr17</t>
        </is>
      </c>
      <c r="B1839" t="n">
        <v>46016130</v>
      </c>
      <c r="C1839" t="inlineStr">
        <is>
          <t>A</t>
        </is>
      </c>
      <c r="D1839" t="inlineStr">
        <is>
          <t>G</t>
        </is>
      </c>
      <c r="E1839" t="inlineStr">
        <is>
          <t>rs62062275</t>
        </is>
      </c>
      <c r="F1839" t="n">
        <v>0.0355224576</v>
      </c>
      <c r="G1839" t="n">
        <v>0.1293076615368357</v>
      </c>
      <c r="H1839" t="n">
        <v>0.0089713457872392</v>
      </c>
      <c r="I1839" t="n">
        <v>0.6650973500604366</v>
      </c>
      <c r="J1839" t="n">
        <v>0.1293968036236077</v>
      </c>
      <c r="K1839" t="n">
        <v>0.5199651063226148</v>
      </c>
      <c r="L1839" t="b">
        <v>0</v>
      </c>
      <c r="M1839" t="b">
        <v>0</v>
      </c>
      <c r="N1839" t="inlineStr">
        <is>
          <t>alt</t>
        </is>
      </c>
      <c r="O1839" t="n">
        <v>-85</v>
      </c>
      <c r="P1839" t="n">
        <v>0.006126</v>
      </c>
      <c r="Q1839" t="n">
        <v>-100</v>
      </c>
      <c r="R1839" t="n">
        <v>0.05267</v>
      </c>
      <c r="S1839">
        <f>IMAGE("https://mitra.stanford.edu/kundaje/oak/projects/neuro-variants/variant_position/credible/roussos_2024/variant_figures/roussos_2024.adolescence.GLU/rs62062275_count_position.png",4,220,900)</f>
        <v/>
      </c>
      <c r="T1839">
        <f>IMAGE("https://mitra.stanford.edu/kundaje/oak/projects/neuro-variants/variant_position/credible/roussos_2024/variant_figures/roussos_2024.adolescence.GLU/rs62062275_profile_position.png",4,220,900)</f>
        <v/>
      </c>
    </row>
    <row r="1840">
      <c r="A1840" t="inlineStr">
        <is>
          <t>chr17</t>
        </is>
      </c>
      <c r="B1840" t="n">
        <v>46024197</v>
      </c>
      <c r="C1840" t="inlineStr">
        <is>
          <t>T</t>
        </is>
      </c>
      <c r="D1840" t="inlineStr">
        <is>
          <t>C</t>
        </is>
      </c>
      <c r="E1840" t="inlineStr">
        <is>
          <t>rs9468</t>
        </is>
      </c>
      <c r="F1840" t="n">
        <v>0.0209856792</v>
      </c>
      <c r="G1840" t="n">
        <v>0.2629153583716267</v>
      </c>
      <c r="H1840" t="n">
        <v>0.0093683093327772</v>
      </c>
      <c r="I1840" t="n">
        <v>0.5965109892441285</v>
      </c>
      <c r="J1840" t="n">
        <v>0.5597659515185288</v>
      </c>
      <c r="K1840" t="n">
        <v>0.0553087493622169</v>
      </c>
      <c r="L1840" t="b">
        <v>0</v>
      </c>
      <c r="M1840" t="b">
        <v>0</v>
      </c>
      <c r="N1840" t="inlineStr">
        <is>
          <t>alt</t>
        </is>
      </c>
      <c r="O1840" t="n">
        <v>100</v>
      </c>
      <c r="P1840" t="n">
        <v>0.06464</v>
      </c>
      <c r="Q1840" t="n">
        <v>-85</v>
      </c>
      <c r="R1840" t="n">
        <v>0.1334</v>
      </c>
      <c r="S1840">
        <f>IMAGE("https://mitra.stanford.edu/kundaje/oak/projects/neuro-variants/variant_position/credible/roussos_2024/variant_figures/roussos_2024.adolescence.GLU/rs9468_count_position.png",4,220,900)</f>
        <v/>
      </c>
      <c r="T1840">
        <f>IMAGE("https://mitra.stanford.edu/kundaje/oak/projects/neuro-variants/variant_position/credible/roussos_2024/variant_figures/roussos_2024.adolescence.GLU/rs9468_profile_position.png",4,220,900)</f>
        <v/>
      </c>
    </row>
    <row r="1841">
      <c r="A1841" t="inlineStr">
        <is>
          <t>chr17</t>
        </is>
      </c>
      <c r="B1841" t="n">
        <v>46025272</v>
      </c>
      <c r="C1841" t="inlineStr">
        <is>
          <t>A</t>
        </is>
      </c>
      <c r="D1841" t="inlineStr">
        <is>
          <t>G</t>
        </is>
      </c>
      <c r="E1841" t="inlineStr">
        <is>
          <t>rs1052590</t>
        </is>
      </c>
      <c r="F1841" t="n">
        <v>0.0556522606</v>
      </c>
      <c r="G1841" t="n">
        <v>0.0476630972248782</v>
      </c>
      <c r="H1841" t="n">
        <v>0.016464550082395</v>
      </c>
      <c r="I1841" t="n">
        <v>0.1154036358086265</v>
      </c>
      <c r="J1841" t="n">
        <v>0.5003107786612941</v>
      </c>
      <c r="K1841" t="n">
        <v>0.0881847345266786</v>
      </c>
      <c r="L1841" t="b">
        <v>0</v>
      </c>
      <c r="M1841" t="b">
        <v>0</v>
      </c>
      <c r="N1841" t="inlineStr">
        <is>
          <t>alt</t>
        </is>
      </c>
      <c r="O1841" t="n">
        <v>-95</v>
      </c>
      <c r="P1841" t="n">
        <v>0.001053</v>
      </c>
      <c r="Q1841" t="n">
        <v>60</v>
      </c>
      <c r="R1841" t="n">
        <v>0.03418</v>
      </c>
      <c r="S1841">
        <f>IMAGE("https://mitra.stanford.edu/kundaje/oak/projects/neuro-variants/variant_position/credible/roussos_2024/variant_figures/roussos_2024.adolescence.GLU/rs1052590_count_position.png",4,220,900)</f>
        <v/>
      </c>
      <c r="T1841">
        <f>IMAGE("https://mitra.stanford.edu/kundaje/oak/projects/neuro-variants/variant_position/credible/roussos_2024/variant_figures/roussos_2024.adolescence.GLU/rs1052590_profile_position.png",4,220,900)</f>
        <v/>
      </c>
    </row>
    <row r="1842">
      <c r="A1842" t="inlineStr">
        <is>
          <t>chr17</t>
        </is>
      </c>
      <c r="B1842" t="n">
        <v>46026250</v>
      </c>
      <c r="C1842" t="inlineStr">
        <is>
          <t>C</t>
        </is>
      </c>
      <c r="D1842" t="inlineStr">
        <is>
          <t>T</t>
        </is>
      </c>
      <c r="E1842" t="inlineStr">
        <is>
          <t>rs17652748</t>
        </is>
      </c>
      <c r="F1842" t="n">
        <v>0.00612172538</v>
      </c>
      <c r="G1842" t="n">
        <v>0.6540266568056476</v>
      </c>
      <c r="H1842" t="n">
        <v>0.0092586718267444</v>
      </c>
      <c r="I1842" t="n">
        <v>0.6123282074108777</v>
      </c>
      <c r="J1842" t="n">
        <v>0.4420358502832729</v>
      </c>
      <c r="K1842" t="n">
        <v>0.1299245434507649</v>
      </c>
      <c r="L1842" t="b">
        <v>0</v>
      </c>
      <c r="M1842" t="b">
        <v>0</v>
      </c>
      <c r="N1842" t="inlineStr">
        <is>
          <t>alt</t>
        </is>
      </c>
      <c r="O1842" t="n">
        <v>-85</v>
      </c>
      <c r="P1842" t="n">
        <v>0.077</v>
      </c>
      <c r="Q1842" t="n">
        <v>100</v>
      </c>
      <c r="R1842" t="n">
        <v>0.07733</v>
      </c>
      <c r="S1842">
        <f>IMAGE("https://mitra.stanford.edu/kundaje/oak/projects/neuro-variants/variant_position/credible/roussos_2024/variant_figures/roussos_2024.adolescence.GLU/rs17652748_count_position.png",4,220,900)</f>
        <v/>
      </c>
      <c r="T1842">
        <f>IMAGE("https://mitra.stanford.edu/kundaje/oak/projects/neuro-variants/variant_position/credible/roussos_2024/variant_figures/roussos_2024.adolescence.GLU/rs17652748_profile_position.png",4,220,900)</f>
        <v/>
      </c>
    </row>
    <row r="1843">
      <c r="A1843" t="inlineStr">
        <is>
          <t>chr17</t>
        </is>
      </c>
      <c r="B1843" t="n">
        <v>46026459</v>
      </c>
      <c r="C1843" t="inlineStr">
        <is>
          <t>T</t>
        </is>
      </c>
      <c r="D1843" t="inlineStr">
        <is>
          <t>C</t>
        </is>
      </c>
      <c r="E1843" t="inlineStr">
        <is>
          <t>rs75010486</t>
        </is>
      </c>
      <c r="F1843" t="n">
        <v>0.0635982006</v>
      </c>
      <c r="G1843" t="n">
        <v>0.0327418243412774</v>
      </c>
      <c r="H1843" t="n">
        <v>0.0100254513997234</v>
      </c>
      <c r="I1843" t="n">
        <v>0.5253006353733095</v>
      </c>
      <c r="J1843" t="n">
        <v>0.4893470790378007</v>
      </c>
      <c r="K1843" t="n">
        <v>0.0948454124296756</v>
      </c>
      <c r="L1843" t="b">
        <v>0</v>
      </c>
      <c r="M1843" t="b">
        <v>0</v>
      </c>
      <c r="N1843" t="inlineStr">
        <is>
          <t>alt</t>
        </is>
      </c>
      <c r="O1843" t="n">
        <v>30</v>
      </c>
      <c r="P1843" t="n">
        <v>0.001438</v>
      </c>
      <c r="Q1843" t="n">
        <v>85</v>
      </c>
      <c r="R1843" t="n">
        <v>0.07630000000000001</v>
      </c>
      <c r="S1843">
        <f>IMAGE("https://mitra.stanford.edu/kundaje/oak/projects/neuro-variants/variant_position/credible/roussos_2024/variant_figures/roussos_2024.adolescence.GLU/rs75010486_count_position.png",4,220,900)</f>
        <v/>
      </c>
      <c r="T1843">
        <f>IMAGE("https://mitra.stanford.edu/kundaje/oak/projects/neuro-variants/variant_position/credible/roussos_2024/variant_figures/roussos_2024.adolescence.GLU/rs75010486_profile_position.png",4,220,900)</f>
        <v/>
      </c>
    </row>
    <row r="1844">
      <c r="A1844" t="inlineStr">
        <is>
          <t>chr17</t>
        </is>
      </c>
      <c r="B1844" t="n">
        <v>46028854</v>
      </c>
      <c r="C1844" t="inlineStr">
        <is>
          <t>A</t>
        </is>
      </c>
      <c r="D1844" t="inlineStr">
        <is>
          <t>G</t>
        </is>
      </c>
      <c r="E1844" t="inlineStr">
        <is>
          <t>rs79772576</t>
        </is>
      </c>
      <c r="F1844" t="n">
        <v>0.08287080079999989</v>
      </c>
      <c r="G1844" t="n">
        <v>0.0135419709602251</v>
      </c>
      <c r="H1844" t="n">
        <v>0.0123020225803116</v>
      </c>
      <c r="I1844" t="n">
        <v>0.3225030407682889</v>
      </c>
      <c r="J1844" t="n">
        <v>0.3186931578684155</v>
      </c>
      <c r="K1844" t="n">
        <v>0.2479562653658848</v>
      </c>
      <c r="L1844" t="b">
        <v>1</v>
      </c>
      <c r="M1844" t="b">
        <v>0</v>
      </c>
      <c r="N1844" t="inlineStr">
        <is>
          <t>alt</t>
        </is>
      </c>
      <c r="O1844" t="n">
        <v>65</v>
      </c>
      <c r="P1844" t="n">
        <v>0.02092</v>
      </c>
      <c r="Q1844" t="n">
        <v>-100</v>
      </c>
      <c r="R1844" t="n">
        <v>0.08690000000000001</v>
      </c>
      <c r="S1844">
        <f>IMAGE("https://mitra.stanford.edu/kundaje/oak/projects/neuro-variants/variant_position/credible/roussos_2024/variant_figures/roussos_2024.adolescence.GLU/rs79772576_count_position.png",4,220,900)</f>
        <v/>
      </c>
      <c r="T1844">
        <f>IMAGE("https://mitra.stanford.edu/kundaje/oak/projects/neuro-variants/variant_position/credible/roussos_2024/variant_figures/roussos_2024.adolescence.GLU/rs79772576_profile_position.png",4,220,900)</f>
        <v/>
      </c>
    </row>
    <row r="1845">
      <c r="A1845" t="inlineStr">
        <is>
          <t>chr17</t>
        </is>
      </c>
      <c r="B1845" t="n">
        <v>46031540</v>
      </c>
      <c r="C1845" t="inlineStr">
        <is>
          <t>A</t>
        </is>
      </c>
      <c r="D1845" t="inlineStr">
        <is>
          <t>G</t>
        </is>
      </c>
      <c r="E1845" t="inlineStr">
        <is>
          <t>rs34579536</t>
        </is>
      </c>
      <c r="F1845" t="n">
        <v>0.0065307541199999</v>
      </c>
      <c r="G1845" t="n">
        <v>0.4196650196298376</v>
      </c>
      <c r="H1845" t="n">
        <v>0.0109948959530606</v>
      </c>
      <c r="I1845" t="n">
        <v>0.4362561057709119</v>
      </c>
      <c r="J1845" t="n">
        <v>0.5327089182759285</v>
      </c>
      <c r="K1845" t="n">
        <v>0.0699386731416281</v>
      </c>
      <c r="L1845" t="b">
        <v>0</v>
      </c>
      <c r="M1845" t="b">
        <v>0</v>
      </c>
      <c r="N1845" t="inlineStr">
        <is>
          <t>alt</t>
        </is>
      </c>
      <c r="O1845" t="n">
        <v>-100</v>
      </c>
      <c r="P1845" t="n">
        <v>0.09155000000000001</v>
      </c>
      <c r="Q1845" t="n">
        <v>50</v>
      </c>
      <c r="R1845" t="n">
        <v>0.02051</v>
      </c>
      <c r="S1845">
        <f>IMAGE("https://mitra.stanford.edu/kundaje/oak/projects/neuro-variants/variant_position/credible/roussos_2024/variant_figures/roussos_2024.adolescence.GLU/rs34579536_count_position.png",4,220,900)</f>
        <v/>
      </c>
      <c r="T1845">
        <f>IMAGE("https://mitra.stanford.edu/kundaje/oak/projects/neuro-variants/variant_position/credible/roussos_2024/variant_figures/roussos_2024.adolescence.GLU/rs34579536_profile_position.png",4,220,900)</f>
        <v/>
      </c>
    </row>
    <row r="1846">
      <c r="A1846" t="inlineStr">
        <is>
          <t>chr17</t>
        </is>
      </c>
      <c r="B1846" t="n">
        <v>46033743</v>
      </c>
      <c r="C1846" t="inlineStr">
        <is>
          <t>A</t>
        </is>
      </c>
      <c r="D1846" t="inlineStr">
        <is>
          <t>G</t>
        </is>
      </c>
      <c r="E1846" t="inlineStr">
        <is>
          <t>rs62062321</t>
        </is>
      </c>
      <c r="F1846" t="n">
        <v>-0.01235577412</v>
      </c>
      <c r="G1846" t="n">
        <v>0.4572167194078491</v>
      </c>
      <c r="H1846" t="n">
        <v>0.0106063045724106</v>
      </c>
      <c r="I1846" t="n">
        <v>0.459169382345092</v>
      </c>
      <c r="J1846" t="n">
        <v>0.3056961799229841</v>
      </c>
      <c r="K1846" t="n">
        <v>0.2654624377748613</v>
      </c>
      <c r="L1846" t="b">
        <v>0</v>
      </c>
      <c r="M1846" t="b">
        <v>0</v>
      </c>
      <c r="N1846" t="inlineStr">
        <is>
          <t>ref</t>
        </is>
      </c>
      <c r="O1846" t="n">
        <v>50</v>
      </c>
      <c r="P1846" t="n">
        <v>0.008255</v>
      </c>
      <c r="Q1846" t="n">
        <v>-45</v>
      </c>
      <c r="R1846" t="n">
        <v>0.0709</v>
      </c>
      <c r="S1846">
        <f>IMAGE("https://mitra.stanford.edu/kundaje/oak/projects/neuro-variants/variant_position/credible/roussos_2024/variant_figures/roussos_2024.adolescence.GLU/rs62062321_count_position.png",4,220,900)</f>
        <v/>
      </c>
      <c r="T1846">
        <f>IMAGE("https://mitra.stanford.edu/kundaje/oak/projects/neuro-variants/variant_position/credible/roussos_2024/variant_figures/roussos_2024.adolescence.GLU/rs62062321_profile_position.png",4,220,900)</f>
        <v/>
      </c>
    </row>
    <row r="1847">
      <c r="A1847" t="inlineStr">
        <is>
          <t>chr17</t>
        </is>
      </c>
      <c r="B1847" t="n">
        <v>46035019</v>
      </c>
      <c r="C1847" t="inlineStr">
        <is>
          <t>A</t>
        </is>
      </c>
      <c r="D1847" t="inlineStr">
        <is>
          <t>G</t>
        </is>
      </c>
      <c r="E1847" t="inlineStr">
        <is>
          <t>rs62062322</t>
        </is>
      </c>
      <c r="F1847" t="n">
        <v>-0.00417049904</v>
      </c>
      <c r="G1847" t="n">
        <v>0.7798348354463532</v>
      </c>
      <c r="H1847" t="n">
        <v>0.0265016014416227</v>
      </c>
      <c r="I1847" t="n">
        <v>0.015173970330624</v>
      </c>
      <c r="J1847" t="n">
        <v>0.2998764029691864</v>
      </c>
      <c r="K1847" t="n">
        <v>0.2715908859209016</v>
      </c>
      <c r="L1847" t="b">
        <v>1</v>
      </c>
      <c r="M1847" t="b">
        <v>0</v>
      </c>
      <c r="N1847" t="inlineStr">
        <is>
          <t>ref</t>
        </is>
      </c>
      <c r="O1847" t="n">
        <v>85</v>
      </c>
      <c r="P1847" t="n">
        <v>0.04337</v>
      </c>
      <c r="Q1847" t="n">
        <v>100</v>
      </c>
      <c r="R1847" t="n">
        <v>0.3196</v>
      </c>
      <c r="S1847">
        <f>IMAGE("https://mitra.stanford.edu/kundaje/oak/projects/neuro-variants/variant_position/credible/roussos_2024/variant_figures/roussos_2024.adolescence.GLU/rs62062322_count_position.png",4,220,900)</f>
        <v/>
      </c>
      <c r="T1847">
        <f>IMAGE("https://mitra.stanford.edu/kundaje/oak/projects/neuro-variants/variant_position/credible/roussos_2024/variant_figures/roussos_2024.adolescence.GLU/rs62062322_profile_position.png",4,220,900)</f>
        <v/>
      </c>
    </row>
    <row r="1848">
      <c r="A1848" t="inlineStr">
        <is>
          <t>chr17</t>
        </is>
      </c>
      <c r="B1848" t="n">
        <v>46038074</v>
      </c>
      <c r="C1848" t="inlineStr">
        <is>
          <t>T</t>
        </is>
      </c>
      <c r="D1848" t="inlineStr">
        <is>
          <t>C</t>
        </is>
      </c>
      <c r="E1848" t="inlineStr">
        <is>
          <t>rs8077487</t>
        </is>
      </c>
      <c r="F1848" t="n">
        <v>0.00716208714</v>
      </c>
      <c r="G1848" t="n">
        <v>0.6111671205934828</v>
      </c>
      <c r="H1848" t="n">
        <v>0.0074990089342277</v>
      </c>
      <c r="I1848" t="n">
        <v>0.8408771268056124</v>
      </c>
      <c r="J1848" t="n">
        <v>0.1863728915275306</v>
      </c>
      <c r="K1848" t="n">
        <v>0.4220791544601839</v>
      </c>
      <c r="L1848" t="b">
        <v>0</v>
      </c>
      <c r="M1848" t="b">
        <v>0</v>
      </c>
      <c r="N1848" t="inlineStr">
        <is>
          <t>alt</t>
        </is>
      </c>
      <c r="O1848" t="n">
        <v>-95</v>
      </c>
      <c r="P1848" t="n">
        <v>0.014946</v>
      </c>
      <c r="Q1848" t="n">
        <v>-45</v>
      </c>
      <c r="R1848" t="n">
        <v>0.07000000000000001</v>
      </c>
      <c r="S1848">
        <f>IMAGE("https://mitra.stanford.edu/kundaje/oak/projects/neuro-variants/variant_position/credible/roussos_2024/variant_figures/roussos_2024.adolescence.GLU/rs8077487_count_position.png",4,220,900)</f>
        <v/>
      </c>
      <c r="T1848">
        <f>IMAGE("https://mitra.stanford.edu/kundaje/oak/projects/neuro-variants/variant_position/credible/roussos_2024/variant_figures/roussos_2024.adolescence.GLU/rs8077487_profile_position.png",4,220,900)</f>
        <v/>
      </c>
    </row>
    <row r="1849">
      <c r="A1849" t="inlineStr">
        <is>
          <t>chr17</t>
        </is>
      </c>
      <c r="B1849" t="n">
        <v>46039584</v>
      </c>
      <c r="C1849" t="inlineStr">
        <is>
          <t>T</t>
        </is>
      </c>
      <c r="D1849" t="inlineStr">
        <is>
          <t>G</t>
        </is>
      </c>
      <c r="E1849" t="inlineStr">
        <is>
          <t>rs7221390</t>
        </is>
      </c>
      <c r="F1849" t="n">
        <v>-0.0172561988399999</v>
      </c>
      <c r="G1849" t="n">
        <v>0.3612881836847699</v>
      </c>
      <c r="H1849" t="n">
        <v>0.0299434702175143</v>
      </c>
      <c r="I1849" t="n">
        <v>0.008828582092887</v>
      </c>
      <c r="J1849" t="n">
        <v>0.3865343535446628</v>
      </c>
      <c r="K1849" t="n">
        <v>0.1800183172564591</v>
      </c>
      <c r="L1849" t="b">
        <v>1</v>
      </c>
      <c r="M1849" t="b">
        <v>1</v>
      </c>
      <c r="N1849" t="inlineStr">
        <is>
          <t>ref</t>
        </is>
      </c>
      <c r="O1849" t="n">
        <v>100</v>
      </c>
      <c r="P1849" t="n">
        <v>0.004387</v>
      </c>
      <c r="Q1849" t="n">
        <v>75</v>
      </c>
      <c r="R1849" t="n">
        <v>0.1019</v>
      </c>
      <c r="S1849">
        <f>IMAGE("https://mitra.stanford.edu/kundaje/oak/projects/neuro-variants/variant_position/credible/roussos_2024/variant_figures/roussos_2024.adolescence.GLU/rs7221390_count_position.png",4,220,900)</f>
        <v/>
      </c>
      <c r="T1849">
        <f>IMAGE("https://mitra.stanford.edu/kundaje/oak/projects/neuro-variants/variant_position/credible/roussos_2024/variant_figures/roussos_2024.adolescence.GLU/rs7221390_profile_position.png",4,220,900)</f>
        <v/>
      </c>
    </row>
    <row r="1850">
      <c r="A1850" t="inlineStr">
        <is>
          <t>chr17</t>
        </is>
      </c>
      <c r="B1850" t="n">
        <v>46041482</v>
      </c>
      <c r="C1850" t="inlineStr">
        <is>
          <t>G</t>
        </is>
      </c>
      <c r="D1850" t="inlineStr">
        <is>
          <t>A</t>
        </is>
      </c>
      <c r="E1850" t="inlineStr">
        <is>
          <t>rs62062137</t>
        </is>
      </c>
      <c r="F1850" t="n">
        <v>0.01420228242</v>
      </c>
      <c r="G1850" t="n">
        <v>0.372716286564349</v>
      </c>
      <c r="H1850" t="n">
        <v>0.0136907895480535</v>
      </c>
      <c r="I1850" t="n">
        <v>0.228857767283153</v>
      </c>
      <c r="J1850" t="n">
        <v>0.1744561373427352</v>
      </c>
      <c r="K1850" t="n">
        <v>0.4358608593659203</v>
      </c>
      <c r="L1850" t="b">
        <v>0</v>
      </c>
      <c r="M1850" t="b">
        <v>0</v>
      </c>
      <c r="N1850" t="inlineStr">
        <is>
          <t>alt</t>
        </is>
      </c>
      <c r="O1850" t="n">
        <v>-55</v>
      </c>
      <c r="P1850" t="n">
        <v>0.00219</v>
      </c>
      <c r="Q1850" t="n">
        <v>40</v>
      </c>
      <c r="R1850" t="n">
        <v>0.02405</v>
      </c>
      <c r="S1850">
        <f>IMAGE("https://mitra.stanford.edu/kundaje/oak/projects/neuro-variants/variant_position/credible/roussos_2024/variant_figures/roussos_2024.adolescence.GLU/rs62062137_count_position.png",4,220,900)</f>
        <v/>
      </c>
      <c r="T1850">
        <f>IMAGE("https://mitra.stanford.edu/kundaje/oak/projects/neuro-variants/variant_position/credible/roussos_2024/variant_figures/roussos_2024.adolescence.GLU/rs62062137_profile_position.png",4,220,900)</f>
        <v/>
      </c>
    </row>
    <row r="1851">
      <c r="A1851" t="inlineStr">
        <is>
          <t>chr17</t>
        </is>
      </c>
      <c r="B1851" t="n">
        <v>46041954</v>
      </c>
      <c r="C1851" t="inlineStr">
        <is>
          <t>C</t>
        </is>
      </c>
      <c r="D1851" t="inlineStr">
        <is>
          <t>T</t>
        </is>
      </c>
      <c r="E1851" t="inlineStr">
        <is>
          <t>rs55893711</t>
        </is>
      </c>
      <c r="F1851" t="n">
        <v>-0.0189256485</v>
      </c>
      <c r="G1851" t="n">
        <v>0.3191432589028375</v>
      </c>
      <c r="H1851" t="n">
        <v>0.0113953269137531</v>
      </c>
      <c r="I1851" t="n">
        <v>0.3807255875296421</v>
      </c>
      <c r="J1851" t="n">
        <v>0.1878289074165362</v>
      </c>
      <c r="K1851" t="n">
        <v>0.4193191742665294</v>
      </c>
      <c r="L1851" t="b">
        <v>0</v>
      </c>
      <c r="M1851" t="b">
        <v>0</v>
      </c>
      <c r="N1851" t="inlineStr">
        <is>
          <t>ref</t>
        </is>
      </c>
      <c r="O1851" t="n">
        <v>-90</v>
      </c>
      <c r="P1851" t="n">
        <v>0.00453</v>
      </c>
      <c r="Q1851" t="n">
        <v>60</v>
      </c>
      <c r="R1851" t="n">
        <v>0.02606</v>
      </c>
      <c r="S1851">
        <f>IMAGE("https://mitra.stanford.edu/kundaje/oak/projects/neuro-variants/variant_position/credible/roussos_2024/variant_figures/roussos_2024.adolescence.GLU/rs55893711_count_position.png",4,220,900)</f>
        <v/>
      </c>
      <c r="T1851">
        <f>IMAGE("https://mitra.stanford.edu/kundaje/oak/projects/neuro-variants/variant_position/credible/roussos_2024/variant_figures/roussos_2024.adolescence.GLU/rs55893711_profile_position.png",4,220,900)</f>
        <v/>
      </c>
    </row>
    <row r="1852">
      <c r="A1852" t="inlineStr">
        <is>
          <t>chr17</t>
        </is>
      </c>
      <c r="B1852" t="n">
        <v>46045882</v>
      </c>
      <c r="C1852" t="inlineStr">
        <is>
          <t>T</t>
        </is>
      </c>
      <c r="D1852" t="inlineStr">
        <is>
          <t>C</t>
        </is>
      </c>
      <c r="E1852" t="inlineStr">
        <is>
          <t>rs62063670</t>
        </is>
      </c>
      <c r="F1852" t="n">
        <v>0.078917661</v>
      </c>
      <c r="G1852" t="n">
        <v>0.0154183188265721</v>
      </c>
      <c r="H1852" t="n">
        <v>0.0146612783791468</v>
      </c>
      <c r="I1852" t="n">
        <v>0.1829847234848693</v>
      </c>
      <c r="J1852" t="n">
        <v>0.2190596623586314</v>
      </c>
      <c r="K1852" t="n">
        <v>0.3762812557586704</v>
      </c>
      <c r="L1852" t="b">
        <v>1</v>
      </c>
      <c r="M1852" t="b">
        <v>0</v>
      </c>
      <c r="N1852" t="inlineStr">
        <is>
          <t>alt</t>
        </is>
      </c>
      <c r="O1852" t="n">
        <v>-100</v>
      </c>
      <c r="P1852" t="n">
        <v>0.002447</v>
      </c>
      <c r="Q1852" t="n">
        <v>-80</v>
      </c>
      <c r="R1852" t="n">
        <v>0.1069</v>
      </c>
      <c r="S1852">
        <f>IMAGE("https://mitra.stanford.edu/kundaje/oak/projects/neuro-variants/variant_position/credible/roussos_2024/variant_figures/roussos_2024.adolescence.GLU/rs62063670_count_position.png",4,220,900)</f>
        <v/>
      </c>
      <c r="T1852">
        <f>IMAGE("https://mitra.stanford.edu/kundaje/oak/projects/neuro-variants/variant_position/credible/roussos_2024/variant_figures/roussos_2024.adolescence.GLU/rs62063670_profile_position.png",4,220,900)</f>
        <v/>
      </c>
    </row>
    <row r="1853">
      <c r="A1853" t="inlineStr">
        <is>
          <t>chr17</t>
        </is>
      </c>
      <c r="B1853" t="n">
        <v>46047169</v>
      </c>
      <c r="C1853" t="inlineStr">
        <is>
          <t>T</t>
        </is>
      </c>
      <c r="D1853" t="inlineStr">
        <is>
          <t>C</t>
        </is>
      </c>
      <c r="E1853" t="inlineStr">
        <is>
          <t>rs79065019</t>
        </is>
      </c>
      <c r="F1853" t="n">
        <v>0.0703117496</v>
      </c>
      <c r="G1853" t="n">
        <v>0.0331750588269002</v>
      </c>
      <c r="H1853" t="n">
        <v>0.029291423270579</v>
      </c>
      <c r="I1853" t="n">
        <v>0.0189127312324235</v>
      </c>
      <c r="J1853" t="n">
        <v>0.0738495831279336</v>
      </c>
      <c r="K1853" t="n">
        <v>0.634784901409698</v>
      </c>
      <c r="L1853" t="b">
        <v>1</v>
      </c>
      <c r="M1853" t="b">
        <v>0</v>
      </c>
      <c r="N1853" t="inlineStr">
        <is>
          <t>alt</t>
        </is>
      </c>
      <c r="O1853" t="n">
        <v>90</v>
      </c>
      <c r="P1853" t="n">
        <v>0.01208</v>
      </c>
      <c r="Q1853" t="n">
        <v>-50</v>
      </c>
      <c r="R1853" t="n">
        <v>0.0548</v>
      </c>
      <c r="S1853">
        <f>IMAGE("https://mitra.stanford.edu/kundaje/oak/projects/neuro-variants/variant_position/credible/roussos_2024/variant_figures/roussos_2024.adolescence.GLU/rs79065019_count_position.png",4,220,900)</f>
        <v/>
      </c>
      <c r="T1853">
        <f>IMAGE("https://mitra.stanford.edu/kundaje/oak/projects/neuro-variants/variant_position/credible/roussos_2024/variant_figures/roussos_2024.adolescence.GLU/rs79065019_profile_position.png",4,220,900)</f>
        <v/>
      </c>
    </row>
    <row r="1854">
      <c r="A1854" t="inlineStr">
        <is>
          <t>chr17</t>
        </is>
      </c>
      <c r="B1854" t="n">
        <v>46056168</v>
      </c>
      <c r="C1854" t="inlineStr">
        <is>
          <t>C</t>
        </is>
      </c>
      <c r="D1854" t="inlineStr">
        <is>
          <t>T</t>
        </is>
      </c>
      <c r="E1854" t="inlineStr">
        <is>
          <t>rs111259120</t>
        </is>
      </c>
      <c r="F1854" t="n">
        <v>-0.00632770166</v>
      </c>
      <c r="G1854" t="n">
        <v>0.6722340569674744</v>
      </c>
      <c r="H1854" t="n">
        <v>0.0193427315883399</v>
      </c>
      <c r="I1854" t="n">
        <v>0.06553273644041489</v>
      </c>
      <c r="J1854" t="n">
        <v>0.0246422473226596</v>
      </c>
      <c r="K1854" t="n">
        <v>0.7956100770127512</v>
      </c>
      <c r="L1854" t="b">
        <v>0</v>
      </c>
      <c r="M1854" t="b">
        <v>0</v>
      </c>
      <c r="N1854" t="inlineStr">
        <is>
          <t>ref</t>
        </is>
      </c>
      <c r="O1854" t="n">
        <v>65</v>
      </c>
      <c r="P1854" t="n">
        <v>0.0514</v>
      </c>
      <c r="Q1854" t="n">
        <v>-100</v>
      </c>
      <c r="R1854" t="n">
        <v>0.07117</v>
      </c>
      <c r="S1854">
        <f>IMAGE("https://mitra.stanford.edu/kundaje/oak/projects/neuro-variants/variant_position/credible/roussos_2024/variant_figures/roussos_2024.adolescence.GLU/rs111259120_count_position.png",4,220,900)</f>
        <v/>
      </c>
      <c r="T1854">
        <f>IMAGE("https://mitra.stanford.edu/kundaje/oak/projects/neuro-variants/variant_position/credible/roussos_2024/variant_figures/roussos_2024.adolescence.GLU/rs111259120_profile_position.png",4,220,900)</f>
        <v/>
      </c>
    </row>
    <row r="1855">
      <c r="A1855" t="inlineStr">
        <is>
          <t>chr17</t>
        </is>
      </c>
      <c r="B1855" t="n">
        <v>46059211</v>
      </c>
      <c r="C1855" t="inlineStr">
        <is>
          <t>A</t>
        </is>
      </c>
      <c r="D1855" t="inlineStr">
        <is>
          <t>C</t>
        </is>
      </c>
      <c r="E1855" t="inlineStr">
        <is>
          <t>rs111372048</t>
        </is>
      </c>
      <c r="F1855" t="n">
        <v>0.0422554744</v>
      </c>
      <c r="G1855" t="n">
        <v>0.0937098063854447</v>
      </c>
      <c r="H1855" t="n">
        <v>0.0139260351383777</v>
      </c>
      <c r="I1855" t="n">
        <v>0.208913675353019</v>
      </c>
      <c r="J1855" t="n">
        <v>0.2053239599631351</v>
      </c>
      <c r="K1855" t="n">
        <v>0.3943382206618465</v>
      </c>
      <c r="L1855" t="b">
        <v>0</v>
      </c>
      <c r="M1855" t="b">
        <v>0</v>
      </c>
      <c r="N1855" t="inlineStr">
        <is>
          <t>alt</t>
        </is>
      </c>
      <c r="O1855" t="n">
        <v>-75</v>
      </c>
      <c r="P1855" t="n">
        <v>0.0523</v>
      </c>
      <c r="Q1855" t="n">
        <v>90</v>
      </c>
      <c r="R1855" t="n">
        <v>0.001343</v>
      </c>
      <c r="S1855">
        <f>IMAGE("https://mitra.stanford.edu/kundaje/oak/projects/neuro-variants/variant_position/credible/roussos_2024/variant_figures/roussos_2024.adolescence.GLU/rs111372048_count_position.png",4,220,900)</f>
        <v/>
      </c>
      <c r="T1855">
        <f>IMAGE("https://mitra.stanford.edu/kundaje/oak/projects/neuro-variants/variant_position/credible/roussos_2024/variant_figures/roussos_2024.adolescence.GLU/rs111372048_profile_position.png",4,220,900)</f>
        <v/>
      </c>
    </row>
    <row r="1856">
      <c r="A1856" t="inlineStr">
        <is>
          <t>chr17</t>
        </is>
      </c>
      <c r="B1856" t="n">
        <v>46059268</v>
      </c>
      <c r="C1856" t="inlineStr">
        <is>
          <t>G</t>
        </is>
      </c>
      <c r="D1856" t="inlineStr">
        <is>
          <t>A</t>
        </is>
      </c>
      <c r="E1856" t="inlineStr">
        <is>
          <t>rs62060785</t>
        </is>
      </c>
      <c r="F1856" t="n">
        <v>-0.0060881982</v>
      </c>
      <c r="G1856" t="n">
        <v>0.6817763264162758</v>
      </c>
      <c r="H1856" t="n">
        <v>0.0077927834528339</v>
      </c>
      <c r="I1856" t="n">
        <v>0.8285669103901053</v>
      </c>
      <c r="J1856" t="n">
        <v>0.1914096491416079</v>
      </c>
      <c r="K1856" t="n">
        <v>0.4151681256206124</v>
      </c>
      <c r="L1856" t="b">
        <v>0</v>
      </c>
      <c r="M1856" t="b">
        <v>0</v>
      </c>
      <c r="N1856" t="inlineStr">
        <is>
          <t>ref</t>
        </is>
      </c>
      <c r="O1856" t="n">
        <v>-100</v>
      </c>
      <c r="P1856" t="n">
        <v>0.05127</v>
      </c>
      <c r="Q1856" t="n">
        <v>-100</v>
      </c>
      <c r="R1856" t="n">
        <v>0.05084</v>
      </c>
      <c r="S1856">
        <f>IMAGE("https://mitra.stanford.edu/kundaje/oak/projects/neuro-variants/variant_position/credible/roussos_2024/variant_figures/roussos_2024.adolescence.GLU/rs62060785_count_position.png",4,220,900)</f>
        <v/>
      </c>
      <c r="T1856">
        <f>IMAGE("https://mitra.stanford.edu/kundaje/oak/projects/neuro-variants/variant_position/credible/roussos_2024/variant_figures/roussos_2024.adolescence.GLU/rs62060785_profile_position.png",4,220,900)</f>
        <v/>
      </c>
    </row>
    <row r="1857">
      <c r="A1857" t="inlineStr">
        <is>
          <t>chr17</t>
        </is>
      </c>
      <c r="B1857" t="n">
        <v>46063981</v>
      </c>
      <c r="C1857" t="inlineStr">
        <is>
          <t>A</t>
        </is>
      </c>
      <c r="D1857" t="inlineStr">
        <is>
          <t>G</t>
        </is>
      </c>
      <c r="E1857" t="inlineStr">
        <is>
          <t>rs2838</t>
        </is>
      </c>
      <c r="F1857" t="n">
        <v>0.0310941186</v>
      </c>
      <c r="G1857" t="n">
        <v>0.1604907486242465</v>
      </c>
      <c r="H1857" t="n">
        <v>0.0116690800403647</v>
      </c>
      <c r="I1857" t="n">
        <v>0.3360518670727891</v>
      </c>
      <c r="J1857" t="n">
        <v>0.1743661186960155</v>
      </c>
      <c r="K1857" t="n">
        <v>0.4350408215950084</v>
      </c>
      <c r="L1857" t="b">
        <v>0</v>
      </c>
      <c r="M1857" t="b">
        <v>0</v>
      </c>
      <c r="N1857" t="inlineStr">
        <is>
          <t>alt</t>
        </is>
      </c>
      <c r="O1857" t="n">
        <v>-20</v>
      </c>
      <c r="P1857" t="n">
        <v>0.00177</v>
      </c>
      <c r="Q1857" t="n">
        <v>-45</v>
      </c>
      <c r="R1857" t="n">
        <v>0.03345</v>
      </c>
      <c r="S1857">
        <f>IMAGE("https://mitra.stanford.edu/kundaje/oak/projects/neuro-variants/variant_position/credible/roussos_2024/variant_figures/roussos_2024.adolescence.GLU/rs2838_count_position.png",4,220,900)</f>
        <v/>
      </c>
      <c r="T1857">
        <f>IMAGE("https://mitra.stanford.edu/kundaje/oak/projects/neuro-variants/variant_position/credible/roussos_2024/variant_figures/roussos_2024.adolescence.GLU/rs2838_profile_position.png",4,220,900)</f>
        <v/>
      </c>
    </row>
    <row r="1858">
      <c r="A1858" t="inlineStr">
        <is>
          <t>chr17</t>
        </is>
      </c>
      <c r="B1858" t="n">
        <v>46064755</v>
      </c>
      <c r="C1858" t="inlineStr">
        <is>
          <t>G</t>
        </is>
      </c>
      <c r="D1858" t="inlineStr">
        <is>
          <t>A</t>
        </is>
      </c>
      <c r="E1858" t="inlineStr">
        <is>
          <t>rs76307183</t>
        </is>
      </c>
      <c r="F1858" t="n">
        <v>-0.005773748754</v>
      </c>
      <c r="G1858" t="n">
        <v>0.6420668023639982</v>
      </c>
      <c r="H1858" t="n">
        <v>0.0084591307773762</v>
      </c>
      <c r="I1858" t="n">
        <v>0.7335650600938749</v>
      </c>
      <c r="J1858" t="n">
        <v>0.1394145930228404</v>
      </c>
      <c r="K1858" t="n">
        <v>0.4951767846378846</v>
      </c>
      <c r="L1858" t="b">
        <v>0</v>
      </c>
      <c r="M1858" t="b">
        <v>0</v>
      </c>
      <c r="N1858" t="inlineStr">
        <is>
          <t>ref</t>
        </is>
      </c>
      <c r="O1858" t="n">
        <v>100</v>
      </c>
      <c r="P1858" t="n">
        <v>0.009339999999999999</v>
      </c>
      <c r="Q1858" t="n">
        <v>-45</v>
      </c>
      <c r="R1858" t="n">
        <v>0.0412</v>
      </c>
      <c r="S1858">
        <f>IMAGE("https://mitra.stanford.edu/kundaje/oak/projects/neuro-variants/variant_position/credible/roussos_2024/variant_figures/roussos_2024.adolescence.GLU/rs76307183_count_position.png",4,220,900)</f>
        <v/>
      </c>
      <c r="T1858">
        <f>IMAGE("https://mitra.stanford.edu/kundaje/oak/projects/neuro-variants/variant_position/credible/roussos_2024/variant_figures/roussos_2024.adolescence.GLU/rs76307183_profile_position.png",4,220,900)</f>
        <v/>
      </c>
    </row>
    <row r="1859">
      <c r="A1859" t="inlineStr">
        <is>
          <t>chr17</t>
        </is>
      </c>
      <c r="B1859" t="n">
        <v>46068970</v>
      </c>
      <c r="C1859" t="inlineStr">
        <is>
          <t>A</t>
        </is>
      </c>
      <c r="D1859" t="inlineStr">
        <is>
          <t>C</t>
        </is>
      </c>
      <c r="E1859" t="inlineStr">
        <is>
          <t>rs62060802</t>
        </is>
      </c>
      <c r="F1859" t="n">
        <v>0.070338236</v>
      </c>
      <c r="G1859" t="n">
        <v>0.0266286864516379</v>
      </c>
      <c r="H1859" t="n">
        <v>0.0174969615205426</v>
      </c>
      <c r="I1859" t="n">
        <v>0.102841310629123</v>
      </c>
      <c r="J1859" t="n">
        <v>0.0417557922712561</v>
      </c>
      <c r="K1859" t="n">
        <v>0.7348072811446589</v>
      </c>
      <c r="L1859" t="b">
        <v>0</v>
      </c>
      <c r="M1859" t="b">
        <v>0</v>
      </c>
      <c r="N1859" t="inlineStr">
        <is>
          <t>alt</t>
        </is>
      </c>
      <c r="O1859" t="n">
        <v>55</v>
      </c>
      <c r="P1859" t="n">
        <v>0.002132</v>
      </c>
      <c r="Q1859" t="n">
        <v>-45</v>
      </c>
      <c r="R1859" t="n">
        <v>0.0459</v>
      </c>
      <c r="S1859">
        <f>IMAGE("https://mitra.stanford.edu/kundaje/oak/projects/neuro-variants/variant_position/credible/roussos_2024/variant_figures/roussos_2024.adolescence.GLU/rs62060802_count_position.png",4,220,900)</f>
        <v/>
      </c>
      <c r="T1859">
        <f>IMAGE("https://mitra.stanford.edu/kundaje/oak/projects/neuro-variants/variant_position/credible/roussos_2024/variant_figures/roussos_2024.adolescence.GLU/rs62060802_profile_position.png",4,220,900)</f>
        <v/>
      </c>
    </row>
    <row r="1860">
      <c r="A1860" t="inlineStr">
        <is>
          <t>chr17</t>
        </is>
      </c>
      <c r="B1860" t="n">
        <v>46075892</v>
      </c>
      <c r="C1860" t="inlineStr">
        <is>
          <t>A</t>
        </is>
      </c>
      <c r="D1860" t="inlineStr">
        <is>
          <t>G</t>
        </is>
      </c>
      <c r="E1860" t="inlineStr">
        <is>
          <t>rs62060840</t>
        </is>
      </c>
      <c r="F1860" t="n">
        <v>0.08434150679999999</v>
      </c>
      <c r="G1860" t="n">
        <v>0.0126261916920854</v>
      </c>
      <c r="H1860" t="n">
        <v>0.0181213056244485</v>
      </c>
      <c r="I1860" t="n">
        <v>0.0890087834386475</v>
      </c>
      <c r="J1860" t="n">
        <v>0.0793021411578112</v>
      </c>
      <c r="K1860" t="n">
        <v>0.6205801973602608</v>
      </c>
      <c r="L1860" t="b">
        <v>1</v>
      </c>
      <c r="M1860" t="b">
        <v>0</v>
      </c>
      <c r="N1860" t="inlineStr">
        <is>
          <t>alt</t>
        </is>
      </c>
      <c r="O1860" t="n">
        <v>100</v>
      </c>
      <c r="P1860" t="n">
        <v>0.013214</v>
      </c>
      <c r="Q1860" t="n">
        <v>-35</v>
      </c>
      <c r="R1860" t="n">
        <v>0.01752</v>
      </c>
      <c r="S1860">
        <f>IMAGE("https://mitra.stanford.edu/kundaje/oak/projects/neuro-variants/variant_position/credible/roussos_2024/variant_figures/roussos_2024.adolescence.GLU/rs62060840_count_position.png",4,220,900)</f>
        <v/>
      </c>
      <c r="T1860">
        <f>IMAGE("https://mitra.stanford.edu/kundaje/oak/projects/neuro-variants/variant_position/credible/roussos_2024/variant_figures/roussos_2024.adolescence.GLU/rs62060840_profile_position.png",4,220,900)</f>
        <v/>
      </c>
    </row>
    <row r="1861">
      <c r="A1861" t="inlineStr">
        <is>
          <t>chr17</t>
        </is>
      </c>
      <c r="B1861" t="n">
        <v>46082483</v>
      </c>
      <c r="C1861" t="inlineStr">
        <is>
          <t>T</t>
        </is>
      </c>
      <c r="D1861" t="inlineStr">
        <is>
          <t>C</t>
        </is>
      </c>
      <c r="E1861" t="inlineStr">
        <is>
          <t>rs17576165</t>
        </is>
      </c>
      <c r="F1861" t="n">
        <v>0.0787676138</v>
      </c>
      <c r="G1861" t="n">
        <v>0.0157688582000779</v>
      </c>
      <c r="H1861" t="n">
        <v>0.0133168736164086</v>
      </c>
      <c r="I1861" t="n">
        <v>0.24157731843284</v>
      </c>
      <c r="J1861" t="n">
        <v>0.1661558465682177</v>
      </c>
      <c r="K1861" t="n">
        <v>0.455614218892265</v>
      </c>
      <c r="L1861" t="b">
        <v>1</v>
      </c>
      <c r="M1861" t="b">
        <v>0</v>
      </c>
      <c r="N1861" t="inlineStr">
        <is>
          <t>alt</t>
        </is>
      </c>
      <c r="O1861" t="n">
        <v>10</v>
      </c>
      <c r="P1861" t="n">
        <v>0.0004692</v>
      </c>
      <c r="Q1861" t="n">
        <v>-35</v>
      </c>
      <c r="R1861" t="n">
        <v>0.03918</v>
      </c>
      <c r="S1861">
        <f>IMAGE("https://mitra.stanford.edu/kundaje/oak/projects/neuro-variants/variant_position/credible/roussos_2024/variant_figures/roussos_2024.adolescence.GLU/rs17576165_count_position.png",4,220,900)</f>
        <v/>
      </c>
      <c r="T1861">
        <f>IMAGE("https://mitra.stanford.edu/kundaje/oak/projects/neuro-variants/variant_position/credible/roussos_2024/variant_figures/roussos_2024.adolescence.GLU/rs17576165_profile_position.png",4,220,900)</f>
        <v/>
      </c>
    </row>
    <row r="1862">
      <c r="A1862" t="inlineStr">
        <is>
          <t>chr17</t>
        </is>
      </c>
      <c r="B1862" t="n">
        <v>46103631</v>
      </c>
      <c r="C1862" t="inlineStr">
        <is>
          <t>C</t>
        </is>
      </c>
      <c r="D1862" t="inlineStr">
        <is>
          <t>T</t>
        </is>
      </c>
      <c r="E1862" t="inlineStr">
        <is>
          <t>rs62061812</t>
        </is>
      </c>
      <c r="F1862" t="n">
        <v>-0.0183312237999999</v>
      </c>
      <c r="G1862" t="n">
        <v>0.3475106808144003</v>
      </c>
      <c r="H1862" t="n">
        <v>0.0151596293114216</v>
      </c>
      <c r="I1862" t="n">
        <v>0.1582204725553783</v>
      </c>
      <c r="J1862" t="n">
        <v>0.0322566817412177</v>
      </c>
      <c r="K1862" t="n">
        <v>0.7672517477494474</v>
      </c>
      <c r="L1862" t="b">
        <v>0</v>
      </c>
      <c r="M1862" t="b">
        <v>0</v>
      </c>
      <c r="N1862" t="inlineStr">
        <is>
          <t>ref</t>
        </is>
      </c>
      <c r="O1862" t="n">
        <v>-50</v>
      </c>
      <c r="P1862" t="n">
        <v>0.00566</v>
      </c>
      <c r="Q1862" t="n">
        <v>40</v>
      </c>
      <c r="R1862" t="n">
        <v>0.001892</v>
      </c>
      <c r="S1862">
        <f>IMAGE("https://mitra.stanford.edu/kundaje/oak/projects/neuro-variants/variant_position/credible/roussos_2024/variant_figures/roussos_2024.adolescence.GLU/rs62061812_count_position.png",4,220,900)</f>
        <v/>
      </c>
      <c r="T1862">
        <f>IMAGE("https://mitra.stanford.edu/kundaje/oak/projects/neuro-variants/variant_position/credible/roussos_2024/variant_figures/roussos_2024.adolescence.GLU/rs62061812_profile_position.png",4,220,900)</f>
        <v/>
      </c>
    </row>
    <row r="1863">
      <c r="A1863" t="inlineStr">
        <is>
          <t>chr17</t>
        </is>
      </c>
      <c r="B1863" t="n">
        <v>46106250</v>
      </c>
      <c r="C1863" t="inlineStr">
        <is>
          <t>C</t>
        </is>
      </c>
      <c r="D1863" t="inlineStr">
        <is>
          <t>A</t>
        </is>
      </c>
      <c r="E1863" t="inlineStr">
        <is>
          <t>rs17576989</t>
        </is>
      </c>
      <c r="F1863" t="n">
        <v>0.00843570234</v>
      </c>
      <c r="G1863" t="n">
        <v>0.5740310781245053</v>
      </c>
      <c r="H1863" t="n">
        <v>0.0216828287121295</v>
      </c>
      <c r="I1863" t="n">
        <v>0.0427819168048592</v>
      </c>
      <c r="J1863" t="n">
        <v>0.1526973444499217</v>
      </c>
      <c r="K1863" t="n">
        <v>0.4782262603584142</v>
      </c>
      <c r="L1863" t="b">
        <v>0</v>
      </c>
      <c r="M1863" t="b">
        <v>0</v>
      </c>
      <c r="N1863" t="inlineStr">
        <is>
          <t>alt</t>
        </is>
      </c>
      <c r="O1863" t="n">
        <v>-90</v>
      </c>
      <c r="P1863" t="n">
        <v>0.01794</v>
      </c>
      <c r="Q1863" t="n">
        <v>-15</v>
      </c>
      <c r="R1863" t="n">
        <v>0.0285</v>
      </c>
      <c r="S1863">
        <f>IMAGE("https://mitra.stanford.edu/kundaje/oak/projects/neuro-variants/variant_position/credible/roussos_2024/variant_figures/roussos_2024.adolescence.GLU/rs17576989_count_position.png",4,220,900)</f>
        <v/>
      </c>
      <c r="T1863">
        <f>IMAGE("https://mitra.stanford.edu/kundaje/oak/projects/neuro-variants/variant_position/credible/roussos_2024/variant_figures/roussos_2024.adolescence.GLU/rs17576989_profile_position.png",4,220,900)</f>
        <v/>
      </c>
    </row>
    <row r="1864">
      <c r="A1864" t="inlineStr">
        <is>
          <t>chr17</t>
        </is>
      </c>
      <c r="B1864" t="n">
        <v>46107062</v>
      </c>
      <c r="C1864" t="inlineStr">
        <is>
          <t>T</t>
        </is>
      </c>
      <c r="D1864" t="inlineStr">
        <is>
          <t>C</t>
        </is>
      </c>
      <c r="E1864" t="inlineStr">
        <is>
          <t>rs111295615</t>
        </is>
      </c>
      <c r="F1864" t="n">
        <v>0.01345425664</v>
      </c>
      <c r="G1864" t="n">
        <v>0.413377181240098</v>
      </c>
      <c r="H1864" t="n">
        <v>0.009648607123974799</v>
      </c>
      <c r="I1864" t="n">
        <v>0.5874647976382882</v>
      </c>
      <c r="J1864" t="n">
        <v>0.0730322709704152</v>
      </c>
      <c r="K1864" t="n">
        <v>0.6412810274383168</v>
      </c>
      <c r="L1864" t="b">
        <v>0</v>
      </c>
      <c r="M1864" t="b">
        <v>0</v>
      </c>
      <c r="N1864" t="inlineStr">
        <is>
          <t>alt</t>
        </is>
      </c>
      <c r="O1864" t="n">
        <v>100</v>
      </c>
      <c r="P1864" t="n">
        <v>0.003819</v>
      </c>
      <c r="Q1864" t="n">
        <v>95</v>
      </c>
      <c r="R1864" t="n">
        <v>0.0999</v>
      </c>
      <c r="S1864">
        <f>IMAGE("https://mitra.stanford.edu/kundaje/oak/projects/neuro-variants/variant_position/credible/roussos_2024/variant_figures/roussos_2024.adolescence.GLU/rs111295615_count_position.png",4,220,900)</f>
        <v/>
      </c>
      <c r="T1864">
        <f>IMAGE("https://mitra.stanford.edu/kundaje/oak/projects/neuro-variants/variant_position/credible/roussos_2024/variant_figures/roussos_2024.adolescence.GLU/rs111295615_profile_position.png",4,220,900)</f>
        <v/>
      </c>
    </row>
    <row r="1865">
      <c r="A1865" t="inlineStr">
        <is>
          <t>chr17</t>
        </is>
      </c>
      <c r="B1865" t="n">
        <v>46114469</v>
      </c>
      <c r="C1865" t="inlineStr">
        <is>
          <t>A</t>
        </is>
      </c>
      <c r="D1865" t="inlineStr">
        <is>
          <t>G</t>
        </is>
      </c>
      <c r="E1865" t="inlineStr">
        <is>
          <t>rs17577313</t>
        </is>
      </c>
      <c r="F1865" t="n">
        <v>0.0491711279999999</v>
      </c>
      <c r="G1865" t="n">
        <v>0.0633386199700664</v>
      </c>
      <c r="H1865" t="n">
        <v>0.011683394166434</v>
      </c>
      <c r="I1865" t="n">
        <v>0.3641717240858047</v>
      </c>
      <c r="J1865" t="n">
        <v>0.07014167220352779</v>
      </c>
      <c r="K1865" t="n">
        <v>0.6499633872372946</v>
      </c>
      <c r="L1865" t="b">
        <v>0</v>
      </c>
      <c r="M1865" t="b">
        <v>0</v>
      </c>
      <c r="N1865" t="inlineStr">
        <is>
          <t>alt</t>
        </is>
      </c>
      <c r="O1865" t="n">
        <v>-100</v>
      </c>
      <c r="P1865" t="n">
        <v>0.01001</v>
      </c>
      <c r="Q1865" t="n">
        <v>-100</v>
      </c>
      <c r="R1865" t="n">
        <v>0.10376</v>
      </c>
      <c r="S1865">
        <f>IMAGE("https://mitra.stanford.edu/kundaje/oak/projects/neuro-variants/variant_position/credible/roussos_2024/variant_figures/roussos_2024.adolescence.GLU/rs17577313_count_position.png",4,220,900)</f>
        <v/>
      </c>
      <c r="T1865">
        <f>IMAGE("https://mitra.stanford.edu/kundaje/oak/projects/neuro-variants/variant_position/credible/roussos_2024/variant_figures/roussos_2024.adolescence.GLU/rs17577313_profile_position.png",4,220,900)</f>
        <v/>
      </c>
    </row>
    <row r="1866">
      <c r="A1866" t="inlineStr">
        <is>
          <t>chr17</t>
        </is>
      </c>
      <c r="B1866" t="n">
        <v>46115029</v>
      </c>
      <c r="C1866" t="inlineStr">
        <is>
          <t>G</t>
        </is>
      </c>
      <c r="D1866" t="inlineStr">
        <is>
          <t>T</t>
        </is>
      </c>
      <c r="E1866" t="inlineStr">
        <is>
          <t>rs4548919</t>
        </is>
      </c>
      <c r="F1866" t="n">
        <v>-0.00437361954</v>
      </c>
      <c r="G1866" t="n">
        <v>0.6683754839103948</v>
      </c>
      <c r="H1866" t="n">
        <v>0.0132559881980843</v>
      </c>
      <c r="I1866" t="n">
        <v>0.2636198024611382</v>
      </c>
      <c r="J1866" t="n">
        <v>0.07646726821984549</v>
      </c>
      <c r="K1866" t="n">
        <v>0.627740720613704</v>
      </c>
      <c r="L1866" t="b">
        <v>0</v>
      </c>
      <c r="M1866" t="b">
        <v>0</v>
      </c>
      <c r="N1866" t="inlineStr">
        <is>
          <t>ref</t>
        </is>
      </c>
      <c r="O1866" t="n">
        <v>85</v>
      </c>
      <c r="P1866" t="n">
        <v>0.01755</v>
      </c>
      <c r="Q1866" t="n">
        <v>60</v>
      </c>
      <c r="R1866" t="n">
        <v>0.0479</v>
      </c>
      <c r="S1866">
        <f>IMAGE("https://mitra.stanford.edu/kundaje/oak/projects/neuro-variants/variant_position/credible/roussos_2024/variant_figures/roussos_2024.adolescence.GLU/rs4548919_count_position.png",4,220,900)</f>
        <v/>
      </c>
      <c r="T1866">
        <f>IMAGE("https://mitra.stanford.edu/kundaje/oak/projects/neuro-variants/variant_position/credible/roussos_2024/variant_figures/roussos_2024.adolescence.GLU/rs4548919_profile_position.png",4,220,900)</f>
        <v/>
      </c>
    </row>
    <row r="1867">
      <c r="A1867" t="inlineStr">
        <is>
          <t>chr17</t>
        </is>
      </c>
      <c r="B1867" t="n">
        <v>46118769</v>
      </c>
      <c r="C1867" t="inlineStr">
        <is>
          <t>G</t>
        </is>
      </c>
      <c r="D1867" t="inlineStr">
        <is>
          <t>A</t>
        </is>
      </c>
      <c r="E1867" t="inlineStr">
        <is>
          <t>rs77560794</t>
        </is>
      </c>
      <c r="F1867" t="n">
        <v>-0.0528777088</v>
      </c>
      <c r="G1867" t="n">
        <v>0.0559970186591839</v>
      </c>
      <c r="H1867" t="n">
        <v>0.0121739485348753</v>
      </c>
      <c r="I1867" t="n">
        <v>0.3198717718195361</v>
      </c>
      <c r="J1867" t="n">
        <v>0.2698316079759378</v>
      </c>
      <c r="K1867" t="n">
        <v>0.3091197184104905</v>
      </c>
      <c r="L1867" t="b">
        <v>0</v>
      </c>
      <c r="M1867" t="b">
        <v>0</v>
      </c>
      <c r="N1867" t="inlineStr">
        <is>
          <t>ref</t>
        </is>
      </c>
      <c r="O1867" t="n">
        <v>90</v>
      </c>
      <c r="P1867" t="n">
        <v>0.004093</v>
      </c>
      <c r="Q1867" t="n">
        <v>15</v>
      </c>
      <c r="R1867" t="n">
        <v>0.01639</v>
      </c>
      <c r="S1867">
        <f>IMAGE("https://mitra.stanford.edu/kundaje/oak/projects/neuro-variants/variant_position/credible/roussos_2024/variant_figures/roussos_2024.adolescence.GLU/rs77560794_count_position.png",4,220,900)</f>
        <v/>
      </c>
      <c r="T1867">
        <f>IMAGE("https://mitra.stanford.edu/kundaje/oak/projects/neuro-variants/variant_position/credible/roussos_2024/variant_figures/roussos_2024.adolescence.GLU/rs77560794_profile_position.png",4,220,900)</f>
        <v/>
      </c>
    </row>
    <row r="1868">
      <c r="A1868" t="inlineStr">
        <is>
          <t>chr17</t>
        </is>
      </c>
      <c r="B1868" t="n">
        <v>46121440</v>
      </c>
      <c r="C1868" t="inlineStr">
        <is>
          <t>T</t>
        </is>
      </c>
      <c r="D1868" t="inlineStr">
        <is>
          <t>C</t>
        </is>
      </c>
      <c r="E1868" t="inlineStr">
        <is>
          <t>rs3087534</t>
        </is>
      </c>
      <c r="F1868" t="n">
        <v>0.0787556014</v>
      </c>
      <c r="G1868" t="n">
        <v>0.0161823086282365</v>
      </c>
      <c r="H1868" t="n">
        <v>0.0145319404847383</v>
      </c>
      <c r="I1868" t="n">
        <v>0.1839619011547742</v>
      </c>
      <c r="J1868" t="n">
        <v>0.1144637103399989</v>
      </c>
      <c r="K1868" t="n">
        <v>0.5400497328665881</v>
      </c>
      <c r="L1868" t="b">
        <v>1</v>
      </c>
      <c r="M1868" t="b">
        <v>0</v>
      </c>
      <c r="N1868" t="inlineStr">
        <is>
          <t>alt</t>
        </is>
      </c>
      <c r="O1868" t="n">
        <v>-45</v>
      </c>
      <c r="P1868" t="n">
        <v>0.002312</v>
      </c>
      <c r="Q1868" t="n">
        <v>-80</v>
      </c>
      <c r="R1868" t="n">
        <v>0.05328</v>
      </c>
      <c r="S1868">
        <f>IMAGE("https://mitra.stanford.edu/kundaje/oak/projects/neuro-variants/variant_position/credible/roussos_2024/variant_figures/roussos_2024.adolescence.GLU/rs3087534_count_position.png",4,220,900)</f>
        <v/>
      </c>
      <c r="T1868">
        <f>IMAGE("https://mitra.stanford.edu/kundaje/oak/projects/neuro-variants/variant_position/credible/roussos_2024/variant_figures/roussos_2024.adolescence.GLU/rs3087534_profile_position.png",4,220,900)</f>
        <v/>
      </c>
    </row>
    <row r="1869">
      <c r="A1869" t="inlineStr">
        <is>
          <t>chr17</t>
        </is>
      </c>
      <c r="B1869" t="n">
        <v>46124314</v>
      </c>
      <c r="C1869" t="inlineStr">
        <is>
          <t>A</t>
        </is>
      </c>
      <c r="D1869" t="inlineStr">
        <is>
          <t>C</t>
        </is>
      </c>
      <c r="E1869" t="inlineStr">
        <is>
          <t>rs55672516</t>
        </is>
      </c>
      <c r="F1869" t="n">
        <v>0.015008586359</v>
      </c>
      <c r="G1869" t="n">
        <v>0.3904199589341893</v>
      </c>
      <c r="H1869" t="n">
        <v>0.0112100617082135</v>
      </c>
      <c r="I1869" t="n">
        <v>0.4227012979859282</v>
      </c>
      <c r="J1869" t="n">
        <v>0.153577526773403</v>
      </c>
      <c r="K1869" t="n">
        <v>0.4733620722700325</v>
      </c>
      <c r="L1869" t="b">
        <v>0</v>
      </c>
      <c r="M1869" t="b">
        <v>0</v>
      </c>
      <c r="N1869" t="inlineStr">
        <is>
          <t>alt</t>
        </is>
      </c>
      <c r="O1869" t="n">
        <v>-90</v>
      </c>
      <c r="P1869" t="n">
        <v>0.008750000000000001</v>
      </c>
      <c r="Q1869" t="n">
        <v>25</v>
      </c>
      <c r="R1869" t="n">
        <v>0.002579</v>
      </c>
      <c r="S1869">
        <f>IMAGE("https://mitra.stanford.edu/kundaje/oak/projects/neuro-variants/variant_position/credible/roussos_2024/variant_figures/roussos_2024.adolescence.GLU/rs55672516_count_position.png",4,220,900)</f>
        <v/>
      </c>
      <c r="T1869">
        <f>IMAGE("https://mitra.stanford.edu/kundaje/oak/projects/neuro-variants/variant_position/credible/roussos_2024/variant_figures/roussos_2024.adolescence.GLU/rs55672516_profile_position.png",4,220,900)</f>
        <v/>
      </c>
    </row>
    <row r="1870">
      <c r="A1870" t="inlineStr">
        <is>
          <t>chr17</t>
        </is>
      </c>
      <c r="B1870" t="n">
        <v>46143984</v>
      </c>
      <c r="C1870" t="inlineStr">
        <is>
          <t>G</t>
        </is>
      </c>
      <c r="D1870" t="inlineStr">
        <is>
          <t>A</t>
        </is>
      </c>
      <c r="E1870" t="inlineStr">
        <is>
          <t>rs2532307</t>
        </is>
      </c>
      <c r="F1870" t="n">
        <v>-0.0186921865</v>
      </c>
      <c r="G1870" t="n">
        <v>0.3226116471142935</v>
      </c>
      <c r="H1870" t="n">
        <v>0.0091605378015566</v>
      </c>
      <c r="I1870" t="n">
        <v>0.6361090825951693</v>
      </c>
      <c r="J1870" t="n">
        <v>0.1082052710918689</v>
      </c>
      <c r="K1870" t="n">
        <v>0.5625695114597133</v>
      </c>
      <c r="L1870" t="b">
        <v>0</v>
      </c>
      <c r="M1870" t="b">
        <v>0</v>
      </c>
      <c r="N1870" t="inlineStr">
        <is>
          <t>ref</t>
        </is>
      </c>
      <c r="O1870" t="n">
        <v>-70</v>
      </c>
      <c r="P1870" t="n">
        <v>0.1809</v>
      </c>
      <c r="Q1870" t="n">
        <v>-100</v>
      </c>
      <c r="R1870" t="n">
        <v>0.07715</v>
      </c>
      <c r="S1870">
        <f>IMAGE("https://mitra.stanford.edu/kundaje/oak/projects/neuro-variants/variant_position/credible/roussos_2024/variant_figures/roussos_2024.adolescence.GLU/rs2532307_count_position.png",4,220,900)</f>
        <v/>
      </c>
      <c r="T1870">
        <f>IMAGE("https://mitra.stanford.edu/kundaje/oak/projects/neuro-variants/variant_position/credible/roussos_2024/variant_figures/roussos_2024.adolescence.GLU/rs2532307_profile_position.png",4,220,900)</f>
        <v/>
      </c>
    </row>
    <row r="1871">
      <c r="A1871" t="inlineStr">
        <is>
          <t>chr17</t>
        </is>
      </c>
      <c r="B1871" t="n">
        <v>46169258</v>
      </c>
      <c r="C1871" t="inlineStr">
        <is>
          <t>C</t>
        </is>
      </c>
      <c r="D1871" t="inlineStr">
        <is>
          <t>A</t>
        </is>
      </c>
      <c r="E1871" t="inlineStr">
        <is>
          <t>rs2532276</t>
        </is>
      </c>
      <c r="F1871" t="n">
        <v>-0.094247794</v>
      </c>
      <c r="G1871" t="n">
        <v>0.009055277409445501</v>
      </c>
      <c r="H1871" t="n">
        <v>0.0178350967711305</v>
      </c>
      <c r="I1871" t="n">
        <v>0.0927758040482838</v>
      </c>
      <c r="J1871" t="n">
        <v>0.1567953361767794</v>
      </c>
      <c r="K1871" t="n">
        <v>0.4670322498078498</v>
      </c>
      <c r="L1871" t="b">
        <v>1</v>
      </c>
      <c r="M1871" t="b">
        <v>1</v>
      </c>
      <c r="N1871" t="inlineStr">
        <is>
          <t>ref</t>
        </is>
      </c>
      <c r="O1871" t="n">
        <v>90</v>
      </c>
      <c r="P1871" t="n">
        <v>0.04163</v>
      </c>
      <c r="Q1871" t="n">
        <v>-100</v>
      </c>
      <c r="R1871" t="n">
        <v>0.06165</v>
      </c>
      <c r="S1871">
        <f>IMAGE("https://mitra.stanford.edu/kundaje/oak/projects/neuro-variants/variant_position/credible/roussos_2024/variant_figures/roussos_2024.adolescence.GLU/rs2532276_count_position.png",4,220,900)</f>
        <v/>
      </c>
      <c r="T1871">
        <f>IMAGE("https://mitra.stanford.edu/kundaje/oak/projects/neuro-variants/variant_position/credible/roussos_2024/variant_figures/roussos_2024.adolescence.GLU/rs2532276_profile_position.png",4,220,900)</f>
        <v/>
      </c>
    </row>
    <row r="1872">
      <c r="A1872" t="inlineStr">
        <is>
          <t>chr17</t>
        </is>
      </c>
      <c r="B1872" t="n">
        <v>46189165</v>
      </c>
      <c r="C1872" t="inlineStr">
        <is>
          <t>G</t>
        </is>
      </c>
      <c r="D1872" t="inlineStr">
        <is>
          <t>A</t>
        </is>
      </c>
      <c r="E1872" t="inlineStr">
        <is>
          <t>rs2696566</t>
        </is>
      </c>
      <c r="F1872" t="n">
        <v>-0.0470513086</v>
      </c>
      <c r="G1872" t="n">
        <v>0.0787360909809274</v>
      </c>
      <c r="H1872" t="n">
        <v>0.008440168187463201</v>
      </c>
      <c r="I1872" t="n">
        <v>0.7419669954117599</v>
      </c>
      <c r="J1872" t="n">
        <v>0.2453865443556164</v>
      </c>
      <c r="K1872" t="n">
        <v>0.3400589130921622</v>
      </c>
      <c r="L1872" t="b">
        <v>0</v>
      </c>
      <c r="M1872" t="b">
        <v>0</v>
      </c>
      <c r="N1872" t="inlineStr">
        <is>
          <t>ref</t>
        </is>
      </c>
      <c r="O1872" t="n">
        <v>-70</v>
      </c>
      <c r="P1872" t="n">
        <v>0.01514</v>
      </c>
      <c r="Q1872" t="n">
        <v>55</v>
      </c>
      <c r="R1872" t="n">
        <v>0.0885</v>
      </c>
      <c r="S1872">
        <f>IMAGE("https://mitra.stanford.edu/kundaje/oak/projects/neuro-variants/variant_position/credible/roussos_2024/variant_figures/roussos_2024.adolescence.GLU/rs2696566_count_position.png",4,220,900)</f>
        <v/>
      </c>
      <c r="T1872">
        <f>IMAGE("https://mitra.stanford.edu/kundaje/oak/projects/neuro-variants/variant_position/credible/roussos_2024/variant_figures/roussos_2024.adolescence.GLU/rs2696566_profile_position.png",4,220,900)</f>
        <v/>
      </c>
    </row>
    <row r="1873">
      <c r="A1873" t="inlineStr">
        <is>
          <t>chr17</t>
        </is>
      </c>
      <c r="B1873" t="n">
        <v>46708970</v>
      </c>
      <c r="C1873" t="inlineStr">
        <is>
          <t>T</t>
        </is>
      </c>
      <c r="D1873" t="inlineStr">
        <is>
          <t>A</t>
        </is>
      </c>
      <c r="E1873" t="inlineStr">
        <is>
          <t>rs199437</t>
        </is>
      </c>
      <c r="F1873" t="n">
        <v>0.00476727996</v>
      </c>
      <c r="G1873" t="n">
        <v>0.6742480457270349</v>
      </c>
      <c r="H1873" t="n">
        <v>0.0095330693979383</v>
      </c>
      <c r="I1873" t="n">
        <v>0.5677215027729408</v>
      </c>
      <c r="J1873" t="n">
        <v>0.0257581927685019</v>
      </c>
      <c r="K1873" t="n">
        <v>0.7933095520015644</v>
      </c>
      <c r="L1873" t="b">
        <v>0</v>
      </c>
      <c r="M1873" t="b">
        <v>0</v>
      </c>
      <c r="N1873" t="inlineStr">
        <is>
          <t>alt</t>
        </is>
      </c>
      <c r="O1873" t="n">
        <v>-95</v>
      </c>
      <c r="P1873" t="n">
        <v>0.02228</v>
      </c>
      <c r="Q1873" t="n">
        <v>-90</v>
      </c>
      <c r="R1873" t="n">
        <v>0.02042</v>
      </c>
      <c r="S1873">
        <f>IMAGE("https://mitra.stanford.edu/kundaje/oak/projects/neuro-variants/variant_position/credible/roussos_2024/variant_figures/roussos_2024.adolescence.GLU/rs199437_count_position.png",4,220,900)</f>
        <v/>
      </c>
      <c r="T1873">
        <f>IMAGE("https://mitra.stanford.edu/kundaje/oak/projects/neuro-variants/variant_position/credible/roussos_2024/variant_figures/roussos_2024.adolescence.GLU/rs199437_profile_position.png",4,220,900)</f>
        <v/>
      </c>
    </row>
    <row r="1874">
      <c r="A1874" t="inlineStr">
        <is>
          <t>chr17</t>
        </is>
      </c>
      <c r="B1874" t="n">
        <v>46709947</v>
      </c>
      <c r="C1874" t="inlineStr">
        <is>
          <t>G</t>
        </is>
      </c>
      <c r="D1874" t="inlineStr">
        <is>
          <t>C</t>
        </is>
      </c>
      <c r="E1874" t="inlineStr">
        <is>
          <t>rs538628</t>
        </is>
      </c>
      <c r="F1874" t="n">
        <v>-0.075760482</v>
      </c>
      <c r="G1874" t="n">
        <v>0.0223562535594546</v>
      </c>
      <c r="H1874" t="n">
        <v>0.0152301639224326</v>
      </c>
      <c r="I1874" t="n">
        <v>0.1819994489185769</v>
      </c>
      <c r="J1874" t="n">
        <v>0.0161462017132119</v>
      </c>
      <c r="K1874" t="n">
        <v>0.8407608265418863</v>
      </c>
      <c r="L1874" t="b">
        <v>0</v>
      </c>
      <c r="M1874" t="b">
        <v>0</v>
      </c>
      <c r="N1874" t="inlineStr">
        <is>
          <t>ref</t>
        </is>
      </c>
      <c r="O1874" t="n">
        <v>100</v>
      </c>
      <c r="P1874" t="n">
        <v>0.013756</v>
      </c>
      <c r="Q1874" t="n">
        <v>-40</v>
      </c>
      <c r="R1874" t="n">
        <v>0.06610000000000001</v>
      </c>
      <c r="S1874">
        <f>IMAGE("https://mitra.stanford.edu/kundaje/oak/projects/neuro-variants/variant_position/credible/roussos_2024/variant_figures/roussos_2024.adolescence.GLU/rs538628_count_position.png",4,220,900)</f>
        <v/>
      </c>
      <c r="T1874">
        <f>IMAGE("https://mitra.stanford.edu/kundaje/oak/projects/neuro-variants/variant_position/credible/roussos_2024/variant_figures/roussos_2024.adolescence.GLU/rs538628_profile_position.png",4,220,900)</f>
        <v/>
      </c>
    </row>
    <row r="1875">
      <c r="A1875" t="inlineStr">
        <is>
          <t>chr17</t>
        </is>
      </c>
      <c r="B1875" t="n">
        <v>46711919</v>
      </c>
      <c r="C1875" t="inlineStr">
        <is>
          <t>A</t>
        </is>
      </c>
      <c r="D1875" t="inlineStr">
        <is>
          <t>G</t>
        </is>
      </c>
      <c r="E1875" t="inlineStr">
        <is>
          <t>rs199436</t>
        </is>
      </c>
      <c r="F1875" t="n">
        <v>-5.246671999999952e-05</v>
      </c>
      <c r="G1875" t="n">
        <v>0.6768214690369282</v>
      </c>
      <c r="H1875" t="n">
        <v>0.0094291924748261</v>
      </c>
      <c r="I1875" t="n">
        <v>0.5859968823300981</v>
      </c>
      <c r="J1875" t="n">
        <v>0.0700259339434596</v>
      </c>
      <c r="K1875" t="n">
        <v>0.6609288356678132</v>
      </c>
      <c r="L1875" t="b">
        <v>0</v>
      </c>
      <c r="M1875" t="b">
        <v>0</v>
      </c>
      <c r="N1875" t="inlineStr">
        <is>
          <t>ref</t>
        </is>
      </c>
      <c r="O1875" t="n">
        <v>-100</v>
      </c>
      <c r="P1875" t="n">
        <v>0.00663</v>
      </c>
      <c r="Q1875" t="n">
        <v>-80</v>
      </c>
      <c r="R1875" t="n">
        <v>0.02971</v>
      </c>
      <c r="S1875">
        <f>IMAGE("https://mitra.stanford.edu/kundaje/oak/projects/neuro-variants/variant_position/credible/roussos_2024/variant_figures/roussos_2024.adolescence.GLU/rs199436_count_position.png",4,220,900)</f>
        <v/>
      </c>
      <c r="T1875">
        <f>IMAGE("https://mitra.stanford.edu/kundaje/oak/projects/neuro-variants/variant_position/credible/roussos_2024/variant_figures/roussos_2024.adolescence.GLU/rs199436_profile_position.png",4,220,900)</f>
        <v/>
      </c>
    </row>
    <row r="1876">
      <c r="A1876" t="inlineStr">
        <is>
          <t>chr17</t>
        </is>
      </c>
      <c r="B1876" t="n">
        <v>46714277</v>
      </c>
      <c r="C1876" t="inlineStr">
        <is>
          <t>G</t>
        </is>
      </c>
      <c r="D1876" t="inlineStr">
        <is>
          <t>A</t>
        </is>
      </c>
      <c r="E1876" t="inlineStr">
        <is>
          <t>rs199438</t>
        </is>
      </c>
      <c r="F1876" t="n">
        <v>-0.00355748592</v>
      </c>
      <c r="G1876" t="n">
        <v>0.8173102665329739</v>
      </c>
      <c r="H1876" t="n">
        <v>0.0150681652729738</v>
      </c>
      <c r="I1876" t="n">
        <v>0.1584400871063312</v>
      </c>
      <c r="J1876" t="n">
        <v>0.0069028584492501</v>
      </c>
      <c r="K1876" t="n">
        <v>0.901308028978404</v>
      </c>
      <c r="L1876" t="b">
        <v>0</v>
      </c>
      <c r="M1876" t="b">
        <v>0</v>
      </c>
      <c r="N1876" t="inlineStr">
        <is>
          <t>ref</t>
        </is>
      </c>
      <c r="O1876" t="n">
        <v>-45</v>
      </c>
      <c r="P1876" t="n">
        <v>0.001015</v>
      </c>
      <c r="Q1876" t="n">
        <v>95</v>
      </c>
      <c r="R1876" t="n">
        <v>0.06116</v>
      </c>
      <c r="S1876">
        <f>IMAGE("https://mitra.stanford.edu/kundaje/oak/projects/neuro-variants/variant_position/credible/roussos_2024/variant_figures/roussos_2024.adolescence.GLU/rs199438_count_position.png",4,220,900)</f>
        <v/>
      </c>
      <c r="T1876">
        <f>IMAGE("https://mitra.stanford.edu/kundaje/oak/projects/neuro-variants/variant_position/credible/roussos_2024/variant_figures/roussos_2024.adolescence.GLU/rs199438_profile_position.png",4,220,900)</f>
        <v/>
      </c>
    </row>
    <row r="1877">
      <c r="A1877" t="inlineStr">
        <is>
          <t>chr17</t>
        </is>
      </c>
      <c r="B1877" t="n">
        <v>46723580</v>
      </c>
      <c r="C1877" t="inlineStr">
        <is>
          <t>C</t>
        </is>
      </c>
      <c r="D1877" t="inlineStr">
        <is>
          <t>T</t>
        </is>
      </c>
      <c r="E1877" t="inlineStr">
        <is>
          <t>rs199453</t>
        </is>
      </c>
      <c r="F1877" t="n">
        <v>-0.01267391706</v>
      </c>
      <c r="G1877" t="n">
        <v>0.4612135692964558</v>
      </c>
      <c r="H1877" t="n">
        <v>0.0075179016808554</v>
      </c>
      <c r="I1877" t="n">
        <v>0.8619552005330734</v>
      </c>
      <c r="J1877" t="n">
        <v>0.1133191875459916</v>
      </c>
      <c r="K1877" t="n">
        <v>0.5509927496719758</v>
      </c>
      <c r="L1877" t="b">
        <v>0</v>
      </c>
      <c r="M1877" t="b">
        <v>0</v>
      </c>
      <c r="N1877" t="inlineStr">
        <is>
          <t>ref</t>
        </is>
      </c>
      <c r="O1877" t="n">
        <v>-100</v>
      </c>
      <c r="P1877" t="n">
        <v>0.01942</v>
      </c>
      <c r="Q1877" t="n">
        <v>-60</v>
      </c>
      <c r="R1877" t="n">
        <v>0.08527</v>
      </c>
      <c r="S1877">
        <f>IMAGE("https://mitra.stanford.edu/kundaje/oak/projects/neuro-variants/variant_position/credible/roussos_2024/variant_figures/roussos_2024.adolescence.GLU/rs199453_count_position.png",4,220,900)</f>
        <v/>
      </c>
      <c r="T1877">
        <f>IMAGE("https://mitra.stanford.edu/kundaje/oak/projects/neuro-variants/variant_position/credible/roussos_2024/variant_figures/roussos_2024.adolescence.GLU/rs199453_profile_position.png",4,220,900)</f>
        <v/>
      </c>
    </row>
    <row r="1878">
      <c r="A1878" t="inlineStr">
        <is>
          <t>chr17</t>
        </is>
      </c>
      <c r="B1878" t="n">
        <v>46724418</v>
      </c>
      <c r="C1878" t="inlineStr">
        <is>
          <t>G</t>
        </is>
      </c>
      <c r="D1878" t="inlineStr">
        <is>
          <t>A</t>
        </is>
      </c>
      <c r="E1878" t="inlineStr">
        <is>
          <t>rs199451</t>
        </is>
      </c>
      <c r="F1878" t="n">
        <v>-0.176633284</v>
      </c>
      <c r="G1878" t="n">
        <v>0.0015391729787276</v>
      </c>
      <c r="H1878" t="n">
        <v>0.038728517444793</v>
      </c>
      <c r="I1878" t="n">
        <v>0.0037896801733627</v>
      </c>
      <c r="J1878" t="n">
        <v>0.1343664044694972</v>
      </c>
      <c r="K1878" t="n">
        <v>0.5042299465063882</v>
      </c>
      <c r="L1878" t="b">
        <v>1</v>
      </c>
      <c r="M1878" t="b">
        <v>1</v>
      </c>
      <c r="N1878" t="inlineStr">
        <is>
          <t>ref</t>
        </is>
      </c>
      <c r="O1878" t="n">
        <v>-65</v>
      </c>
      <c r="P1878" t="n">
        <v>0.001068</v>
      </c>
      <c r="Q1878" t="n">
        <v>50</v>
      </c>
      <c r="R1878" t="n">
        <v>0.02148</v>
      </c>
      <c r="S1878">
        <f>IMAGE("https://mitra.stanford.edu/kundaje/oak/projects/neuro-variants/variant_position/credible/roussos_2024/variant_figures/roussos_2024.adolescence.GLU/rs199451_count_position.png",4,220,900)</f>
        <v/>
      </c>
      <c r="T1878">
        <f>IMAGE("https://mitra.stanford.edu/kundaje/oak/projects/neuro-variants/variant_position/credible/roussos_2024/variant_figures/roussos_2024.adolescence.GLU/rs199451_profile_position.png",4,220,900)</f>
        <v/>
      </c>
    </row>
    <row r="1879">
      <c r="A1879" t="inlineStr">
        <is>
          <t>chr17</t>
        </is>
      </c>
      <c r="B1879" t="n">
        <v>46742756</v>
      </c>
      <c r="C1879" t="inlineStr">
        <is>
          <t>G</t>
        </is>
      </c>
      <c r="D1879" t="inlineStr">
        <is>
          <t>A</t>
        </is>
      </c>
      <c r="E1879" t="inlineStr">
        <is>
          <t>rs199442</t>
        </is>
      </c>
      <c r="F1879" t="n">
        <v>-0.10058489</v>
      </c>
      <c r="G1879" t="n">
        <v>0.0087288647029308</v>
      </c>
      <c r="H1879" t="n">
        <v>0.02166220333034</v>
      </c>
      <c r="I1879" t="n">
        <v>0.0452037091544184</v>
      </c>
      <c r="J1879" t="n">
        <v>0.2776446549642425</v>
      </c>
      <c r="K1879" t="n">
        <v>0.2998772564957188</v>
      </c>
      <c r="L1879" t="b">
        <v>1</v>
      </c>
      <c r="M1879" t="b">
        <v>1</v>
      </c>
      <c r="N1879" t="inlineStr">
        <is>
          <t>ref</t>
        </is>
      </c>
      <c r="O1879" t="n">
        <v>40</v>
      </c>
      <c r="P1879" t="n">
        <v>0.015015</v>
      </c>
      <c r="Q1879" t="n">
        <v>-85</v>
      </c>
      <c r="R1879" t="n">
        <v>0.0828</v>
      </c>
      <c r="S1879">
        <f>IMAGE("https://mitra.stanford.edu/kundaje/oak/projects/neuro-variants/variant_position/credible/roussos_2024/variant_figures/roussos_2024.adolescence.GLU/rs199442_count_position.png",4,220,900)</f>
        <v/>
      </c>
      <c r="T1879">
        <f>IMAGE("https://mitra.stanford.edu/kundaje/oak/projects/neuro-variants/variant_position/credible/roussos_2024/variant_figures/roussos_2024.adolescence.GLU/rs199442_profile_position.png",4,220,900)</f>
        <v/>
      </c>
    </row>
    <row r="1880">
      <c r="A1880" t="inlineStr">
        <is>
          <t>chr17</t>
        </is>
      </c>
      <c r="B1880" t="n">
        <v>46746847</v>
      </c>
      <c r="C1880" t="inlineStr">
        <is>
          <t>T</t>
        </is>
      </c>
      <c r="D1880" t="inlineStr">
        <is>
          <t>G</t>
        </is>
      </c>
      <c r="E1880" t="inlineStr">
        <is>
          <t>rs199534</t>
        </is>
      </c>
      <c r="F1880" t="n">
        <v>-0.0055648171</v>
      </c>
      <c r="G1880" t="n">
        <v>0.7163994681806944</v>
      </c>
      <c r="H1880" t="n">
        <v>0.0228031791975592</v>
      </c>
      <c r="I1880" t="n">
        <v>0.0317297035338347</v>
      </c>
      <c r="J1880" t="n">
        <v>0.0147673446642518</v>
      </c>
      <c r="K1880" t="n">
        <v>0.8510651896397181</v>
      </c>
      <c r="L1880" t="b">
        <v>0</v>
      </c>
      <c r="M1880" t="b">
        <v>0</v>
      </c>
      <c r="N1880" t="inlineStr">
        <is>
          <t>ref</t>
        </is>
      </c>
      <c r="O1880" t="n">
        <v>-100</v>
      </c>
      <c r="P1880" t="n">
        <v>0.0147</v>
      </c>
      <c r="Q1880" t="n">
        <v>95</v>
      </c>
      <c r="R1880" t="n">
        <v>0.077</v>
      </c>
      <c r="S1880">
        <f>IMAGE("https://mitra.stanford.edu/kundaje/oak/projects/neuro-variants/variant_position/credible/roussos_2024/variant_figures/roussos_2024.adolescence.GLU/rs199534_count_position.png",4,220,900)</f>
        <v/>
      </c>
      <c r="T1880">
        <f>IMAGE("https://mitra.stanford.edu/kundaje/oak/projects/neuro-variants/variant_position/credible/roussos_2024/variant_figures/roussos_2024.adolescence.GLU/rs199534_profile_position.png",4,220,900)</f>
        <v/>
      </c>
    </row>
    <row r="1881">
      <c r="A1881" t="inlineStr">
        <is>
          <t>chr17</t>
        </is>
      </c>
      <c r="B1881" t="n">
        <v>46765770</v>
      </c>
      <c r="C1881" t="inlineStr">
        <is>
          <t>C</t>
        </is>
      </c>
      <c r="D1881" t="inlineStr">
        <is>
          <t>T</t>
        </is>
      </c>
      <c r="E1881" t="inlineStr">
        <is>
          <t>rs199528</t>
        </is>
      </c>
      <c r="F1881" t="n">
        <v>0.00092597932</v>
      </c>
      <c r="G1881" t="n">
        <v>0.8936677403007566</v>
      </c>
      <c r="H1881" t="n">
        <v>0.0066888699030216</v>
      </c>
      <c r="I1881" t="n">
        <v>0.9378587194195565</v>
      </c>
      <c r="J1881" t="n">
        <v>0.5314429417522202</v>
      </c>
      <c r="K1881" t="n">
        <v>0.0704718820948627</v>
      </c>
      <c r="L1881" t="b">
        <v>0</v>
      </c>
      <c r="M1881" t="b">
        <v>0</v>
      </c>
      <c r="N1881" t="inlineStr">
        <is>
          <t>alt</t>
        </is>
      </c>
      <c r="O1881" t="n">
        <v>75</v>
      </c>
      <c r="P1881" t="n">
        <v>0.008030000000000001</v>
      </c>
      <c r="Q1881" t="n">
        <v>-100</v>
      </c>
      <c r="R1881" t="n">
        <v>0.03058</v>
      </c>
      <c r="S1881">
        <f>IMAGE("https://mitra.stanford.edu/kundaje/oak/projects/neuro-variants/variant_position/credible/roussos_2024/variant_figures/roussos_2024.adolescence.GLU/rs199528_count_position.png",4,220,900)</f>
        <v/>
      </c>
      <c r="T1881">
        <f>IMAGE("https://mitra.stanford.edu/kundaje/oak/projects/neuro-variants/variant_position/credible/roussos_2024/variant_figures/roussos_2024.adolescence.GLU/rs199528_profile_position.png",4,220,900)</f>
        <v/>
      </c>
    </row>
    <row r="1882">
      <c r="A1882" t="inlineStr">
        <is>
          <t>chr17</t>
        </is>
      </c>
      <c r="B1882" t="n">
        <v>46771151</v>
      </c>
      <c r="C1882" t="inlineStr">
        <is>
          <t>C</t>
        </is>
      </c>
      <c r="D1882" t="inlineStr">
        <is>
          <t>A</t>
        </is>
      </c>
      <c r="E1882" t="inlineStr">
        <is>
          <t>rs199523</t>
        </is>
      </c>
      <c r="F1882" t="n">
        <v>-0.1122617259999999</v>
      </c>
      <c r="G1882" t="n">
        <v>0.0071311719682956</v>
      </c>
      <c r="H1882" t="n">
        <v>0.0411453561807748</v>
      </c>
      <c r="I1882" t="n">
        <v>0.0046959257652226</v>
      </c>
      <c r="J1882" t="n">
        <v>0.8584578234062772</v>
      </c>
      <c r="K1882" t="n">
        <v>0.0052419951976237</v>
      </c>
      <c r="L1882" t="b">
        <v>1</v>
      </c>
      <c r="M1882" t="b">
        <v>1</v>
      </c>
      <c r="N1882" t="inlineStr">
        <is>
          <t>ref</t>
        </is>
      </c>
      <c r="O1882" t="n">
        <v>-5</v>
      </c>
      <c r="P1882" t="n">
        <v>0.0004272</v>
      </c>
      <c r="Q1882" t="n">
        <v>65</v>
      </c>
      <c r="R1882" t="n">
        <v>0.06238</v>
      </c>
      <c r="S1882">
        <f>IMAGE("https://mitra.stanford.edu/kundaje/oak/projects/neuro-variants/variant_position/credible/roussos_2024/variant_figures/roussos_2024.adolescence.GLU/rs199523_count_position.png",4,220,900)</f>
        <v/>
      </c>
      <c r="T1882">
        <f>IMAGE("https://mitra.stanford.edu/kundaje/oak/projects/neuro-variants/variant_position/credible/roussos_2024/variant_figures/roussos_2024.adolescence.GLU/rs199523_profile_position.png",4,220,900)</f>
        <v/>
      </c>
    </row>
    <row r="1883">
      <c r="A1883" t="inlineStr">
        <is>
          <t>chr17</t>
        </is>
      </c>
      <c r="B1883" t="n">
        <v>46777214</v>
      </c>
      <c r="C1883" t="inlineStr">
        <is>
          <t>A</t>
        </is>
      </c>
      <c r="D1883" t="inlineStr">
        <is>
          <t>C</t>
        </is>
      </c>
      <c r="E1883" t="inlineStr">
        <is>
          <t>rs199518</t>
        </is>
      </c>
      <c r="F1883" t="n">
        <v>0.0014676571479999</v>
      </c>
      <c r="G1883" t="n">
        <v>0.7965348212212464</v>
      </c>
      <c r="H1883" t="n">
        <v>0.0432585385762115</v>
      </c>
      <c r="I1883" t="n">
        <v>0.0021102235772439</v>
      </c>
      <c r="J1883" t="n">
        <v>0.4145301526744825</v>
      </c>
      <c r="K1883" t="n">
        <v>0.1539396532225081</v>
      </c>
      <c r="L1883" t="b">
        <v>1</v>
      </c>
      <c r="M1883" t="b">
        <v>1</v>
      </c>
      <c r="N1883" t="inlineStr">
        <is>
          <t>alt</t>
        </is>
      </c>
      <c r="O1883" t="n">
        <v>-100</v>
      </c>
      <c r="P1883" t="n">
        <v>0.00206</v>
      </c>
      <c r="Q1883" t="n">
        <v>90</v>
      </c>
      <c r="R1883" t="n">
        <v>0.01529</v>
      </c>
      <c r="S1883">
        <f>IMAGE("https://mitra.stanford.edu/kundaje/oak/projects/neuro-variants/variant_position/credible/roussos_2024/variant_figures/roussos_2024.adolescence.GLU/rs199518_count_position.png",4,220,900)</f>
        <v/>
      </c>
      <c r="T1883">
        <f>IMAGE("https://mitra.stanford.edu/kundaje/oak/projects/neuro-variants/variant_position/credible/roussos_2024/variant_figures/roussos_2024.adolescence.GLU/rs199518_profile_position.png",4,220,900)</f>
        <v/>
      </c>
    </row>
    <row r="1884">
      <c r="A1884" t="inlineStr">
        <is>
          <t>chr17</t>
        </is>
      </c>
      <c r="B1884" t="n">
        <v>46777221</v>
      </c>
      <c r="C1884" t="inlineStr">
        <is>
          <t>A</t>
        </is>
      </c>
      <c r="D1884" t="inlineStr">
        <is>
          <t>G</t>
        </is>
      </c>
      <c r="E1884" t="inlineStr">
        <is>
          <t>rs199517</t>
        </is>
      </c>
      <c r="F1884" t="n">
        <v>0.00690710107</v>
      </c>
      <c r="G1884" t="n">
        <v>0.6137255220233716</v>
      </c>
      <c r="H1884" t="n">
        <v>0.0236426979893292</v>
      </c>
      <c r="I1884" t="n">
        <v>0.026816846494296</v>
      </c>
      <c r="J1884" t="n">
        <v>0.4159418736738324</v>
      </c>
      <c r="K1884" t="n">
        <v>0.1526928253154195</v>
      </c>
      <c r="L1884" t="b">
        <v>0</v>
      </c>
      <c r="M1884" t="b">
        <v>0</v>
      </c>
      <c r="N1884" t="inlineStr">
        <is>
          <t>alt</t>
        </is>
      </c>
      <c r="O1884" t="n">
        <v>0</v>
      </c>
      <c r="P1884" t="n">
        <v>0</v>
      </c>
      <c r="Q1884" t="n">
        <v>10</v>
      </c>
      <c r="R1884" t="n">
        <v>0.01335</v>
      </c>
      <c r="S1884">
        <f>IMAGE("https://mitra.stanford.edu/kundaje/oak/projects/neuro-variants/variant_position/credible/roussos_2024/variant_figures/roussos_2024.adolescence.GLU/rs199517_count_position.png",4,220,900)</f>
        <v/>
      </c>
      <c r="T1884">
        <f>IMAGE("https://mitra.stanford.edu/kundaje/oak/projects/neuro-variants/variant_position/credible/roussos_2024/variant_figures/roussos_2024.adolescence.GLU/rs199517_profile_position.png",4,220,900)</f>
        <v/>
      </c>
    </row>
    <row r="1885">
      <c r="A1885" t="inlineStr">
        <is>
          <t>chr17</t>
        </is>
      </c>
      <c r="B1885" t="n">
        <v>46779275</v>
      </c>
      <c r="C1885" t="inlineStr">
        <is>
          <t>G</t>
        </is>
      </c>
      <c r="D1885" t="inlineStr">
        <is>
          <t>C</t>
        </is>
      </c>
      <c r="E1885" t="inlineStr">
        <is>
          <t>rs199515</t>
        </is>
      </c>
      <c r="F1885" t="n">
        <v>0.01193288136</v>
      </c>
      <c r="G1885" t="n">
        <v>0.3784870562799312</v>
      </c>
      <c r="H1885" t="n">
        <v>0.0120157054229781</v>
      </c>
      <c r="I1885" t="n">
        <v>0.3261026812177102</v>
      </c>
      <c r="J1885" t="n">
        <v>0.6029363225239515</v>
      </c>
      <c r="K1885" t="n">
        <v>0.0372491527431458</v>
      </c>
      <c r="L1885" t="b">
        <v>0</v>
      </c>
      <c r="M1885" t="b">
        <v>0</v>
      </c>
      <c r="N1885" t="inlineStr">
        <is>
          <t>alt</t>
        </is>
      </c>
      <c r="O1885" t="n">
        <v>-90</v>
      </c>
      <c r="P1885" t="n">
        <v>0.0272</v>
      </c>
      <c r="Q1885" t="n">
        <v>70</v>
      </c>
      <c r="R1885" t="n">
        <v>0.0983</v>
      </c>
      <c r="S1885">
        <f>IMAGE("https://mitra.stanford.edu/kundaje/oak/projects/neuro-variants/variant_position/credible/roussos_2024/variant_figures/roussos_2024.adolescence.GLU/rs199515_count_position.png",4,220,900)</f>
        <v/>
      </c>
      <c r="T1885">
        <f>IMAGE("https://mitra.stanford.edu/kundaje/oak/projects/neuro-variants/variant_position/credible/roussos_2024/variant_figures/roussos_2024.adolescence.GLU/rs199515_profile_position.png",4,220,900)</f>
        <v/>
      </c>
    </row>
    <row r="1886">
      <c r="A1886" t="inlineStr">
        <is>
          <t>chr17</t>
        </is>
      </c>
      <c r="B1886" t="n">
        <v>46783637</v>
      </c>
      <c r="C1886" t="inlineStr">
        <is>
          <t>C</t>
        </is>
      </c>
      <c r="D1886" t="inlineStr">
        <is>
          <t>T</t>
        </is>
      </c>
      <c r="E1886" t="inlineStr">
        <is>
          <t>rs199504</t>
        </is>
      </c>
      <c r="F1886" t="n">
        <v>-0.01834907388</v>
      </c>
      <c r="G1886" t="n">
        <v>0.337129355232085</v>
      </c>
      <c r="H1886" t="n">
        <v>0.008570792966834001</v>
      </c>
      <c r="I1886" t="n">
        <v>0.7255659125086396</v>
      </c>
      <c r="J1886" t="n">
        <v>0.4011588114680898</v>
      </c>
      <c r="K1886" t="n">
        <v>0.1661769509480576</v>
      </c>
      <c r="L1886" t="b">
        <v>0</v>
      </c>
      <c r="M1886" t="b">
        <v>0</v>
      </c>
      <c r="N1886" t="inlineStr">
        <is>
          <t>ref</t>
        </is>
      </c>
      <c r="O1886" t="n">
        <v>-70</v>
      </c>
      <c r="P1886" t="n">
        <v>0.001242</v>
      </c>
      <c r="Q1886" t="n">
        <v>95</v>
      </c>
      <c r="R1886" t="n">
        <v>0.0438</v>
      </c>
      <c r="S1886">
        <f>IMAGE("https://mitra.stanford.edu/kundaje/oak/projects/neuro-variants/variant_position/credible/roussos_2024/variant_figures/roussos_2024.adolescence.GLU/rs199504_count_position.png",4,220,900)</f>
        <v/>
      </c>
      <c r="T1886">
        <f>IMAGE("https://mitra.stanford.edu/kundaje/oak/projects/neuro-variants/variant_position/credible/roussos_2024/variant_figures/roussos_2024.adolescence.GLU/rs199504_profile_position.png",4,220,900)</f>
        <v/>
      </c>
    </row>
    <row r="1887">
      <c r="A1887" t="inlineStr">
        <is>
          <t>chr17</t>
        </is>
      </c>
      <c r="B1887" t="n">
        <v>46784796</v>
      </c>
      <c r="C1887" t="inlineStr">
        <is>
          <t>G</t>
        </is>
      </c>
      <c r="D1887" t="inlineStr">
        <is>
          <t>A</t>
        </is>
      </c>
      <c r="E1887" t="inlineStr">
        <is>
          <t>rs199503</t>
        </is>
      </c>
      <c r="F1887" t="n">
        <v>0.009397396319999999</v>
      </c>
      <c r="G1887" t="n">
        <v>0.527762582217761</v>
      </c>
      <c r="H1887" t="n">
        <v>0.0225204429472601</v>
      </c>
      <c r="I1887" t="n">
        <v>0.0354387230035984</v>
      </c>
      <c r="J1887" t="n">
        <v>0.406827128476613</v>
      </c>
      <c r="K1887" t="n">
        <v>0.1602829177542203</v>
      </c>
      <c r="L1887" t="b">
        <v>0</v>
      </c>
      <c r="M1887" t="b">
        <v>0</v>
      </c>
      <c r="N1887" t="inlineStr">
        <is>
          <t>alt</t>
        </is>
      </c>
      <c r="O1887" t="n">
        <v>60</v>
      </c>
      <c r="P1887" t="n">
        <v>0.01648</v>
      </c>
      <c r="Q1887" t="n">
        <v>-60</v>
      </c>
      <c r="R1887" t="n">
        <v>0.06370000000000001</v>
      </c>
      <c r="S1887">
        <f>IMAGE("https://mitra.stanford.edu/kundaje/oak/projects/neuro-variants/variant_position/credible/roussos_2024/variant_figures/roussos_2024.adolescence.GLU/rs199503_count_position.png",4,220,900)</f>
        <v/>
      </c>
      <c r="T1887">
        <f>IMAGE("https://mitra.stanford.edu/kundaje/oak/projects/neuro-variants/variant_position/credible/roussos_2024/variant_figures/roussos_2024.adolescence.GLU/rs199503_profile_position.png",4,220,900)</f>
        <v/>
      </c>
    </row>
    <row r="1888">
      <c r="A1888" t="inlineStr">
        <is>
          <t>chr17</t>
        </is>
      </c>
      <c r="B1888" t="n">
        <v>46788237</v>
      </c>
      <c r="C1888" t="inlineStr">
        <is>
          <t>T</t>
        </is>
      </c>
      <c r="D1888" t="inlineStr">
        <is>
          <t>C</t>
        </is>
      </c>
      <c r="E1888" t="inlineStr">
        <is>
          <t>rs199498</t>
        </is>
      </c>
      <c r="F1888" t="n">
        <v>-0.00284792316</v>
      </c>
      <c r="G1888" t="n">
        <v>0.8545077912859955</v>
      </c>
      <c r="H1888" t="n">
        <v>0.0262640162608253</v>
      </c>
      <c r="I1888" t="n">
        <v>0.0160038185233746</v>
      </c>
      <c r="J1888" t="n">
        <v>0.2241435725971808</v>
      </c>
      <c r="K1888" t="n">
        <v>0.3716483432612695</v>
      </c>
      <c r="L1888" t="b">
        <v>1</v>
      </c>
      <c r="M1888" t="b">
        <v>0</v>
      </c>
      <c r="N1888" t="inlineStr">
        <is>
          <t>ref</t>
        </is>
      </c>
      <c r="O1888" t="n">
        <v>70</v>
      </c>
      <c r="P1888" t="n">
        <v>0.002823</v>
      </c>
      <c r="Q1888" t="n">
        <v>30</v>
      </c>
      <c r="R1888" t="n">
        <v>0.063</v>
      </c>
      <c r="S1888">
        <f>IMAGE("https://mitra.stanford.edu/kundaje/oak/projects/neuro-variants/variant_position/credible/roussos_2024/variant_figures/roussos_2024.adolescence.GLU/rs199498_count_position.png",4,220,900)</f>
        <v/>
      </c>
      <c r="T1888">
        <f>IMAGE("https://mitra.stanford.edu/kundaje/oak/projects/neuro-variants/variant_position/credible/roussos_2024/variant_figures/roussos_2024.adolescence.GLU/rs199498_profile_position.png",4,220,900)</f>
        <v/>
      </c>
    </row>
    <row r="1889">
      <c r="A1889" t="inlineStr">
        <is>
          <t>chr17</t>
        </is>
      </c>
      <c r="B1889" t="n">
        <v>46881571</v>
      </c>
      <c r="C1889" t="inlineStr">
        <is>
          <t>A</t>
        </is>
      </c>
      <c r="D1889" t="inlineStr">
        <is>
          <t>G</t>
        </is>
      </c>
      <c r="E1889" t="inlineStr">
        <is>
          <t>rs4968282</t>
        </is>
      </c>
      <c r="F1889" t="n">
        <v>0.0404604899999999</v>
      </c>
      <c r="G1889" t="n">
        <v>0.1023544360576228</v>
      </c>
      <c r="H1889" t="n">
        <v>0.0096006421209921</v>
      </c>
      <c r="I1889" t="n">
        <v>0.5775847125323952</v>
      </c>
      <c r="J1889" t="n">
        <v>0.2802709132606039</v>
      </c>
      <c r="K1889" t="n">
        <v>0.2952811585356049</v>
      </c>
      <c r="L1889" t="b">
        <v>0</v>
      </c>
      <c r="M1889" t="b">
        <v>0</v>
      </c>
      <c r="N1889" t="inlineStr">
        <is>
          <t>alt</t>
        </is>
      </c>
      <c r="O1889" t="n">
        <v>-95</v>
      </c>
      <c r="P1889" t="n">
        <v>0.00579</v>
      </c>
      <c r="Q1889" t="n">
        <v>70</v>
      </c>
      <c r="R1889" t="n">
        <v>0.11005</v>
      </c>
      <c r="S1889">
        <f>IMAGE("https://mitra.stanford.edu/kundaje/oak/projects/neuro-variants/variant_position/credible/roussos_2024/variant_figures/roussos_2024.adolescence.GLU/rs4968282_count_position.png",4,220,900)</f>
        <v/>
      </c>
      <c r="T1889">
        <f>IMAGE("https://mitra.stanford.edu/kundaje/oak/projects/neuro-variants/variant_position/credible/roussos_2024/variant_figures/roussos_2024.adolescence.GLU/rs4968282_profile_position.png",4,220,900)</f>
        <v/>
      </c>
    </row>
    <row r="1890">
      <c r="A1890" t="inlineStr">
        <is>
          <t>chr17</t>
        </is>
      </c>
      <c r="B1890" t="n">
        <v>46885958</v>
      </c>
      <c r="C1890" t="inlineStr">
        <is>
          <t>G</t>
        </is>
      </c>
      <c r="D1890" t="inlineStr">
        <is>
          <t>A</t>
        </is>
      </c>
      <c r="E1890" t="inlineStr">
        <is>
          <t>rs34316808</t>
        </is>
      </c>
      <c r="F1890" t="n">
        <v>0.024251065</v>
      </c>
      <c r="G1890" t="n">
        <v>0.2364445782325854</v>
      </c>
      <c r="H1890" t="n">
        <v>0.0187088671095796</v>
      </c>
      <c r="I1890" t="n">
        <v>0.07932819959437901</v>
      </c>
      <c r="J1890" t="n">
        <v>0.22517235713112</v>
      </c>
      <c r="K1890" t="n">
        <v>0.368619915536018</v>
      </c>
      <c r="L1890" t="b">
        <v>0</v>
      </c>
      <c r="M1890" t="b">
        <v>0</v>
      </c>
      <c r="N1890" t="inlineStr">
        <is>
          <t>alt</t>
        </is>
      </c>
      <c r="O1890" t="n">
        <v>-80</v>
      </c>
      <c r="P1890" t="n">
        <v>0.007156</v>
      </c>
      <c r="Q1890" t="n">
        <v>40</v>
      </c>
      <c r="R1890" t="n">
        <v>0.03583</v>
      </c>
      <c r="S1890">
        <f>IMAGE("https://mitra.stanford.edu/kundaje/oak/projects/neuro-variants/variant_position/credible/roussos_2024/variant_figures/roussos_2024.adolescence.GLU/rs34316808_count_position.png",4,220,900)</f>
        <v/>
      </c>
      <c r="T1890">
        <f>IMAGE("https://mitra.stanford.edu/kundaje/oak/projects/neuro-variants/variant_position/credible/roussos_2024/variant_figures/roussos_2024.adolescence.GLU/rs34316808_profile_position.png",4,220,900)</f>
        <v/>
      </c>
    </row>
    <row r="1891">
      <c r="A1891" t="inlineStr">
        <is>
          <t>chr17</t>
        </is>
      </c>
      <c r="B1891" t="n">
        <v>57657987</v>
      </c>
      <c r="C1891" t="inlineStr">
        <is>
          <t>A</t>
        </is>
      </c>
      <c r="D1891" t="inlineStr">
        <is>
          <t>G</t>
        </is>
      </c>
      <c r="E1891" t="inlineStr">
        <is>
          <t>rs4530197</t>
        </is>
      </c>
      <c r="F1891" t="n">
        <v>-0.01586065</v>
      </c>
      <c r="G1891" t="n">
        <v>0.3673440512074259</v>
      </c>
      <c r="H1891" t="n">
        <v>0.0100476341264604</v>
      </c>
      <c r="I1891" t="n">
        <v>0.5033764420784671</v>
      </c>
      <c r="J1891" t="n">
        <v>0.2396296375677818</v>
      </c>
      <c r="K1891" t="n">
        <v>0.3490906486663054</v>
      </c>
      <c r="L1891" t="b">
        <v>0</v>
      </c>
      <c r="M1891" t="b">
        <v>0</v>
      </c>
      <c r="N1891" t="inlineStr">
        <is>
          <t>ref</t>
        </is>
      </c>
      <c r="O1891" t="n">
        <v>-60</v>
      </c>
      <c r="P1891" t="n">
        <v>0.01018</v>
      </c>
      <c r="Q1891" t="n">
        <v>50</v>
      </c>
      <c r="R1891" t="n">
        <v>0.05243</v>
      </c>
      <c r="S1891">
        <f>IMAGE("https://mitra.stanford.edu/kundaje/oak/projects/neuro-variants/variant_position/credible/roussos_2024/variant_figures/roussos_2024.adolescence.GLU/rs4530197_count_position.png",4,220,900)</f>
        <v/>
      </c>
      <c r="T1891">
        <f>IMAGE("https://mitra.stanford.edu/kundaje/oak/projects/neuro-variants/variant_position/credible/roussos_2024/variant_figures/roussos_2024.adolescence.GLU/rs4530197_profile_position.png",4,220,900)</f>
        <v/>
      </c>
    </row>
    <row r="1892">
      <c r="A1892" t="inlineStr">
        <is>
          <t>chr17</t>
        </is>
      </c>
      <c r="B1892" t="n">
        <v>57668632</v>
      </c>
      <c r="C1892" t="inlineStr">
        <is>
          <t>G</t>
        </is>
      </c>
      <c r="D1892" t="inlineStr">
        <is>
          <t>T</t>
        </is>
      </c>
      <c r="E1892" t="inlineStr">
        <is>
          <t>rs12603880</t>
        </is>
      </c>
      <c r="F1892" t="n">
        <v>0.0271284706</v>
      </c>
      <c r="G1892" t="n">
        <v>0.1957279918685466</v>
      </c>
      <c r="H1892" t="n">
        <v>0.0194504676379525</v>
      </c>
      <c r="I1892" t="n">
        <v>0.0649591601323264</v>
      </c>
      <c r="J1892" t="n">
        <v>0.1759778811325202</v>
      </c>
      <c r="K1892" t="n">
        <v>0.4407799954624166</v>
      </c>
      <c r="L1892" t="b">
        <v>0</v>
      </c>
      <c r="M1892" t="b">
        <v>0</v>
      </c>
      <c r="N1892" t="inlineStr">
        <is>
          <t>alt</t>
        </is>
      </c>
      <c r="O1892" t="n">
        <v>95</v>
      </c>
      <c r="P1892" t="n">
        <v>0.01982</v>
      </c>
      <c r="Q1892" t="n">
        <v>80</v>
      </c>
      <c r="R1892" t="n">
        <v>0.04773</v>
      </c>
      <c r="S1892">
        <f>IMAGE("https://mitra.stanford.edu/kundaje/oak/projects/neuro-variants/variant_position/credible/roussos_2024/variant_figures/roussos_2024.adolescence.GLU/rs12603880_count_position.png",4,220,900)</f>
        <v/>
      </c>
      <c r="T1892">
        <f>IMAGE("https://mitra.stanford.edu/kundaje/oak/projects/neuro-variants/variant_position/credible/roussos_2024/variant_figures/roussos_2024.adolescence.GLU/rs12603880_profile_position.png",4,220,900)</f>
        <v/>
      </c>
    </row>
    <row r="1893">
      <c r="A1893" t="inlineStr">
        <is>
          <t>chr17</t>
        </is>
      </c>
      <c r="B1893" t="n">
        <v>63480868</v>
      </c>
      <c r="C1893" t="inlineStr">
        <is>
          <t>A</t>
        </is>
      </c>
      <c r="D1893" t="inlineStr">
        <is>
          <t>G</t>
        </is>
      </c>
      <c r="E1893" t="inlineStr">
        <is>
          <t>rs4305</t>
        </is>
      </c>
      <c r="F1893" t="n">
        <v>0.041921568</v>
      </c>
      <c r="G1893" t="n">
        <v>0.09371003958349</v>
      </c>
      <c r="H1893" t="n">
        <v>0.0113059810349689</v>
      </c>
      <c r="I1893" t="n">
        <v>0.3945548219049825</v>
      </c>
      <c r="J1893" t="n">
        <v>0.5058362089289924</v>
      </c>
      <c r="K1893" t="n">
        <v>0.0848688887656452</v>
      </c>
      <c r="L1893" t="b">
        <v>0</v>
      </c>
      <c r="M1893" t="b">
        <v>0</v>
      </c>
      <c r="N1893" t="inlineStr">
        <is>
          <t>alt</t>
        </is>
      </c>
      <c r="O1893" t="n">
        <v>-100</v>
      </c>
      <c r="P1893" t="n">
        <v>0.0004272</v>
      </c>
      <c r="Q1893" t="n">
        <v>65</v>
      </c>
      <c r="R1893" t="n">
        <v>0.0683</v>
      </c>
      <c r="S1893">
        <f>IMAGE("https://mitra.stanford.edu/kundaje/oak/projects/neuro-variants/variant_position/credible/roussos_2024/variant_figures/roussos_2024.adolescence.GLU/rs4305_count_position.png",4,220,900)</f>
        <v/>
      </c>
      <c r="T1893">
        <f>IMAGE("https://mitra.stanford.edu/kundaje/oak/projects/neuro-variants/variant_position/credible/roussos_2024/variant_figures/roussos_2024.adolescence.GLU/rs4305_profile_position.png",4,220,900)</f>
        <v/>
      </c>
    </row>
    <row r="1894">
      <c r="A1894" t="inlineStr">
        <is>
          <t>chr17</t>
        </is>
      </c>
      <c r="B1894" t="n">
        <v>80556797</v>
      </c>
      <c r="C1894" t="inlineStr">
        <is>
          <t>A</t>
        </is>
      </c>
      <c r="D1894" t="inlineStr">
        <is>
          <t>G</t>
        </is>
      </c>
      <c r="E1894" t="inlineStr">
        <is>
          <t>rs72855201</t>
        </is>
      </c>
      <c r="F1894" t="n">
        <v>0.0008246634548</v>
      </c>
      <c r="G1894" t="n">
        <v>0.8234042940627816</v>
      </c>
      <c r="H1894" t="n">
        <v>0.0317559928764841</v>
      </c>
      <c r="I1894" t="n">
        <v>0.0063998849152023</v>
      </c>
      <c r="J1894" t="n">
        <v>0.164475498496117</v>
      </c>
      <c r="K1894" t="n">
        <v>0.4572642963339475</v>
      </c>
      <c r="L1894" t="b">
        <v>1</v>
      </c>
      <c r="M1894" t="b">
        <v>1</v>
      </c>
      <c r="N1894" t="inlineStr">
        <is>
          <t>alt</t>
        </is>
      </c>
      <c r="O1894" t="n">
        <v>100</v>
      </c>
      <c r="P1894" t="n">
        <v>0.014755</v>
      </c>
      <c r="Q1894" t="n">
        <v>-100</v>
      </c>
      <c r="R1894" t="n">
        <v>0.089</v>
      </c>
      <c r="S1894">
        <f>IMAGE("https://mitra.stanford.edu/kundaje/oak/projects/neuro-variants/variant_position/credible/roussos_2024/variant_figures/roussos_2024.adolescence.GLU/rs72855201_count_position.png",4,220,900)</f>
        <v/>
      </c>
      <c r="T1894">
        <f>IMAGE("https://mitra.stanford.edu/kundaje/oak/projects/neuro-variants/variant_position/credible/roussos_2024/variant_figures/roussos_2024.adolescence.GLU/rs72855201_profile_position.png",4,220,900)</f>
        <v/>
      </c>
    </row>
    <row r="1895">
      <c r="A1895" t="inlineStr">
        <is>
          <t>chr17</t>
        </is>
      </c>
      <c r="B1895" t="n">
        <v>80581712</v>
      </c>
      <c r="C1895" t="inlineStr">
        <is>
          <t>G</t>
        </is>
      </c>
      <c r="D1895" t="inlineStr">
        <is>
          <t>T</t>
        </is>
      </c>
      <c r="E1895" t="inlineStr">
        <is>
          <t>rs114177791</t>
        </is>
      </c>
      <c r="F1895" t="n">
        <v>-0.00707855318</v>
      </c>
      <c r="G1895" t="n">
        <v>0.6304358742031092</v>
      </c>
      <c r="H1895" t="n">
        <v>0.0116471727069763</v>
      </c>
      <c r="I1895" t="n">
        <v>0.3653650983449629</v>
      </c>
      <c r="J1895" t="n">
        <v>0.3940473383772352</v>
      </c>
      <c r="K1895" t="n">
        <v>0.1714935618688716</v>
      </c>
      <c r="L1895" t="b">
        <v>0</v>
      </c>
      <c r="M1895" t="b">
        <v>0</v>
      </c>
      <c r="N1895" t="inlineStr">
        <is>
          <t>ref</t>
        </is>
      </c>
      <c r="O1895" t="n">
        <v>65</v>
      </c>
      <c r="P1895" t="n">
        <v>0.000681</v>
      </c>
      <c r="Q1895" t="n">
        <v>-90</v>
      </c>
      <c r="R1895" t="n">
        <v>0.0902</v>
      </c>
      <c r="S1895">
        <f>IMAGE("https://mitra.stanford.edu/kundaje/oak/projects/neuro-variants/variant_position/credible/roussos_2024/variant_figures/roussos_2024.adolescence.GLU/rs114177791_count_position.png",4,220,900)</f>
        <v/>
      </c>
      <c r="T1895">
        <f>IMAGE("https://mitra.stanford.edu/kundaje/oak/projects/neuro-variants/variant_position/credible/roussos_2024/variant_figures/roussos_2024.adolescence.GLU/rs114177791_profile_position.png",4,220,900)</f>
        <v/>
      </c>
    </row>
    <row r="1896">
      <c r="A1896" t="inlineStr">
        <is>
          <t>chr18</t>
        </is>
      </c>
      <c r="B1896" t="n">
        <v>4999143</v>
      </c>
      <c r="C1896" t="inlineStr">
        <is>
          <t>G</t>
        </is>
      </c>
      <c r="D1896" t="inlineStr">
        <is>
          <t>A</t>
        </is>
      </c>
      <c r="E1896" t="inlineStr">
        <is>
          <t>rs11665120</t>
        </is>
      </c>
      <c r="F1896" t="n">
        <v>-0.0019622648599999</v>
      </c>
      <c r="G1896" t="n">
        <v>0.7172066218066065</v>
      </c>
      <c r="H1896" t="n">
        <v>0.0092392307813312</v>
      </c>
      <c r="I1896" t="n">
        <v>0.6266605862381761</v>
      </c>
      <c r="J1896" t="n">
        <v>0.2046838273642398</v>
      </c>
      <c r="K1896" t="n">
        <v>0.3979608997421866</v>
      </c>
      <c r="L1896" t="b">
        <v>0</v>
      </c>
      <c r="M1896" t="b">
        <v>0</v>
      </c>
      <c r="N1896" t="inlineStr">
        <is>
          <t>ref</t>
        </is>
      </c>
      <c r="O1896" t="n">
        <v>-60</v>
      </c>
      <c r="P1896" t="n">
        <v>0.00988</v>
      </c>
      <c r="Q1896" t="n">
        <v>65</v>
      </c>
      <c r="R1896" t="n">
        <v>0.08160000000000001</v>
      </c>
      <c r="S1896">
        <f>IMAGE("https://mitra.stanford.edu/kundaje/oak/projects/neuro-variants/variant_position/credible/roussos_2024/variant_figures/roussos_2024.adolescence.GLU/rs11665120_count_position.png",4,220,900)</f>
        <v/>
      </c>
      <c r="T1896">
        <f>IMAGE("https://mitra.stanford.edu/kundaje/oak/projects/neuro-variants/variant_position/credible/roussos_2024/variant_figures/roussos_2024.adolescence.GLU/rs11665120_profile_position.png",4,220,900)</f>
        <v/>
      </c>
    </row>
    <row r="1897">
      <c r="A1897" t="inlineStr">
        <is>
          <t>chr18</t>
        </is>
      </c>
      <c r="B1897" t="n">
        <v>29784902</v>
      </c>
      <c r="C1897" t="inlineStr">
        <is>
          <t>T</t>
        </is>
      </c>
      <c r="D1897" t="inlineStr">
        <is>
          <t>C</t>
        </is>
      </c>
      <c r="E1897" t="inlineStr">
        <is>
          <t>rs113895388</t>
        </is>
      </c>
      <c r="F1897" t="n">
        <v>-0.0176015652</v>
      </c>
      <c r="G1897" t="n">
        <v>0.3717601993288503</v>
      </c>
      <c r="H1897" t="n">
        <v>0.0101681352095118</v>
      </c>
      <c r="I1897" t="n">
        <v>0.5090160580645144</v>
      </c>
      <c r="J1897" t="n">
        <v>3.286395038972358e-05</v>
      </c>
      <c r="K1897" t="n">
        <v>0.9982056208329696</v>
      </c>
      <c r="L1897" t="b">
        <v>0</v>
      </c>
      <c r="M1897" t="b">
        <v>0</v>
      </c>
      <c r="N1897" t="inlineStr">
        <is>
          <t>ref</t>
        </is>
      </c>
      <c r="O1897" t="n">
        <v>95</v>
      </c>
      <c r="P1897" t="n">
        <v>0.01437</v>
      </c>
      <c r="Q1897" t="n">
        <v>35</v>
      </c>
      <c r="R1897" t="n">
        <v>0.04028</v>
      </c>
      <c r="S1897">
        <f>IMAGE("https://mitra.stanford.edu/kundaje/oak/projects/neuro-variants/variant_position/credible/roussos_2024/variant_figures/roussos_2024.adolescence.GLU/rs113895388_count_position.png",4,220,900)</f>
        <v/>
      </c>
      <c r="T1897">
        <f>IMAGE("https://mitra.stanford.edu/kundaje/oak/projects/neuro-variants/variant_position/credible/roussos_2024/variant_figures/roussos_2024.adolescence.GLU/rs113895388_profile_position.png",4,220,900)</f>
        <v/>
      </c>
    </row>
    <row r="1898">
      <c r="A1898" t="inlineStr">
        <is>
          <t>chr18</t>
        </is>
      </c>
      <c r="B1898" t="n">
        <v>29821318</v>
      </c>
      <c r="C1898" t="inlineStr">
        <is>
          <t>T</t>
        </is>
      </c>
      <c r="D1898" t="inlineStr">
        <is>
          <t>G</t>
        </is>
      </c>
      <c r="E1898" t="inlineStr">
        <is>
          <t>rs188275234</t>
        </is>
      </c>
      <c r="F1898" t="n">
        <v>-0.023577674</v>
      </c>
      <c r="G1898" t="n">
        <v>0.255543734172852</v>
      </c>
      <c r="H1898" t="n">
        <v>0.0269160844696096</v>
      </c>
      <c r="I1898" t="n">
        <v>0.0149364887108202</v>
      </c>
      <c r="J1898" t="n">
        <v>0.1688406884283173</v>
      </c>
      <c r="K1898" t="n">
        <v>0.4500372917835847</v>
      </c>
      <c r="L1898" t="b">
        <v>1</v>
      </c>
      <c r="M1898" t="b">
        <v>0</v>
      </c>
      <c r="N1898" t="inlineStr">
        <is>
          <t>ref</t>
        </is>
      </c>
      <c r="O1898" t="n">
        <v>85</v>
      </c>
      <c r="P1898" t="n">
        <v>0.014336</v>
      </c>
      <c r="Q1898" t="n">
        <v>-100</v>
      </c>
      <c r="R1898" t="n">
        <v>0.10065</v>
      </c>
      <c r="S1898">
        <f>IMAGE("https://mitra.stanford.edu/kundaje/oak/projects/neuro-variants/variant_position/credible/roussos_2024/variant_figures/roussos_2024.adolescence.GLU/rs188275234_count_position.png",4,220,900)</f>
        <v/>
      </c>
      <c r="T1898">
        <f>IMAGE("https://mitra.stanford.edu/kundaje/oak/projects/neuro-variants/variant_position/credible/roussos_2024/variant_figures/roussos_2024.adolescence.GLU/rs188275234_profile_position.png",4,220,900)</f>
        <v/>
      </c>
    </row>
    <row r="1899">
      <c r="A1899" t="inlineStr">
        <is>
          <t>chr18</t>
        </is>
      </c>
      <c r="B1899" t="n">
        <v>29901722</v>
      </c>
      <c r="C1899" t="inlineStr">
        <is>
          <t>G</t>
        </is>
      </c>
      <c r="D1899" t="inlineStr">
        <is>
          <t>T</t>
        </is>
      </c>
      <c r="E1899" t="inlineStr">
        <is>
          <t>rs11083369</t>
        </is>
      </c>
      <c r="F1899" t="n">
        <v>-0.003041193</v>
      </c>
      <c r="G1899" t="n">
        <v>0.6798335988451776</v>
      </c>
      <c r="H1899" t="n">
        <v>0.0241599765500134</v>
      </c>
      <c r="I1899" t="n">
        <v>0.0241327004846091</v>
      </c>
      <c r="J1899" t="n">
        <v>0.0615527502125439</v>
      </c>
      <c r="K1899" t="n">
        <v>0.664736571674318</v>
      </c>
      <c r="L1899" t="b">
        <v>0</v>
      </c>
      <c r="M1899" t="b">
        <v>0</v>
      </c>
      <c r="N1899" t="inlineStr">
        <is>
          <t>ref</t>
        </is>
      </c>
      <c r="O1899" t="n">
        <v>-100</v>
      </c>
      <c r="P1899" t="n">
        <v>0.2106</v>
      </c>
      <c r="Q1899" t="n">
        <v>-60</v>
      </c>
      <c r="R1899" t="n">
        <v>0.3376</v>
      </c>
      <c r="S1899">
        <f>IMAGE("https://mitra.stanford.edu/kundaje/oak/projects/neuro-variants/variant_position/credible/roussos_2024/variant_figures/roussos_2024.adolescence.GLU/rs11083369_count_position.png",4,220,900)</f>
        <v/>
      </c>
      <c r="T1899">
        <f>IMAGE("https://mitra.stanford.edu/kundaje/oak/projects/neuro-variants/variant_position/credible/roussos_2024/variant_figures/roussos_2024.adolescence.GLU/rs11083369_profile_position.png",4,220,900)</f>
        <v/>
      </c>
    </row>
    <row r="1900">
      <c r="A1900" t="inlineStr">
        <is>
          <t>chr18</t>
        </is>
      </c>
      <c r="B1900" t="n">
        <v>53185406</v>
      </c>
      <c r="C1900" t="inlineStr">
        <is>
          <t>A</t>
        </is>
      </c>
      <c r="D1900" t="inlineStr">
        <is>
          <t>C</t>
        </is>
      </c>
      <c r="E1900" t="inlineStr">
        <is>
          <t>rs7505145</t>
        </is>
      </c>
      <c r="F1900" t="n">
        <v>-0.0433854848</v>
      </c>
      <c r="G1900" t="n">
        <v>0.1177200920918464</v>
      </c>
      <c r="H1900" t="n">
        <v>0.0305678431623179</v>
      </c>
      <c r="I1900" t="n">
        <v>0.0137569880143826</v>
      </c>
      <c r="J1900" t="n">
        <v>0.0309006865707896</v>
      </c>
      <c r="K1900" t="n">
        <v>0.7667998618435365</v>
      </c>
      <c r="L1900" t="b">
        <v>1</v>
      </c>
      <c r="M1900" t="b">
        <v>0</v>
      </c>
      <c r="N1900" t="inlineStr">
        <is>
          <t>ref</t>
        </is>
      </c>
      <c r="O1900" t="n">
        <v>85</v>
      </c>
      <c r="P1900" t="n">
        <v>0.02002</v>
      </c>
      <c r="Q1900" t="n">
        <v>60</v>
      </c>
      <c r="R1900" t="n">
        <v>0.0233</v>
      </c>
      <c r="S1900">
        <f>IMAGE("https://mitra.stanford.edu/kundaje/oak/projects/neuro-variants/variant_position/credible/roussos_2024/variant_figures/roussos_2024.adolescence.GLU/rs7505145_count_position.png",4,220,900)</f>
        <v/>
      </c>
      <c r="T1900">
        <f>IMAGE("https://mitra.stanford.edu/kundaje/oak/projects/neuro-variants/variant_position/credible/roussos_2024/variant_figures/roussos_2024.adolescence.GLU/rs7505145_profile_position.png",4,220,900)</f>
        <v/>
      </c>
    </row>
    <row r="1901">
      <c r="A1901" t="inlineStr">
        <is>
          <t>chr18</t>
        </is>
      </c>
      <c r="B1901" t="n">
        <v>53198529</v>
      </c>
      <c r="C1901" t="inlineStr">
        <is>
          <t>G</t>
        </is>
      </c>
      <c r="D1901" t="inlineStr">
        <is>
          <t>A</t>
        </is>
      </c>
      <c r="E1901" t="inlineStr">
        <is>
          <t>rs62099231</t>
        </is>
      </c>
      <c r="F1901" t="n">
        <v>-0.01054772812</v>
      </c>
      <c r="G1901" t="n">
        <v>0.5129762197488469</v>
      </c>
      <c r="H1901" t="n">
        <v>0.0076918582408857</v>
      </c>
      <c r="I1901" t="n">
        <v>0.8292403142787624</v>
      </c>
      <c r="J1901" t="n">
        <v>0.0091733287609575</v>
      </c>
      <c r="K1901" t="n">
        <v>0.8949511491367714</v>
      </c>
      <c r="L1901" t="b">
        <v>0</v>
      </c>
      <c r="M1901" t="b">
        <v>0</v>
      </c>
      <c r="N1901" t="inlineStr">
        <is>
          <t>ref</t>
        </is>
      </c>
      <c r="O1901" t="n">
        <v>100</v>
      </c>
      <c r="P1901" t="n">
        <v>0.004906</v>
      </c>
      <c r="Q1901" t="n">
        <v>30</v>
      </c>
      <c r="R1901" t="n">
        <v>0.0357</v>
      </c>
      <c r="S1901">
        <f>IMAGE("https://mitra.stanford.edu/kundaje/oak/projects/neuro-variants/variant_position/credible/roussos_2024/variant_figures/roussos_2024.adolescence.GLU/rs62099231_count_position.png",4,220,900)</f>
        <v/>
      </c>
      <c r="T1901">
        <f>IMAGE("https://mitra.stanford.edu/kundaje/oak/projects/neuro-variants/variant_position/credible/roussos_2024/variant_figures/roussos_2024.adolescence.GLU/rs62099231_profile_position.png",4,220,900)</f>
        <v/>
      </c>
    </row>
    <row r="1902">
      <c r="A1902" t="inlineStr">
        <is>
          <t>chr18</t>
        </is>
      </c>
      <c r="B1902" t="n">
        <v>53256222</v>
      </c>
      <c r="C1902" t="inlineStr">
        <is>
          <t>A</t>
        </is>
      </c>
      <c r="D1902" t="inlineStr">
        <is>
          <t>G</t>
        </is>
      </c>
      <c r="E1902" t="inlineStr">
        <is>
          <t>rs4100041</t>
        </is>
      </c>
      <c r="F1902" t="n">
        <v>-0.0223539226</v>
      </c>
      <c r="G1902" t="n">
        <v>0.2648856395103719</v>
      </c>
      <c r="H1902" t="n">
        <v>0.0253503282270193</v>
      </c>
      <c r="I1902" t="n">
        <v>0.018523751353736</v>
      </c>
      <c r="J1902" t="n">
        <v>0.06803123504154419</v>
      </c>
      <c r="K1902" t="n">
        <v>0.651865771472146</v>
      </c>
      <c r="L1902" t="b">
        <v>1</v>
      </c>
      <c r="M1902" t="b">
        <v>0</v>
      </c>
      <c r="N1902" t="inlineStr">
        <is>
          <t>ref</t>
        </is>
      </c>
      <c r="O1902" t="n">
        <v>-100</v>
      </c>
      <c r="P1902" t="n">
        <v>0.01602</v>
      </c>
      <c r="Q1902" t="n">
        <v>-25</v>
      </c>
      <c r="R1902" t="n">
        <v>0.00476</v>
      </c>
      <c r="S1902">
        <f>IMAGE("https://mitra.stanford.edu/kundaje/oak/projects/neuro-variants/variant_position/credible/roussos_2024/variant_figures/roussos_2024.adolescence.GLU/rs4100041_count_position.png",4,220,900)</f>
        <v/>
      </c>
      <c r="T1902">
        <f>IMAGE("https://mitra.stanford.edu/kundaje/oak/projects/neuro-variants/variant_position/credible/roussos_2024/variant_figures/roussos_2024.adolescence.GLU/rs4100041_profile_position.png",4,220,900)</f>
        <v/>
      </c>
    </row>
    <row r="1903">
      <c r="A1903" t="inlineStr">
        <is>
          <t>chr18</t>
        </is>
      </c>
      <c r="B1903" t="n">
        <v>53318766</v>
      </c>
      <c r="C1903" t="inlineStr">
        <is>
          <t>T</t>
        </is>
      </c>
      <c r="D1903" t="inlineStr">
        <is>
          <t>G</t>
        </is>
      </c>
      <c r="E1903" t="inlineStr">
        <is>
          <t>rs77916462</t>
        </is>
      </c>
      <c r="F1903" t="n">
        <v>-0.0032088778599999</v>
      </c>
      <c r="G1903" t="n">
        <v>0.7706188883221325</v>
      </c>
      <c r="H1903" t="n">
        <v>0.0333457484994863</v>
      </c>
      <c r="I1903" t="n">
        <v>0.0057514860562604</v>
      </c>
      <c r="J1903" t="n">
        <v>0.0197612362560815</v>
      </c>
      <c r="K1903" t="n">
        <v>0.8239127682148686</v>
      </c>
      <c r="L1903" t="b">
        <v>1</v>
      </c>
      <c r="M1903" t="b">
        <v>0</v>
      </c>
      <c r="N1903" t="inlineStr">
        <is>
          <t>ref</t>
        </is>
      </c>
      <c r="O1903" t="n">
        <v>95</v>
      </c>
      <c r="P1903" t="n">
        <v>0.004303</v>
      </c>
      <c r="Q1903" t="n">
        <v>-100</v>
      </c>
      <c r="R1903" t="n">
        <v>0.06934</v>
      </c>
      <c r="S1903">
        <f>IMAGE("https://mitra.stanford.edu/kundaje/oak/projects/neuro-variants/variant_position/credible/roussos_2024/variant_figures/roussos_2024.adolescence.GLU/rs77916462_count_position.png",4,220,900)</f>
        <v/>
      </c>
      <c r="T1903">
        <f>IMAGE("https://mitra.stanford.edu/kundaje/oak/projects/neuro-variants/variant_position/credible/roussos_2024/variant_figures/roussos_2024.adolescence.GLU/rs77916462_profile_position.png",4,220,900)</f>
        <v/>
      </c>
    </row>
    <row r="1904">
      <c r="A1904" t="inlineStr">
        <is>
          <t>chr18</t>
        </is>
      </c>
      <c r="B1904" t="n">
        <v>53318768</v>
      </c>
      <c r="C1904" t="inlineStr">
        <is>
          <t>T</t>
        </is>
      </c>
      <c r="D1904" t="inlineStr">
        <is>
          <t>G</t>
        </is>
      </c>
      <c r="E1904" t="inlineStr">
        <is>
          <t>rs75048819</t>
        </is>
      </c>
      <c r="F1904" t="n">
        <v>-0.0032605163399999</v>
      </c>
      <c r="G1904" t="n">
        <v>0.7904590736590384</v>
      </c>
      <c r="H1904" t="n">
        <v>0.0345271059925837</v>
      </c>
      <c r="I1904" t="n">
        <v>0.0048022061193745</v>
      </c>
      <c r="J1904" t="n">
        <v>0.0197555207864485</v>
      </c>
      <c r="K1904" t="n">
        <v>0.8238888672761504</v>
      </c>
      <c r="L1904" t="b">
        <v>1</v>
      </c>
      <c r="M1904" t="b">
        <v>0</v>
      </c>
      <c r="N1904" t="inlineStr">
        <is>
          <t>ref</t>
        </is>
      </c>
      <c r="O1904" t="n">
        <v>-100</v>
      </c>
      <c r="P1904" t="n">
        <v>0.003235</v>
      </c>
      <c r="Q1904" t="n">
        <v>95</v>
      </c>
      <c r="R1904" t="n">
        <v>0.0721</v>
      </c>
      <c r="S1904">
        <f>IMAGE("https://mitra.stanford.edu/kundaje/oak/projects/neuro-variants/variant_position/credible/roussos_2024/variant_figures/roussos_2024.adolescence.GLU/rs75048819_count_position.png",4,220,900)</f>
        <v/>
      </c>
      <c r="T1904">
        <f>IMAGE("https://mitra.stanford.edu/kundaje/oak/projects/neuro-variants/variant_position/credible/roussos_2024/variant_figures/roussos_2024.adolescence.GLU/rs75048819_profile_position.png",4,220,900)</f>
        <v/>
      </c>
    </row>
    <row r="1905">
      <c r="A1905" t="inlineStr">
        <is>
          <t>chr18</t>
        </is>
      </c>
      <c r="B1905" t="n">
        <v>53425189</v>
      </c>
      <c r="C1905" t="inlineStr">
        <is>
          <t>G</t>
        </is>
      </c>
      <c r="D1905" t="inlineStr">
        <is>
          <t>A</t>
        </is>
      </c>
      <c r="E1905" t="inlineStr">
        <is>
          <t>rs138740375</t>
        </is>
      </c>
      <c r="F1905" t="n">
        <v>-0.008359256754</v>
      </c>
      <c r="G1905" t="n">
        <v>0.5796289419941201</v>
      </c>
      <c r="H1905" t="n">
        <v>0.0102581137880241</v>
      </c>
      <c r="I1905" t="n">
        <v>0.4856043110427772</v>
      </c>
      <c r="J1905" t="n">
        <v>0.1401461731358638</v>
      </c>
      <c r="K1905" t="n">
        <v>0.4964735551715234</v>
      </c>
      <c r="L1905" t="b">
        <v>0</v>
      </c>
      <c r="M1905" t="b">
        <v>0</v>
      </c>
      <c r="N1905" t="inlineStr">
        <is>
          <t>ref</t>
        </is>
      </c>
      <c r="O1905" t="n">
        <v>55</v>
      </c>
      <c r="P1905" t="n">
        <v>0.03119</v>
      </c>
      <c r="Q1905" t="n">
        <v>-100</v>
      </c>
      <c r="R1905" t="n">
        <v>0.08</v>
      </c>
      <c r="S1905">
        <f>IMAGE("https://mitra.stanford.edu/kundaje/oak/projects/neuro-variants/variant_position/credible/roussos_2024/variant_figures/roussos_2024.adolescence.GLU/rs138740375_count_position.png",4,220,900)</f>
        <v/>
      </c>
      <c r="T1905">
        <f>IMAGE("https://mitra.stanford.edu/kundaje/oak/projects/neuro-variants/variant_position/credible/roussos_2024/variant_figures/roussos_2024.adolescence.GLU/rs138740375_profile_position.png",4,220,900)</f>
        <v/>
      </c>
    </row>
    <row r="1906">
      <c r="A1906" t="inlineStr">
        <is>
          <t>chr18</t>
        </is>
      </c>
      <c r="B1906" t="n">
        <v>55083457</v>
      </c>
      <c r="C1906" t="inlineStr">
        <is>
          <t>T</t>
        </is>
      </c>
      <c r="D1906" t="inlineStr">
        <is>
          <t>G</t>
        </is>
      </c>
      <c r="E1906" t="inlineStr">
        <is>
          <t>rs11874716</t>
        </is>
      </c>
      <c r="F1906" t="n">
        <v>0.00712283054</v>
      </c>
      <c r="G1906" t="n">
        <v>0.5990725946155606</v>
      </c>
      <c r="H1906" t="n">
        <v>0.0212139860241893</v>
      </c>
      <c r="I1906" t="n">
        <v>0.0418666222859757</v>
      </c>
      <c r="J1906" t="n">
        <v>0.1490165820062727</v>
      </c>
      <c r="K1906" t="n">
        <v>0.480058640298964</v>
      </c>
      <c r="L1906" t="b">
        <v>0</v>
      </c>
      <c r="M1906" t="b">
        <v>0</v>
      </c>
      <c r="N1906" t="inlineStr">
        <is>
          <t>alt</t>
        </is>
      </c>
      <c r="O1906" t="n">
        <v>-45</v>
      </c>
      <c r="P1906" t="n">
        <v>0.00209</v>
      </c>
      <c r="Q1906" t="n">
        <v>-5</v>
      </c>
      <c r="R1906" t="n">
        <v>0.005005</v>
      </c>
      <c r="S1906">
        <f>IMAGE("https://mitra.stanford.edu/kundaje/oak/projects/neuro-variants/variant_position/credible/roussos_2024/variant_figures/roussos_2024.adolescence.GLU/rs11874716_count_position.png",4,220,900)</f>
        <v/>
      </c>
      <c r="T1906">
        <f>IMAGE("https://mitra.stanford.edu/kundaje/oak/projects/neuro-variants/variant_position/credible/roussos_2024/variant_figures/roussos_2024.adolescence.GLU/rs11874716_profile_position.png",4,220,900)</f>
        <v/>
      </c>
    </row>
    <row r="1907">
      <c r="A1907" t="inlineStr">
        <is>
          <t>chr18</t>
        </is>
      </c>
      <c r="B1907" t="n">
        <v>55085469</v>
      </c>
      <c r="C1907" t="inlineStr">
        <is>
          <t>C</t>
        </is>
      </c>
      <c r="D1907" t="inlineStr">
        <is>
          <t>T</t>
        </is>
      </c>
      <c r="E1907" t="inlineStr">
        <is>
          <t>rs4801131</t>
        </is>
      </c>
      <c r="F1907" t="n">
        <v>-0.0100684692</v>
      </c>
      <c r="G1907" t="n">
        <v>0.5292396142113185</v>
      </c>
      <c r="H1907" t="n">
        <v>0.0089176508305696</v>
      </c>
      <c r="I1907" t="n">
        <v>0.6751401897090229</v>
      </c>
      <c r="J1907" t="n">
        <v>0.0198369662287187</v>
      </c>
      <c r="K1907" t="n">
        <v>0.8225701910050717</v>
      </c>
      <c r="L1907" t="b">
        <v>0</v>
      </c>
      <c r="M1907" t="b">
        <v>0</v>
      </c>
      <c r="N1907" t="inlineStr">
        <is>
          <t>ref</t>
        </is>
      </c>
      <c r="O1907" t="n">
        <v>50</v>
      </c>
      <c r="P1907" t="n">
        <v>0.003265</v>
      </c>
      <c r="Q1907" t="n">
        <v>-90</v>
      </c>
      <c r="R1907" t="n">
        <v>0.03375</v>
      </c>
      <c r="S1907">
        <f>IMAGE("https://mitra.stanford.edu/kundaje/oak/projects/neuro-variants/variant_position/credible/roussos_2024/variant_figures/roussos_2024.adolescence.GLU/rs4801131_count_position.png",4,220,900)</f>
        <v/>
      </c>
      <c r="T1907">
        <f>IMAGE("https://mitra.stanford.edu/kundaje/oak/projects/neuro-variants/variant_position/credible/roussos_2024/variant_figures/roussos_2024.adolescence.GLU/rs4801131_profile_position.png",4,220,900)</f>
        <v/>
      </c>
    </row>
    <row r="1908">
      <c r="A1908" t="inlineStr">
        <is>
          <t>chr18</t>
        </is>
      </c>
      <c r="B1908" t="n">
        <v>55086009</v>
      </c>
      <c r="C1908" t="inlineStr">
        <is>
          <t>C</t>
        </is>
      </c>
      <c r="D1908" t="inlineStr">
        <is>
          <t>T</t>
        </is>
      </c>
      <c r="E1908" t="inlineStr">
        <is>
          <t>rs4589643</t>
        </is>
      </c>
      <c r="F1908" t="n">
        <v>0.00890959914</v>
      </c>
      <c r="G1908" t="n">
        <v>0.5501246842546635</v>
      </c>
      <c r="H1908" t="n">
        <v>0.0173346871039469</v>
      </c>
      <c r="I1908" t="n">
        <v>0.09785717854972489</v>
      </c>
      <c r="J1908" t="n">
        <v>0.0283215808989004</v>
      </c>
      <c r="K1908" t="n">
        <v>0.7812131800380573</v>
      </c>
      <c r="L1908" t="b">
        <v>0</v>
      </c>
      <c r="M1908" t="b">
        <v>0</v>
      </c>
      <c r="N1908" t="inlineStr">
        <is>
          <t>alt</t>
        </is>
      </c>
      <c r="O1908" t="n">
        <v>-50</v>
      </c>
      <c r="P1908" t="n">
        <v>0.00733</v>
      </c>
      <c r="Q1908" t="n">
        <v>100</v>
      </c>
      <c r="R1908" t="n">
        <v>0.02917</v>
      </c>
      <c r="S1908">
        <f>IMAGE("https://mitra.stanford.edu/kundaje/oak/projects/neuro-variants/variant_position/credible/roussos_2024/variant_figures/roussos_2024.adolescence.GLU/rs4589643_count_position.png",4,220,900)</f>
        <v/>
      </c>
      <c r="T1908">
        <f>IMAGE("https://mitra.stanford.edu/kundaje/oak/projects/neuro-variants/variant_position/credible/roussos_2024/variant_figures/roussos_2024.adolescence.GLU/rs4589643_profile_position.png",4,220,900)</f>
        <v/>
      </c>
    </row>
    <row r="1909">
      <c r="A1909" t="inlineStr">
        <is>
          <t>chr18</t>
        </is>
      </c>
      <c r="B1909" t="n">
        <v>55157406</v>
      </c>
      <c r="C1909" t="inlineStr">
        <is>
          <t>C</t>
        </is>
      </c>
      <c r="D1909" t="inlineStr">
        <is>
          <t>T</t>
        </is>
      </c>
      <c r="E1909" t="inlineStr">
        <is>
          <t>rs4608411</t>
        </is>
      </c>
      <c r="F1909" t="n">
        <v>-0.00627168106</v>
      </c>
      <c r="G1909" t="n">
        <v>0.6841127737338536</v>
      </c>
      <c r="H1909" t="n">
        <v>0.008903217853318501</v>
      </c>
      <c r="I1909" t="n">
        <v>0.6714701085149994</v>
      </c>
      <c r="J1909" t="n">
        <v>0.1075708539626064</v>
      </c>
      <c r="K1909" t="n">
        <v>0.5554472120015213</v>
      </c>
      <c r="L1909" t="b">
        <v>0</v>
      </c>
      <c r="M1909" t="b">
        <v>0</v>
      </c>
      <c r="N1909" t="inlineStr">
        <is>
          <t>ref</t>
        </is>
      </c>
      <c r="O1909" t="n">
        <v>-100</v>
      </c>
      <c r="P1909" t="n">
        <v>0.003555</v>
      </c>
      <c r="Q1909" t="n">
        <v>-100</v>
      </c>
      <c r="R1909" t="n">
        <v>0.0858</v>
      </c>
      <c r="S1909">
        <f>IMAGE("https://mitra.stanford.edu/kundaje/oak/projects/neuro-variants/variant_position/credible/roussos_2024/variant_figures/roussos_2024.adolescence.GLU/rs4608411_count_position.png",4,220,900)</f>
        <v/>
      </c>
      <c r="T1909">
        <f>IMAGE("https://mitra.stanford.edu/kundaje/oak/projects/neuro-variants/variant_position/credible/roussos_2024/variant_figures/roussos_2024.adolescence.GLU/rs4608411_profile_position.png",4,220,900)</f>
        <v/>
      </c>
    </row>
    <row r="1910">
      <c r="A1910" t="inlineStr">
        <is>
          <t>chr18</t>
        </is>
      </c>
      <c r="B1910" t="n">
        <v>55205375</v>
      </c>
      <c r="C1910" t="inlineStr">
        <is>
          <t>T</t>
        </is>
      </c>
      <c r="D1910" t="inlineStr">
        <is>
          <t>G</t>
        </is>
      </c>
      <c r="E1910" t="inlineStr">
        <is>
          <t>rs78468782</t>
        </is>
      </c>
      <c r="F1910" t="n">
        <v>0.0224212726</v>
      </c>
      <c r="G1910" t="n">
        <v>0.2542566039091928</v>
      </c>
      <c r="H1910" t="n">
        <v>0.0096911111397658</v>
      </c>
      <c r="I1910" t="n">
        <v>0.5740794201107448</v>
      </c>
      <c r="J1910" t="n">
        <v>0.1557751248472897</v>
      </c>
      <c r="K1910" t="n">
        <v>0.4655363443230175</v>
      </c>
      <c r="L1910" t="b">
        <v>0</v>
      </c>
      <c r="M1910" t="b">
        <v>0</v>
      </c>
      <c r="N1910" t="inlineStr">
        <is>
          <t>alt</t>
        </is>
      </c>
      <c r="O1910" t="n">
        <v>-100</v>
      </c>
      <c r="P1910" t="n">
        <v>0.00615</v>
      </c>
      <c r="Q1910" t="n">
        <v>75</v>
      </c>
      <c r="R1910" t="n">
        <v>0.0634</v>
      </c>
      <c r="S1910">
        <f>IMAGE("https://mitra.stanford.edu/kundaje/oak/projects/neuro-variants/variant_position/credible/roussos_2024/variant_figures/roussos_2024.adolescence.GLU/rs78468782_count_position.png",4,220,900)</f>
        <v/>
      </c>
      <c r="T1910">
        <f>IMAGE("https://mitra.stanford.edu/kundaje/oak/projects/neuro-variants/variant_position/credible/roussos_2024/variant_figures/roussos_2024.adolescence.GLU/rs78468782_profile_position.png",4,220,900)</f>
        <v/>
      </c>
    </row>
    <row r="1911">
      <c r="A1911" t="inlineStr">
        <is>
          <t>chr18</t>
        </is>
      </c>
      <c r="B1911" t="n">
        <v>55207250</v>
      </c>
      <c r="C1911" t="inlineStr">
        <is>
          <t>G</t>
        </is>
      </c>
      <c r="D1911" t="inlineStr">
        <is>
          <t>T</t>
        </is>
      </c>
      <c r="E1911" t="inlineStr">
        <is>
          <t>rs79694868</t>
        </is>
      </c>
      <c r="F1911" t="n">
        <v>-0.01520020692</v>
      </c>
      <c r="G1911" t="n">
        <v>0.3873207900351766</v>
      </c>
      <c r="H1911" t="n">
        <v>0.0115989326587146</v>
      </c>
      <c r="I1911" t="n">
        <v>0.3597782451336604</v>
      </c>
      <c r="J1911" t="n">
        <v>0.3159983139364583</v>
      </c>
      <c r="K1911" t="n">
        <v>0.2488780080375897</v>
      </c>
      <c r="L1911" t="b">
        <v>0</v>
      </c>
      <c r="M1911" t="b">
        <v>0</v>
      </c>
      <c r="N1911" t="inlineStr">
        <is>
          <t>ref</t>
        </is>
      </c>
      <c r="O1911" t="n">
        <v>-95</v>
      </c>
      <c r="P1911" t="n">
        <v>0.00712</v>
      </c>
      <c r="Q1911" t="n">
        <v>-55</v>
      </c>
      <c r="R1911" t="n">
        <v>0.11487</v>
      </c>
      <c r="S1911">
        <f>IMAGE("https://mitra.stanford.edu/kundaje/oak/projects/neuro-variants/variant_position/credible/roussos_2024/variant_figures/roussos_2024.adolescence.GLU/rs79694868_count_position.png",4,220,900)</f>
        <v/>
      </c>
      <c r="T1911">
        <f>IMAGE("https://mitra.stanford.edu/kundaje/oak/projects/neuro-variants/variant_position/credible/roussos_2024/variant_figures/roussos_2024.adolescence.GLU/rs79694868_profile_position.png",4,220,900)</f>
        <v/>
      </c>
    </row>
    <row r="1912">
      <c r="A1912" t="inlineStr">
        <is>
          <t>chr18</t>
        </is>
      </c>
      <c r="B1912" t="n">
        <v>55210035</v>
      </c>
      <c r="C1912" t="inlineStr">
        <is>
          <t>C</t>
        </is>
      </c>
      <c r="D1912" t="inlineStr">
        <is>
          <t>T</t>
        </is>
      </c>
      <c r="E1912" t="inlineStr">
        <is>
          <t>rs9953026</t>
        </is>
      </c>
      <c r="F1912" t="n">
        <v>-0.07689771719999999</v>
      </c>
      <c r="G1912" t="n">
        <v>0.0217687113672643</v>
      </c>
      <c r="H1912" t="n">
        <v>0.0169993509361936</v>
      </c>
      <c r="I1912" t="n">
        <v>0.1082550672784724</v>
      </c>
      <c r="J1912" t="n">
        <v>0.1066463767494694</v>
      </c>
      <c r="K1912" t="n">
        <v>0.557059431892683</v>
      </c>
      <c r="L1912" t="b">
        <v>0</v>
      </c>
      <c r="M1912" t="b">
        <v>0</v>
      </c>
      <c r="N1912" t="inlineStr">
        <is>
          <t>ref</t>
        </is>
      </c>
      <c r="O1912" t="n">
        <v>35</v>
      </c>
      <c r="P1912" t="n">
        <v>0.008125</v>
      </c>
      <c r="Q1912" t="n">
        <v>-100</v>
      </c>
      <c r="R1912" t="n">
        <v>0.07477</v>
      </c>
      <c r="S1912">
        <f>IMAGE("https://mitra.stanford.edu/kundaje/oak/projects/neuro-variants/variant_position/credible/roussos_2024/variant_figures/roussos_2024.adolescence.GLU/rs9953026_count_position.png",4,220,900)</f>
        <v/>
      </c>
      <c r="T1912">
        <f>IMAGE("https://mitra.stanford.edu/kundaje/oak/projects/neuro-variants/variant_position/credible/roussos_2024/variant_figures/roussos_2024.adolescence.GLU/rs9953026_profile_position.png",4,220,900)</f>
        <v/>
      </c>
    </row>
    <row r="1913">
      <c r="A1913" t="inlineStr">
        <is>
          <t>chr18</t>
        </is>
      </c>
      <c r="B1913" t="n">
        <v>55212207</v>
      </c>
      <c r="C1913" t="inlineStr">
        <is>
          <t>T</t>
        </is>
      </c>
      <c r="D1913" t="inlineStr">
        <is>
          <t>C</t>
        </is>
      </c>
      <c r="E1913" t="inlineStr">
        <is>
          <t>rs74776973</t>
        </is>
      </c>
      <c r="F1913" t="n">
        <v>-0.0282788489999999</v>
      </c>
      <c r="G1913" t="n">
        <v>0.2003070439552171</v>
      </c>
      <c r="H1913" t="n">
        <v>0.0266034529188075</v>
      </c>
      <c r="I1913" t="n">
        <v>0.0151605538629138</v>
      </c>
      <c r="J1913" t="n">
        <v>0.0275114130784233</v>
      </c>
      <c r="K1913" t="n">
        <v>0.7806133883452138</v>
      </c>
      <c r="L1913" t="b">
        <v>1</v>
      </c>
      <c r="M1913" t="b">
        <v>0</v>
      </c>
      <c r="N1913" t="inlineStr">
        <is>
          <t>ref</t>
        </is>
      </c>
      <c r="O1913" t="n">
        <v>5</v>
      </c>
      <c r="P1913" t="n">
        <v>3.05e-05</v>
      </c>
      <c r="Q1913" t="n">
        <v>80</v>
      </c>
      <c r="R1913" t="n">
        <v>0.0713</v>
      </c>
      <c r="S1913">
        <f>IMAGE("https://mitra.stanford.edu/kundaje/oak/projects/neuro-variants/variant_position/credible/roussos_2024/variant_figures/roussos_2024.adolescence.GLU/rs74776973_count_position.png",4,220,900)</f>
        <v/>
      </c>
      <c r="T1913">
        <f>IMAGE("https://mitra.stanford.edu/kundaje/oak/projects/neuro-variants/variant_position/credible/roussos_2024/variant_figures/roussos_2024.adolescence.GLU/rs74776973_profile_position.png",4,220,900)</f>
        <v/>
      </c>
    </row>
    <row r="1914">
      <c r="A1914" t="inlineStr">
        <is>
          <t>chr18</t>
        </is>
      </c>
      <c r="B1914" t="n">
        <v>55213644</v>
      </c>
      <c r="C1914" t="inlineStr">
        <is>
          <t>C</t>
        </is>
      </c>
      <c r="D1914" t="inlineStr">
        <is>
          <t>A</t>
        </is>
      </c>
      <c r="E1914" t="inlineStr">
        <is>
          <t>rs79467351</t>
        </is>
      </c>
      <c r="F1914" t="n">
        <v>-0.0135523013</v>
      </c>
      <c r="G1914" t="n">
        <v>0.4349935270599289</v>
      </c>
      <c r="H1914" t="n">
        <v>0.0242397371761663</v>
      </c>
      <c r="I1914" t="n">
        <v>0.0254354881752661</v>
      </c>
      <c r="J1914" t="n">
        <v>0.0988804823856369</v>
      </c>
      <c r="K1914" t="n">
        <v>0.581057354491732</v>
      </c>
      <c r="L1914" t="b">
        <v>0</v>
      </c>
      <c r="M1914" t="b">
        <v>0</v>
      </c>
      <c r="N1914" t="inlineStr">
        <is>
          <t>ref</t>
        </is>
      </c>
      <c r="O1914" t="n">
        <v>40</v>
      </c>
      <c r="P1914" t="n">
        <v>0.002396</v>
      </c>
      <c r="Q1914" t="n">
        <v>45</v>
      </c>
      <c r="R1914" t="n">
        <v>0.03992</v>
      </c>
      <c r="S1914">
        <f>IMAGE("https://mitra.stanford.edu/kundaje/oak/projects/neuro-variants/variant_position/credible/roussos_2024/variant_figures/roussos_2024.adolescence.GLU/rs79467351_count_position.png",4,220,900)</f>
        <v/>
      </c>
      <c r="T1914">
        <f>IMAGE("https://mitra.stanford.edu/kundaje/oak/projects/neuro-variants/variant_position/credible/roussos_2024/variant_figures/roussos_2024.adolescence.GLU/rs79467351_profile_position.png",4,220,900)</f>
        <v/>
      </c>
    </row>
    <row r="1915">
      <c r="A1915" t="inlineStr">
        <is>
          <t>chr18</t>
        </is>
      </c>
      <c r="B1915" t="n">
        <v>55219838</v>
      </c>
      <c r="C1915" t="inlineStr">
        <is>
          <t>T</t>
        </is>
      </c>
      <c r="D1915" t="inlineStr">
        <is>
          <t>C</t>
        </is>
      </c>
      <c r="E1915" t="inlineStr">
        <is>
          <t>rs76339649</t>
        </is>
      </c>
      <c r="F1915" t="n">
        <v>-0.0002491162692</v>
      </c>
      <c r="G1915" t="n">
        <v>0.834072231172753</v>
      </c>
      <c r="H1915" t="n">
        <v>0.0102082573422629</v>
      </c>
      <c r="I1915" t="n">
        <v>0.4821363771782897</v>
      </c>
      <c r="J1915" t="n">
        <v>0.1121089368512048</v>
      </c>
      <c r="K1915" t="n">
        <v>0.5452520189170669</v>
      </c>
      <c r="L1915" t="b">
        <v>0</v>
      </c>
      <c r="M1915" t="b">
        <v>0</v>
      </c>
      <c r="N1915" t="inlineStr">
        <is>
          <t>ref</t>
        </is>
      </c>
      <c r="O1915" t="n">
        <v>15</v>
      </c>
      <c r="P1915" t="n">
        <v>0.001862</v>
      </c>
      <c r="Q1915" t="n">
        <v>-50</v>
      </c>
      <c r="R1915" t="n">
        <v>0.0404</v>
      </c>
      <c r="S1915">
        <f>IMAGE("https://mitra.stanford.edu/kundaje/oak/projects/neuro-variants/variant_position/credible/roussos_2024/variant_figures/roussos_2024.adolescence.GLU/rs76339649_count_position.png",4,220,900)</f>
        <v/>
      </c>
      <c r="T1915">
        <f>IMAGE("https://mitra.stanford.edu/kundaje/oak/projects/neuro-variants/variant_position/credible/roussos_2024/variant_figures/roussos_2024.adolescence.GLU/rs76339649_profile_position.png",4,220,900)</f>
        <v/>
      </c>
    </row>
    <row r="1916">
      <c r="A1916" t="inlineStr">
        <is>
          <t>chr18</t>
        </is>
      </c>
      <c r="B1916" t="n">
        <v>55220120</v>
      </c>
      <c r="C1916" t="inlineStr">
        <is>
          <t>A</t>
        </is>
      </c>
      <c r="D1916" t="inlineStr">
        <is>
          <t>T</t>
        </is>
      </c>
      <c r="E1916" t="inlineStr">
        <is>
          <t>rs187698281</t>
        </is>
      </c>
      <c r="F1916" t="n">
        <v>-0.00486144436</v>
      </c>
      <c r="G1916" t="n">
        <v>0.6812586233544634</v>
      </c>
      <c r="H1916" t="n">
        <v>0.0152138931569367</v>
      </c>
      <c r="I1916" t="n">
        <v>0.1631154674903363</v>
      </c>
      <c r="J1916" t="n">
        <v>0.0949768166263011</v>
      </c>
      <c r="K1916" t="n">
        <v>0.5794823835105365</v>
      </c>
      <c r="L1916" t="b">
        <v>0</v>
      </c>
      <c r="M1916" t="b">
        <v>0</v>
      </c>
      <c r="N1916" t="inlineStr">
        <is>
          <t>ref</t>
        </is>
      </c>
      <c r="O1916" t="n">
        <v>80</v>
      </c>
      <c r="P1916" t="n">
        <v>0.02118</v>
      </c>
      <c r="Q1916" t="n">
        <v>100</v>
      </c>
      <c r="R1916" t="n">
        <v>0.0464</v>
      </c>
      <c r="S1916">
        <f>IMAGE("https://mitra.stanford.edu/kundaje/oak/projects/neuro-variants/variant_position/credible/roussos_2024/variant_figures/roussos_2024.adolescence.GLU/rs187698281_count_position.png",4,220,900)</f>
        <v/>
      </c>
      <c r="T1916">
        <f>IMAGE("https://mitra.stanford.edu/kundaje/oak/projects/neuro-variants/variant_position/credible/roussos_2024/variant_figures/roussos_2024.adolescence.GLU/rs187698281_profile_position.png",4,220,900)</f>
        <v/>
      </c>
    </row>
    <row r="1917">
      <c r="A1917" t="inlineStr">
        <is>
          <t>chr18</t>
        </is>
      </c>
      <c r="B1917" t="n">
        <v>55221949</v>
      </c>
      <c r="C1917" t="inlineStr">
        <is>
          <t>T</t>
        </is>
      </c>
      <c r="D1917" t="inlineStr">
        <is>
          <t>A</t>
        </is>
      </c>
      <c r="E1917" t="inlineStr">
        <is>
          <t>rs116959829</t>
        </is>
      </c>
      <c r="F1917" t="n">
        <v>0.0211177844</v>
      </c>
      <c r="G1917" t="n">
        <v>0.2748907493985409</v>
      </c>
      <c r="H1917" t="n">
        <v>0.0105949181113555</v>
      </c>
      <c r="I1917" t="n">
        <v>0.4841796052779288</v>
      </c>
      <c r="J1917" t="n">
        <v>0.054014045766623</v>
      </c>
      <c r="K1917" t="n">
        <v>0.6880122190930784</v>
      </c>
      <c r="L1917" t="b">
        <v>0</v>
      </c>
      <c r="M1917" t="b">
        <v>0</v>
      </c>
      <c r="N1917" t="inlineStr">
        <is>
          <t>alt</t>
        </is>
      </c>
      <c r="O1917" t="n">
        <v>-25</v>
      </c>
      <c r="P1917" t="n">
        <v>0.001617</v>
      </c>
      <c r="Q1917" t="n">
        <v>10</v>
      </c>
      <c r="R1917" t="n">
        <v>0.01807</v>
      </c>
      <c r="S1917">
        <f>IMAGE("https://mitra.stanford.edu/kundaje/oak/projects/neuro-variants/variant_position/credible/roussos_2024/variant_figures/roussos_2024.adolescence.GLU/rs116959829_count_position.png",4,220,900)</f>
        <v/>
      </c>
      <c r="T1917">
        <f>IMAGE("https://mitra.stanford.edu/kundaje/oak/projects/neuro-variants/variant_position/credible/roussos_2024/variant_figures/roussos_2024.adolescence.GLU/rs116959829_profile_position.png",4,220,900)</f>
        <v/>
      </c>
    </row>
    <row r="1918">
      <c r="A1918" t="inlineStr">
        <is>
          <t>chr18</t>
        </is>
      </c>
      <c r="B1918" t="n">
        <v>55236277</v>
      </c>
      <c r="C1918" t="inlineStr">
        <is>
          <t>G</t>
        </is>
      </c>
      <c r="D1918" t="inlineStr">
        <is>
          <t>T</t>
        </is>
      </c>
      <c r="E1918" t="inlineStr">
        <is>
          <t>rs73487018</t>
        </is>
      </c>
      <c r="F1918" t="n">
        <v>-0.0446654806</v>
      </c>
      <c r="G1918" t="n">
        <v>0.0913807111934422</v>
      </c>
      <c r="H1918" t="n">
        <v>0.0104389511023697</v>
      </c>
      <c r="I1918" t="n">
        <v>0.4785276319208386</v>
      </c>
      <c r="J1918" t="n">
        <v>0.1476420115595373</v>
      </c>
      <c r="K1918" t="n">
        <v>0.4768086473519142</v>
      </c>
      <c r="L1918" t="b">
        <v>0</v>
      </c>
      <c r="M1918" t="b">
        <v>0</v>
      </c>
      <c r="N1918" t="inlineStr">
        <is>
          <t>ref</t>
        </is>
      </c>
      <c r="O1918" t="n">
        <v>90</v>
      </c>
      <c r="P1918" t="n">
        <v>0.02423</v>
      </c>
      <c r="Q1918" t="n">
        <v>85</v>
      </c>
      <c r="R1918" t="n">
        <v>0.08110000000000001</v>
      </c>
      <c r="S1918">
        <f>IMAGE("https://mitra.stanford.edu/kundaje/oak/projects/neuro-variants/variant_position/credible/roussos_2024/variant_figures/roussos_2024.adolescence.GLU/rs73487018_count_position.png",4,220,900)</f>
        <v/>
      </c>
      <c r="T1918">
        <f>IMAGE("https://mitra.stanford.edu/kundaje/oak/projects/neuro-variants/variant_position/credible/roussos_2024/variant_figures/roussos_2024.adolescence.GLU/rs73487018_profile_position.png",4,220,900)</f>
        <v/>
      </c>
    </row>
    <row r="1919">
      <c r="A1919" t="inlineStr">
        <is>
          <t>chr18</t>
        </is>
      </c>
      <c r="B1919" t="n">
        <v>55236451</v>
      </c>
      <c r="C1919" t="inlineStr">
        <is>
          <t>A</t>
        </is>
      </c>
      <c r="D1919" t="inlineStr">
        <is>
          <t>G</t>
        </is>
      </c>
      <c r="E1919" t="inlineStr">
        <is>
          <t>rs73487023</t>
        </is>
      </c>
      <c r="F1919" t="n">
        <v>-0.0122539423</v>
      </c>
      <c r="G1919" t="n">
        <v>0.4189216406117798</v>
      </c>
      <c r="H1919" t="n">
        <v>0.0285890169592041</v>
      </c>
      <c r="I1919" t="n">
        <v>0.0122182630271831</v>
      </c>
      <c r="J1919" t="n">
        <v>0.1630552042923176</v>
      </c>
      <c r="K1919" t="n">
        <v>0.4503268622702712</v>
      </c>
      <c r="L1919" t="b">
        <v>1</v>
      </c>
      <c r="M1919" t="b">
        <v>0</v>
      </c>
      <c r="N1919" t="inlineStr">
        <is>
          <t>ref</t>
        </is>
      </c>
      <c r="O1919" t="n">
        <v>85</v>
      </c>
      <c r="P1919" t="n">
        <v>0.01114</v>
      </c>
      <c r="Q1919" t="n">
        <v>0</v>
      </c>
      <c r="R1919" t="n">
        <v>0</v>
      </c>
      <c r="S1919">
        <f>IMAGE("https://mitra.stanford.edu/kundaje/oak/projects/neuro-variants/variant_position/credible/roussos_2024/variant_figures/roussos_2024.adolescence.GLU/rs73487023_count_position.png",4,220,900)</f>
        <v/>
      </c>
      <c r="T1919">
        <f>IMAGE("https://mitra.stanford.edu/kundaje/oak/projects/neuro-variants/variant_position/credible/roussos_2024/variant_figures/roussos_2024.adolescence.GLU/rs73487023_profile_position.png",4,220,900)</f>
        <v/>
      </c>
    </row>
    <row r="1920">
      <c r="A1920" t="inlineStr">
        <is>
          <t>chr18</t>
        </is>
      </c>
      <c r="B1920" t="n">
        <v>55242449</v>
      </c>
      <c r="C1920" t="inlineStr">
        <is>
          <t>A</t>
        </is>
      </c>
      <c r="D1920" t="inlineStr">
        <is>
          <t>C</t>
        </is>
      </c>
      <c r="E1920" t="inlineStr">
        <is>
          <t>rs150458109</t>
        </is>
      </c>
      <c r="F1920" t="n">
        <v>-0.0156022824</v>
      </c>
      <c r="G1920" t="n">
        <v>0.3801683266125212</v>
      </c>
      <c r="H1920" t="n">
        <v>0.0270669534488697</v>
      </c>
      <c r="I1920" t="n">
        <v>0.0145566583584853</v>
      </c>
      <c r="J1920" t="n">
        <v>0.162006415614663</v>
      </c>
      <c r="K1920" t="n">
        <v>0.4634018748774062</v>
      </c>
      <c r="L1920" t="b">
        <v>1</v>
      </c>
      <c r="M1920" t="b">
        <v>0</v>
      </c>
      <c r="N1920" t="inlineStr">
        <is>
          <t>ref</t>
        </is>
      </c>
      <c r="O1920" t="n">
        <v>65</v>
      </c>
      <c r="P1920" t="n">
        <v>0.02997</v>
      </c>
      <c r="Q1920" t="n">
        <v>50</v>
      </c>
      <c r="R1920" t="n">
        <v>0.03323</v>
      </c>
      <c r="S1920">
        <f>IMAGE("https://mitra.stanford.edu/kundaje/oak/projects/neuro-variants/variant_position/credible/roussos_2024/variant_figures/roussos_2024.adolescence.GLU/rs150458109_count_position.png",4,220,900)</f>
        <v/>
      </c>
      <c r="T1920">
        <f>IMAGE("https://mitra.stanford.edu/kundaje/oak/projects/neuro-variants/variant_position/credible/roussos_2024/variant_figures/roussos_2024.adolescence.GLU/rs150458109_profile_position.png",4,220,900)</f>
        <v/>
      </c>
    </row>
    <row r="1921">
      <c r="A1921" t="inlineStr">
        <is>
          <t>chr18</t>
        </is>
      </c>
      <c r="B1921" t="n">
        <v>55247745</v>
      </c>
      <c r="C1921" t="inlineStr">
        <is>
          <t>T</t>
        </is>
      </c>
      <c r="D1921" t="inlineStr">
        <is>
          <t>C</t>
        </is>
      </c>
      <c r="E1921" t="inlineStr">
        <is>
          <t>rs142300078</t>
        </is>
      </c>
      <c r="F1921" t="n">
        <v>-0.002270624722</v>
      </c>
      <c r="G1921" t="n">
        <v>0.8103635324712652</v>
      </c>
      <c r="H1921" t="n">
        <v>0.0182508962618392</v>
      </c>
      <c r="I1921" t="n">
        <v>0.08072715499208739</v>
      </c>
      <c r="J1921" t="n">
        <v>0.1187746033106857</v>
      </c>
      <c r="K1921" t="n">
        <v>0.5372541990441883</v>
      </c>
      <c r="L1921" t="b">
        <v>0</v>
      </c>
      <c r="M1921" t="b">
        <v>0</v>
      </c>
      <c r="N1921" t="inlineStr">
        <is>
          <t>ref</t>
        </is>
      </c>
      <c r="O1921" t="n">
        <v>85</v>
      </c>
      <c r="P1921" t="n">
        <v>0.00432</v>
      </c>
      <c r="Q1921" t="n">
        <v>15</v>
      </c>
      <c r="R1921" t="n">
        <v>0.008970000000000001</v>
      </c>
      <c r="S1921">
        <f>IMAGE("https://mitra.stanford.edu/kundaje/oak/projects/neuro-variants/variant_position/credible/roussos_2024/variant_figures/roussos_2024.adolescence.GLU/rs142300078_count_position.png",4,220,900)</f>
        <v/>
      </c>
      <c r="T1921">
        <f>IMAGE("https://mitra.stanford.edu/kundaje/oak/projects/neuro-variants/variant_position/credible/roussos_2024/variant_figures/roussos_2024.adolescence.GLU/rs142300078_profile_position.png",4,220,900)</f>
        <v/>
      </c>
    </row>
    <row r="1922">
      <c r="A1922" t="inlineStr">
        <is>
          <t>chr18</t>
        </is>
      </c>
      <c r="B1922" t="n">
        <v>55272905</v>
      </c>
      <c r="C1922" t="inlineStr">
        <is>
          <t>G</t>
        </is>
      </c>
      <c r="D1922" t="inlineStr">
        <is>
          <t>T</t>
        </is>
      </c>
      <c r="E1922" t="inlineStr">
        <is>
          <t>rs146016468</t>
        </is>
      </c>
      <c r="F1922" t="n">
        <v>-0.0137255111999999</v>
      </c>
      <c r="G1922" t="n">
        <v>0.4178545967178765</v>
      </c>
      <c r="H1922" t="n">
        <v>0.011031833475076</v>
      </c>
      <c r="I1922" t="n">
        <v>0.4062176955899709</v>
      </c>
      <c r="J1922" t="n">
        <v>0.1602174736195354</v>
      </c>
      <c r="K1922" t="n">
        <v>0.4642168740521468</v>
      </c>
      <c r="L1922" t="b">
        <v>0</v>
      </c>
      <c r="M1922" t="b">
        <v>0</v>
      </c>
      <c r="N1922" t="inlineStr">
        <is>
          <t>ref</t>
        </is>
      </c>
      <c r="O1922" t="n">
        <v>-80</v>
      </c>
      <c r="P1922" t="n">
        <v>0.009476</v>
      </c>
      <c r="Q1922" t="n">
        <v>-80</v>
      </c>
      <c r="R1922" t="n">
        <v>0.1614</v>
      </c>
      <c r="S1922">
        <f>IMAGE("https://mitra.stanford.edu/kundaje/oak/projects/neuro-variants/variant_position/credible/roussos_2024/variant_figures/roussos_2024.adolescence.GLU/rs146016468_count_position.png",4,220,900)</f>
        <v/>
      </c>
      <c r="T1922">
        <f>IMAGE("https://mitra.stanford.edu/kundaje/oak/projects/neuro-variants/variant_position/credible/roussos_2024/variant_figures/roussos_2024.adolescence.GLU/rs146016468_profile_position.png",4,220,900)</f>
        <v/>
      </c>
    </row>
    <row r="1923">
      <c r="A1923" t="inlineStr">
        <is>
          <t>chr18</t>
        </is>
      </c>
      <c r="B1923" t="n">
        <v>55273297</v>
      </c>
      <c r="C1923" t="inlineStr">
        <is>
          <t>A</t>
        </is>
      </c>
      <c r="D1923" t="inlineStr">
        <is>
          <t>G</t>
        </is>
      </c>
      <c r="E1923" t="inlineStr">
        <is>
          <t>rs1261115</t>
        </is>
      </c>
      <c r="F1923" t="n">
        <v>0.00554880358</v>
      </c>
      <c r="G1923" t="n">
        <v>0.6723172429051548</v>
      </c>
      <c r="H1923" t="n">
        <v>0.016253161062702</v>
      </c>
      <c r="I1923" t="n">
        <v>0.1329061784060997</v>
      </c>
      <c r="J1923" t="n">
        <v>0.1125861785655599</v>
      </c>
      <c r="K1923" t="n">
        <v>0.5487758353138574</v>
      </c>
      <c r="L1923" t="b">
        <v>0</v>
      </c>
      <c r="M1923" t="b">
        <v>0</v>
      </c>
      <c r="N1923" t="inlineStr">
        <is>
          <t>alt</t>
        </is>
      </c>
      <c r="O1923" t="n">
        <v>-85</v>
      </c>
      <c r="P1923" t="n">
        <v>0.00822</v>
      </c>
      <c r="Q1923" t="n">
        <v>-60</v>
      </c>
      <c r="R1923" t="n">
        <v>0.01697</v>
      </c>
      <c r="S1923">
        <f>IMAGE("https://mitra.stanford.edu/kundaje/oak/projects/neuro-variants/variant_position/credible/roussos_2024/variant_figures/roussos_2024.adolescence.GLU/rs1261115_count_position.png",4,220,900)</f>
        <v/>
      </c>
      <c r="T1923">
        <f>IMAGE("https://mitra.stanford.edu/kundaje/oak/projects/neuro-variants/variant_position/credible/roussos_2024/variant_figures/roussos_2024.adolescence.GLU/rs1261115_profile_position.png",4,220,900)</f>
        <v/>
      </c>
    </row>
    <row r="1924">
      <c r="A1924" t="inlineStr">
        <is>
          <t>chr18</t>
        </is>
      </c>
      <c r="B1924" t="n">
        <v>55278031</v>
      </c>
      <c r="C1924" t="inlineStr">
        <is>
          <t>G</t>
        </is>
      </c>
      <c r="D1924" t="inlineStr">
        <is>
          <t>A</t>
        </is>
      </c>
      <c r="E1924" t="inlineStr">
        <is>
          <t>rs56666482</t>
        </is>
      </c>
      <c r="F1924" t="n">
        <v>-0.0204806268</v>
      </c>
      <c r="G1924" t="n">
        <v>0.2936061381225408</v>
      </c>
      <c r="H1924" t="n">
        <v>0.0070034705228367</v>
      </c>
      <c r="I1924" t="n">
        <v>0.9006896712597768</v>
      </c>
      <c r="J1924" t="n">
        <v>0.089441384286745</v>
      </c>
      <c r="K1924" t="n">
        <v>0.6030175445641504</v>
      </c>
      <c r="L1924" t="b">
        <v>0</v>
      </c>
      <c r="M1924" t="b">
        <v>0</v>
      </c>
      <c r="N1924" t="inlineStr">
        <is>
          <t>ref</t>
        </is>
      </c>
      <c r="O1924" t="n">
        <v>40</v>
      </c>
      <c r="P1924" t="n">
        <v>0.004227</v>
      </c>
      <c r="Q1924" t="n">
        <v>-45</v>
      </c>
      <c r="R1924" t="n">
        <v>0.03317</v>
      </c>
      <c r="S1924">
        <f>IMAGE("https://mitra.stanford.edu/kundaje/oak/projects/neuro-variants/variant_position/credible/roussos_2024/variant_figures/roussos_2024.adolescence.GLU/rs56666482_count_position.png",4,220,900)</f>
        <v/>
      </c>
      <c r="T1924">
        <f>IMAGE("https://mitra.stanford.edu/kundaje/oak/projects/neuro-variants/variant_position/credible/roussos_2024/variant_figures/roussos_2024.adolescence.GLU/rs56666482_profile_position.png",4,220,900)</f>
        <v/>
      </c>
    </row>
    <row r="1925">
      <c r="A1925" t="inlineStr">
        <is>
          <t>chr18</t>
        </is>
      </c>
      <c r="B1925" t="n">
        <v>55282426</v>
      </c>
      <c r="C1925" t="inlineStr">
        <is>
          <t>T</t>
        </is>
      </c>
      <c r="D1925" t="inlineStr">
        <is>
          <t>C</t>
        </is>
      </c>
      <c r="E1925" t="inlineStr">
        <is>
          <t>rs1261117</t>
        </is>
      </c>
      <c r="F1925" t="n">
        <v>-0.004501881538</v>
      </c>
      <c r="G1925" t="n">
        <v>0.7703557858877234</v>
      </c>
      <c r="H1925" t="n">
        <v>0.0212952772184507</v>
      </c>
      <c r="I1925" t="n">
        <v>0.0416245383261032</v>
      </c>
      <c r="J1925" t="n">
        <v>0.0003400704431631</v>
      </c>
      <c r="K1925" t="n">
        <v>0.9874790855748364</v>
      </c>
      <c r="L1925" t="b">
        <v>0</v>
      </c>
      <c r="M1925" t="b">
        <v>0</v>
      </c>
      <c r="N1925" t="inlineStr">
        <is>
          <t>ref</t>
        </is>
      </c>
      <c r="O1925" t="n">
        <v>-80</v>
      </c>
      <c r="P1925" t="n">
        <v>0.002525</v>
      </c>
      <c r="Q1925" t="n">
        <v>-55</v>
      </c>
      <c r="R1925" t="n">
        <v>0.02338</v>
      </c>
      <c r="S1925">
        <f>IMAGE("https://mitra.stanford.edu/kundaje/oak/projects/neuro-variants/variant_position/credible/roussos_2024/variant_figures/roussos_2024.adolescence.GLU/rs1261117_count_position.png",4,220,900)</f>
        <v/>
      </c>
      <c r="T1925">
        <f>IMAGE("https://mitra.stanford.edu/kundaje/oak/projects/neuro-variants/variant_position/credible/roussos_2024/variant_figures/roussos_2024.adolescence.GLU/rs1261117_profile_position.png",4,220,900)</f>
        <v/>
      </c>
    </row>
    <row r="1926">
      <c r="A1926" t="inlineStr">
        <is>
          <t>chr18</t>
        </is>
      </c>
      <c r="B1926" t="n">
        <v>55286318</v>
      </c>
      <c r="C1926" t="inlineStr">
        <is>
          <t>T</t>
        </is>
      </c>
      <c r="D1926" t="inlineStr">
        <is>
          <t>C</t>
        </is>
      </c>
      <c r="E1926" t="inlineStr">
        <is>
          <t>rs1788031</t>
        </is>
      </c>
      <c r="F1926" t="n">
        <v>0.00913807484</v>
      </c>
      <c r="G1926" t="n">
        <v>0.5254311800550667</v>
      </c>
      <c r="H1926" t="n">
        <v>0.0165274105151018</v>
      </c>
      <c r="I1926" t="n">
        <v>0.1260451950957905</v>
      </c>
      <c r="J1926" t="n">
        <v>0.1090168677797543</v>
      </c>
      <c r="K1926" t="n">
        <v>0.5588694385290973</v>
      </c>
      <c r="L1926" t="b">
        <v>0</v>
      </c>
      <c r="M1926" t="b">
        <v>0</v>
      </c>
      <c r="N1926" t="inlineStr">
        <is>
          <t>alt</t>
        </is>
      </c>
      <c r="O1926" t="n">
        <v>100</v>
      </c>
      <c r="P1926" t="n">
        <v>0.006317</v>
      </c>
      <c r="Q1926" t="n">
        <v>100</v>
      </c>
      <c r="R1926" t="n">
        <v>0.1061</v>
      </c>
      <c r="S1926">
        <f>IMAGE("https://mitra.stanford.edu/kundaje/oak/projects/neuro-variants/variant_position/credible/roussos_2024/variant_figures/roussos_2024.adolescence.GLU/rs1788031_count_position.png",4,220,900)</f>
        <v/>
      </c>
      <c r="T1926">
        <f>IMAGE("https://mitra.stanford.edu/kundaje/oak/projects/neuro-variants/variant_position/credible/roussos_2024/variant_figures/roussos_2024.adolescence.GLU/rs1788031_profile_position.png",4,220,900)</f>
        <v/>
      </c>
    </row>
    <row r="1927">
      <c r="A1927" t="inlineStr">
        <is>
          <t>chr18</t>
        </is>
      </c>
      <c r="B1927" t="n">
        <v>55341866</v>
      </c>
      <c r="C1927" t="inlineStr">
        <is>
          <t>A</t>
        </is>
      </c>
      <c r="D1927" t="inlineStr">
        <is>
          <t>G</t>
        </is>
      </c>
      <c r="E1927" t="inlineStr">
        <is>
          <t>rs79926379</t>
        </is>
      </c>
      <c r="F1927" t="n">
        <v>0.0067697408</v>
      </c>
      <c r="G1927" t="n">
        <v>0.4673104043024032</v>
      </c>
      <c r="H1927" t="n">
        <v>0.0120642200843057</v>
      </c>
      <c r="I1927" t="n">
        <v>0.3437854177462847</v>
      </c>
      <c r="J1927" t="n">
        <v>0.1105228940280486</v>
      </c>
      <c r="K1927" t="n">
        <v>0.5473286040149026</v>
      </c>
      <c r="L1927" t="b">
        <v>0</v>
      </c>
      <c r="M1927" t="b">
        <v>0</v>
      </c>
      <c r="N1927" t="inlineStr">
        <is>
          <t>alt</t>
        </is>
      </c>
      <c r="O1927" t="n">
        <v>85</v>
      </c>
      <c r="P1927" t="n">
        <v>0.00727</v>
      </c>
      <c r="Q1927" t="n">
        <v>-55</v>
      </c>
      <c r="R1927" t="n">
        <v>0.05255</v>
      </c>
      <c r="S1927">
        <f>IMAGE("https://mitra.stanford.edu/kundaje/oak/projects/neuro-variants/variant_position/credible/roussos_2024/variant_figures/roussos_2024.adolescence.GLU/rs79926379_count_position.png",4,220,900)</f>
        <v/>
      </c>
      <c r="T1927">
        <f>IMAGE("https://mitra.stanford.edu/kundaje/oak/projects/neuro-variants/variant_position/credible/roussos_2024/variant_figures/roussos_2024.adolescence.GLU/rs79926379_profile_position.png",4,220,900)</f>
        <v/>
      </c>
    </row>
    <row r="1928">
      <c r="A1928" t="inlineStr">
        <is>
          <t>chr18</t>
        </is>
      </c>
      <c r="B1928" t="n">
        <v>55364663</v>
      </c>
      <c r="C1928" t="inlineStr">
        <is>
          <t>T</t>
        </is>
      </c>
      <c r="D1928" t="inlineStr">
        <is>
          <t>C</t>
        </is>
      </c>
      <c r="E1928" t="inlineStr">
        <is>
          <t>rs77355441</t>
        </is>
      </c>
      <c r="F1928" t="n">
        <v>0.188759172</v>
      </c>
      <c r="G1928" t="n">
        <v>0.0010320206605645</v>
      </c>
      <c r="H1928" t="n">
        <v>0.047291660496399</v>
      </c>
      <c r="I1928" t="n">
        <v>0.0018336393701502</v>
      </c>
      <c r="J1928" t="n">
        <v>0.0614127212065356</v>
      </c>
      <c r="K1928" t="n">
        <v>0.6635010399039655</v>
      </c>
      <c r="L1928" t="b">
        <v>1</v>
      </c>
      <c r="M1928" t="b">
        <v>1</v>
      </c>
      <c r="N1928" t="inlineStr">
        <is>
          <t>alt</t>
        </is>
      </c>
      <c r="O1928" t="n">
        <v>-65</v>
      </c>
      <c r="P1928" t="n">
        <v>0.003029</v>
      </c>
      <c r="Q1928" t="n">
        <v>-55</v>
      </c>
      <c r="R1928" t="n">
        <v>0.03168</v>
      </c>
      <c r="S1928">
        <f>IMAGE("https://mitra.stanford.edu/kundaje/oak/projects/neuro-variants/variant_position/credible/roussos_2024/variant_figures/roussos_2024.adolescence.GLU/rs77355441_count_position.png",4,220,900)</f>
        <v/>
      </c>
      <c r="T1928">
        <f>IMAGE("https://mitra.stanford.edu/kundaje/oak/projects/neuro-variants/variant_position/credible/roussos_2024/variant_figures/roussos_2024.adolescence.GLU/rs77355441_profile_position.png",4,220,900)</f>
        <v/>
      </c>
    </row>
    <row r="1929">
      <c r="A1929" t="inlineStr">
        <is>
          <t>chr18</t>
        </is>
      </c>
      <c r="B1929" t="n">
        <v>55396445</v>
      </c>
      <c r="C1929" t="inlineStr">
        <is>
          <t>G</t>
        </is>
      </c>
      <c r="D1929" t="inlineStr">
        <is>
          <t>T</t>
        </is>
      </c>
      <c r="E1929" t="inlineStr">
        <is>
          <t>rs78322266</t>
        </is>
      </c>
      <c r="F1929" t="n">
        <v>0.01223340284</v>
      </c>
      <c r="G1929" t="n">
        <v>0.4469325881062225</v>
      </c>
      <c r="H1929" t="n">
        <v>0.0265059662415614</v>
      </c>
      <c r="I1929" t="n">
        <v>0.0163421355739895</v>
      </c>
      <c r="J1929" t="n">
        <v>0.1319430453451071</v>
      </c>
      <c r="K1929" t="n">
        <v>0.5145363884987633</v>
      </c>
      <c r="L1929" t="b">
        <v>1</v>
      </c>
      <c r="M1929" t="b">
        <v>0</v>
      </c>
      <c r="N1929" t="inlineStr">
        <is>
          <t>alt</t>
        </is>
      </c>
      <c r="O1929" t="n">
        <v>85</v>
      </c>
      <c r="P1929" t="n">
        <v>0.004517</v>
      </c>
      <c r="Q1929" t="n">
        <v>50</v>
      </c>
      <c r="R1929" t="n">
        <v>0.01875</v>
      </c>
      <c r="S1929">
        <f>IMAGE("https://mitra.stanford.edu/kundaje/oak/projects/neuro-variants/variant_position/credible/roussos_2024/variant_figures/roussos_2024.adolescence.GLU/rs78322266_count_position.png",4,220,900)</f>
        <v/>
      </c>
      <c r="T1929">
        <f>IMAGE("https://mitra.stanford.edu/kundaje/oak/projects/neuro-variants/variant_position/credible/roussos_2024/variant_figures/roussos_2024.adolescence.GLU/rs78322266_profile_position.png",4,220,900)</f>
        <v/>
      </c>
    </row>
    <row r="1930">
      <c r="A1930" t="inlineStr">
        <is>
          <t>chr18</t>
        </is>
      </c>
      <c r="B1930" t="n">
        <v>55398661</v>
      </c>
      <c r="C1930" t="inlineStr">
        <is>
          <t>A</t>
        </is>
      </c>
      <c r="D1930" t="inlineStr">
        <is>
          <t>G</t>
        </is>
      </c>
      <c r="E1930" t="inlineStr">
        <is>
          <t>rs17594721</t>
        </is>
      </c>
      <c r="F1930" t="n">
        <v>-0.0261952271999999</v>
      </c>
      <c r="G1930" t="n">
        <v>0.22574278930031</v>
      </c>
      <c r="H1930" t="n">
        <v>0.0201061783410822</v>
      </c>
      <c r="I1930" t="n">
        <v>0.0616659200739189</v>
      </c>
      <c r="J1930" t="n">
        <v>0.1745304384479642</v>
      </c>
      <c r="K1930" t="n">
        <v>0.4440433150705325</v>
      </c>
      <c r="L1930" t="b">
        <v>0</v>
      </c>
      <c r="M1930" t="b">
        <v>0</v>
      </c>
      <c r="N1930" t="inlineStr">
        <is>
          <t>ref</t>
        </is>
      </c>
      <c r="O1930" t="n">
        <v>90</v>
      </c>
      <c r="P1930" t="n">
        <v>0.0014305</v>
      </c>
      <c r="Q1930" t="n">
        <v>-20</v>
      </c>
      <c r="R1930" t="n">
        <v>0.0235</v>
      </c>
      <c r="S1930">
        <f>IMAGE("https://mitra.stanford.edu/kundaje/oak/projects/neuro-variants/variant_position/credible/roussos_2024/variant_figures/roussos_2024.adolescence.GLU/rs17594721_count_position.png",4,220,900)</f>
        <v/>
      </c>
      <c r="T1930">
        <f>IMAGE("https://mitra.stanford.edu/kundaje/oak/projects/neuro-variants/variant_position/credible/roussos_2024/variant_figures/roussos_2024.adolescence.GLU/rs17594721_profile_position.png",4,220,900)</f>
        <v/>
      </c>
    </row>
    <row r="1931">
      <c r="A1931" t="inlineStr">
        <is>
          <t>chr18</t>
        </is>
      </c>
      <c r="B1931" t="n">
        <v>55414923</v>
      </c>
      <c r="C1931" t="inlineStr">
        <is>
          <t>G</t>
        </is>
      </c>
      <c r="D1931" t="inlineStr">
        <is>
          <t>T</t>
        </is>
      </c>
      <c r="E1931" t="inlineStr">
        <is>
          <t>rs1371833</t>
        </is>
      </c>
      <c r="F1931" t="n">
        <v>-0.009050440599999999</v>
      </c>
      <c r="G1931" t="n">
        <v>0.5798254570436518</v>
      </c>
      <c r="H1931" t="n">
        <v>0.0090140428739847</v>
      </c>
      <c r="I1931" t="n">
        <v>0.6581283807505294</v>
      </c>
      <c r="J1931" t="n">
        <v>0.2373434497145837</v>
      </c>
      <c r="K1931" t="n">
        <v>0.3480463015402584</v>
      </c>
      <c r="L1931" t="b">
        <v>0</v>
      </c>
      <c r="M1931" t="b">
        <v>0</v>
      </c>
      <c r="N1931" t="inlineStr">
        <is>
          <t>ref</t>
        </is>
      </c>
      <c r="O1931" t="n">
        <v>-80</v>
      </c>
      <c r="P1931" t="n">
        <v>0.01323</v>
      </c>
      <c r="Q1931" t="n">
        <v>-100</v>
      </c>
      <c r="R1931" t="n">
        <v>0.02795</v>
      </c>
      <c r="S1931">
        <f>IMAGE("https://mitra.stanford.edu/kundaje/oak/projects/neuro-variants/variant_position/credible/roussos_2024/variant_figures/roussos_2024.adolescence.GLU/rs1371833_count_position.png",4,220,900)</f>
        <v/>
      </c>
      <c r="T1931">
        <f>IMAGE("https://mitra.stanford.edu/kundaje/oak/projects/neuro-variants/variant_position/credible/roussos_2024/variant_figures/roussos_2024.adolescence.GLU/rs1371833_profile_position.png",4,220,900)</f>
        <v/>
      </c>
    </row>
    <row r="1932">
      <c r="A1932" t="inlineStr">
        <is>
          <t>chr18</t>
        </is>
      </c>
      <c r="B1932" t="n">
        <v>55428385</v>
      </c>
      <c r="C1932" t="inlineStr">
        <is>
          <t>A</t>
        </is>
      </c>
      <c r="D1932" t="inlineStr">
        <is>
          <t>G</t>
        </is>
      </c>
      <c r="E1932" t="inlineStr">
        <is>
          <t>rs73477275</t>
        </is>
      </c>
      <c r="F1932" t="n">
        <v>0.0305870336</v>
      </c>
      <c r="G1932" t="n">
        <v>0.1629203866091144</v>
      </c>
      <c r="H1932" t="n">
        <v>0.0129912910446316</v>
      </c>
      <c r="I1932" t="n">
        <v>0.2696278319053</v>
      </c>
      <c r="J1932" t="n">
        <v>0.0388609069021439</v>
      </c>
      <c r="K1932" t="n">
        <v>0.7362928963399906</v>
      </c>
      <c r="L1932" t="b">
        <v>0</v>
      </c>
      <c r="M1932" t="b">
        <v>0</v>
      </c>
      <c r="N1932" t="inlineStr">
        <is>
          <t>alt</t>
        </is>
      </c>
      <c r="O1932" t="n">
        <v>-100</v>
      </c>
      <c r="P1932" t="n">
        <v>0.003002</v>
      </c>
      <c r="Q1932" t="n">
        <v>-65</v>
      </c>
      <c r="R1932" t="n">
        <v>0.1088</v>
      </c>
      <c r="S1932">
        <f>IMAGE("https://mitra.stanford.edu/kundaje/oak/projects/neuro-variants/variant_position/credible/roussos_2024/variant_figures/roussos_2024.adolescence.GLU/rs73477275_count_position.png",4,220,900)</f>
        <v/>
      </c>
      <c r="T1932">
        <f>IMAGE("https://mitra.stanford.edu/kundaje/oak/projects/neuro-variants/variant_position/credible/roussos_2024/variant_figures/roussos_2024.adolescence.GLU/rs73477275_profile_position.png",4,220,900)</f>
        <v/>
      </c>
    </row>
    <row r="1933">
      <c r="A1933" t="inlineStr">
        <is>
          <t>chr18</t>
        </is>
      </c>
      <c r="B1933" t="n">
        <v>55486362</v>
      </c>
      <c r="C1933" t="inlineStr">
        <is>
          <t>T</t>
        </is>
      </c>
      <c r="D1933" t="inlineStr">
        <is>
          <t>C</t>
        </is>
      </c>
      <c r="E1933" t="inlineStr">
        <is>
          <t>rs140282719</t>
        </is>
      </c>
      <c r="F1933" t="n">
        <v>0.034948873</v>
      </c>
      <c r="G1933" t="n">
        <v>0.1332997156036949</v>
      </c>
      <c r="H1933" t="n">
        <v>0.009768871858909</v>
      </c>
      <c r="I1933" t="n">
        <v>0.5499323968271523</v>
      </c>
      <c r="J1933" t="n">
        <v>0.0930492744925734</v>
      </c>
      <c r="K1933" t="n">
        <v>0.5959725475992179</v>
      </c>
      <c r="L1933" t="b">
        <v>0</v>
      </c>
      <c r="M1933" t="b">
        <v>0</v>
      </c>
      <c r="N1933" t="inlineStr">
        <is>
          <t>alt</t>
        </is>
      </c>
      <c r="O1933" t="n">
        <v>-45</v>
      </c>
      <c r="P1933" t="n">
        <v>0.00418</v>
      </c>
      <c r="Q1933" t="n">
        <v>30</v>
      </c>
      <c r="R1933" t="n">
        <v>0.0535</v>
      </c>
      <c r="S1933">
        <f>IMAGE("https://mitra.stanford.edu/kundaje/oak/projects/neuro-variants/variant_position/credible/roussos_2024/variant_figures/roussos_2024.adolescence.GLU/rs140282719_count_position.png",4,220,900)</f>
        <v/>
      </c>
      <c r="T1933">
        <f>IMAGE("https://mitra.stanford.edu/kundaje/oak/projects/neuro-variants/variant_position/credible/roussos_2024/variant_figures/roussos_2024.adolescence.GLU/rs140282719_profile_position.png",4,220,900)</f>
        <v/>
      </c>
    </row>
    <row r="1934">
      <c r="A1934" t="inlineStr">
        <is>
          <t>chr18</t>
        </is>
      </c>
      <c r="B1934" t="n">
        <v>55536474</v>
      </c>
      <c r="C1934" t="inlineStr">
        <is>
          <t>C</t>
        </is>
      </c>
      <c r="D1934" t="inlineStr">
        <is>
          <t>T</t>
        </is>
      </c>
      <c r="E1934" t="inlineStr">
        <is>
          <t>rs78431385</t>
        </is>
      </c>
      <c r="F1934" t="n">
        <v>-0.0118024858</v>
      </c>
      <c r="G1934" t="n">
        <v>0.4871751896578199</v>
      </c>
      <c r="H1934" t="n">
        <v>0.0082761055411793</v>
      </c>
      <c r="I1934" t="n">
        <v>0.7462820786046825</v>
      </c>
      <c r="J1934" t="n">
        <v>0.0420572832943966</v>
      </c>
      <c r="K1934" t="n">
        <v>0.7276971813754309</v>
      </c>
      <c r="L1934" t="b">
        <v>0</v>
      </c>
      <c r="M1934" t="b">
        <v>0</v>
      </c>
      <c r="N1934" t="inlineStr">
        <is>
          <t>ref</t>
        </is>
      </c>
      <c r="O1934" t="n">
        <v>-100</v>
      </c>
      <c r="P1934" t="n">
        <v>0.009544</v>
      </c>
      <c r="Q1934" t="n">
        <v>-45</v>
      </c>
      <c r="R1934" t="n">
        <v>0.03702</v>
      </c>
      <c r="S1934">
        <f>IMAGE("https://mitra.stanford.edu/kundaje/oak/projects/neuro-variants/variant_position/credible/roussos_2024/variant_figures/roussos_2024.adolescence.GLU/rs78431385_count_position.png",4,220,900)</f>
        <v/>
      </c>
      <c r="T1934">
        <f>IMAGE("https://mitra.stanford.edu/kundaje/oak/projects/neuro-variants/variant_position/credible/roussos_2024/variant_figures/roussos_2024.adolescence.GLU/rs78431385_profile_position.png",4,220,900)</f>
        <v/>
      </c>
    </row>
    <row r="1935">
      <c r="A1935" t="inlineStr">
        <is>
          <t>chr18</t>
        </is>
      </c>
      <c r="B1935" t="n">
        <v>55715473</v>
      </c>
      <c r="C1935" t="inlineStr">
        <is>
          <t>G</t>
        </is>
      </c>
      <c r="D1935" t="inlineStr">
        <is>
          <t>T</t>
        </is>
      </c>
      <c r="E1935" t="inlineStr">
        <is>
          <t>rs184174206</t>
        </is>
      </c>
      <c r="F1935" t="n">
        <v>-0.0013164621999999</v>
      </c>
      <c r="G1935" t="n">
        <v>0.8953744947948399</v>
      </c>
      <c r="H1935" t="n">
        <v>0.0179935424613065</v>
      </c>
      <c r="I1935" t="n">
        <v>0.08521081840171781</v>
      </c>
      <c r="J1935" t="n">
        <v>0.0551085582013416</v>
      </c>
      <c r="K1935" t="n">
        <v>0.6816873563701498</v>
      </c>
      <c r="L1935" t="b">
        <v>0</v>
      </c>
      <c r="M1935" t="b">
        <v>0</v>
      </c>
      <c r="N1935" t="inlineStr">
        <is>
          <t>ref</t>
        </is>
      </c>
      <c r="O1935" t="n">
        <v>15</v>
      </c>
      <c r="P1935" t="n">
        <v>0.001587</v>
      </c>
      <c r="Q1935" t="n">
        <v>80</v>
      </c>
      <c r="R1935" t="n">
        <v>0.1388</v>
      </c>
      <c r="S1935">
        <f>IMAGE("https://mitra.stanford.edu/kundaje/oak/projects/neuro-variants/variant_position/credible/roussos_2024/variant_figures/roussos_2024.adolescence.GLU/rs184174206_count_position.png",4,220,900)</f>
        <v/>
      </c>
      <c r="T1935">
        <f>IMAGE("https://mitra.stanford.edu/kundaje/oak/projects/neuro-variants/variant_position/credible/roussos_2024/variant_figures/roussos_2024.adolescence.GLU/rs184174206_profile_position.png",4,220,900)</f>
        <v/>
      </c>
    </row>
    <row r="1936">
      <c r="A1936" t="inlineStr">
        <is>
          <t>chr18</t>
        </is>
      </c>
      <c r="B1936" t="n">
        <v>55737463</v>
      </c>
      <c r="C1936" t="inlineStr">
        <is>
          <t>A</t>
        </is>
      </c>
      <c r="D1936" t="inlineStr">
        <is>
          <t>G</t>
        </is>
      </c>
      <c r="E1936" t="inlineStr">
        <is>
          <t>rs813043</t>
        </is>
      </c>
      <c r="F1936" t="n">
        <v>-0.0113342558</v>
      </c>
      <c r="G1936" t="n">
        <v>0.4467930319598611</v>
      </c>
      <c r="H1936" t="n">
        <v>0.0120884812264978</v>
      </c>
      <c r="I1936" t="n">
        <v>0.3286216616736039</v>
      </c>
      <c r="J1936" t="n">
        <v>0.1756621014352972</v>
      </c>
      <c r="K1936" t="n">
        <v>0.4363163204233284</v>
      </c>
      <c r="L1936" t="b">
        <v>0</v>
      </c>
      <c r="M1936" t="b">
        <v>0</v>
      </c>
      <c r="N1936" t="inlineStr">
        <is>
          <t>ref</t>
        </is>
      </c>
      <c r="O1936" t="n">
        <v>70</v>
      </c>
      <c r="P1936" t="n">
        <v>0.001995</v>
      </c>
      <c r="Q1936" t="n">
        <v>-30</v>
      </c>
      <c r="R1936" t="n">
        <v>0.02655</v>
      </c>
      <c r="S1936">
        <f>IMAGE("https://mitra.stanford.edu/kundaje/oak/projects/neuro-variants/variant_position/credible/roussos_2024/variant_figures/roussos_2024.adolescence.GLU/rs813043_count_position.png",4,220,900)</f>
        <v/>
      </c>
      <c r="T1936">
        <f>IMAGE("https://mitra.stanford.edu/kundaje/oak/projects/neuro-variants/variant_position/credible/roussos_2024/variant_figures/roussos_2024.adolescence.GLU/rs813043_profile_position.png",4,220,900)</f>
        <v/>
      </c>
    </row>
    <row r="1937">
      <c r="A1937" t="inlineStr">
        <is>
          <t>chr18</t>
        </is>
      </c>
      <c r="B1937" t="n">
        <v>55737755</v>
      </c>
      <c r="C1937" t="inlineStr">
        <is>
          <t>C</t>
        </is>
      </c>
      <c r="D1937" t="inlineStr">
        <is>
          <t>T</t>
        </is>
      </c>
      <c r="E1937" t="inlineStr">
        <is>
          <t>rs17527878</t>
        </is>
      </c>
      <c r="F1937" t="n">
        <v>-0.00668954344</v>
      </c>
      <c r="G1937" t="n">
        <v>0.6638780844073889</v>
      </c>
      <c r="H1937" t="n">
        <v>0.0156456381187898</v>
      </c>
      <c r="I1937" t="n">
        <v>0.1382181862700466</v>
      </c>
      <c r="J1937" t="n">
        <v>0.1629108886840845</v>
      </c>
      <c r="K1937" t="n">
        <v>0.4547620447867427</v>
      </c>
      <c r="L1937" t="b">
        <v>0</v>
      </c>
      <c r="M1937" t="b">
        <v>0</v>
      </c>
      <c r="N1937" t="inlineStr">
        <is>
          <t>ref</t>
        </is>
      </c>
      <c r="O1937" t="n">
        <v>-75</v>
      </c>
      <c r="P1937" t="n">
        <v>0.000992</v>
      </c>
      <c r="Q1937" t="n">
        <v>-100</v>
      </c>
      <c r="R1937" t="n">
        <v>0.01642</v>
      </c>
      <c r="S1937">
        <f>IMAGE("https://mitra.stanford.edu/kundaje/oak/projects/neuro-variants/variant_position/credible/roussos_2024/variant_figures/roussos_2024.adolescence.GLU/rs17527878_count_position.png",4,220,900)</f>
        <v/>
      </c>
      <c r="T1937">
        <f>IMAGE("https://mitra.stanford.edu/kundaje/oak/projects/neuro-variants/variant_position/credible/roussos_2024/variant_figures/roussos_2024.adolescence.GLU/rs17527878_profile_position.png",4,220,900)</f>
        <v/>
      </c>
    </row>
    <row r="1938">
      <c r="A1938" t="inlineStr">
        <is>
          <t>chr18</t>
        </is>
      </c>
      <c r="B1938" t="n">
        <v>55747832</v>
      </c>
      <c r="C1938" t="inlineStr">
        <is>
          <t>T</t>
        </is>
      </c>
      <c r="D1938" t="inlineStr">
        <is>
          <t>C</t>
        </is>
      </c>
      <c r="E1938" t="inlineStr">
        <is>
          <t>rs77882218</t>
        </is>
      </c>
      <c r="F1938" t="n">
        <v>-0.0030947628552</v>
      </c>
      <c r="G1938" t="n">
        <v>0.8115640658260767</v>
      </c>
      <c r="H1938" t="n">
        <v>0.0233746336637275</v>
      </c>
      <c r="I1938" t="n">
        <v>0.0298340022110129</v>
      </c>
      <c r="J1938" t="n">
        <v>0.1581484736123911</v>
      </c>
      <c r="K1938" t="n">
        <v>0.4705601350770795</v>
      </c>
      <c r="L1938" t="b">
        <v>0</v>
      </c>
      <c r="M1938" t="b">
        <v>0</v>
      </c>
      <c r="N1938" t="inlineStr">
        <is>
          <t>ref</t>
        </is>
      </c>
      <c r="O1938" t="n">
        <v>35</v>
      </c>
      <c r="P1938" t="n">
        <v>0.005302</v>
      </c>
      <c r="Q1938" t="n">
        <v>100</v>
      </c>
      <c r="R1938" t="n">
        <v>0.08044</v>
      </c>
      <c r="S1938">
        <f>IMAGE("https://mitra.stanford.edu/kundaje/oak/projects/neuro-variants/variant_position/credible/roussos_2024/variant_figures/roussos_2024.adolescence.GLU/rs77882218_count_position.png",4,220,900)</f>
        <v/>
      </c>
      <c r="T1938">
        <f>IMAGE("https://mitra.stanford.edu/kundaje/oak/projects/neuro-variants/variant_position/credible/roussos_2024/variant_figures/roussos_2024.adolescence.GLU/rs77882218_profile_position.png",4,220,900)</f>
        <v/>
      </c>
    </row>
    <row r="1939">
      <c r="A1939" t="inlineStr">
        <is>
          <t>chr18</t>
        </is>
      </c>
      <c r="B1939" t="n">
        <v>55786122</v>
      </c>
      <c r="C1939" t="inlineStr">
        <is>
          <t>A</t>
        </is>
      </c>
      <c r="D1939" t="inlineStr">
        <is>
          <t>G</t>
        </is>
      </c>
      <c r="E1939" t="inlineStr">
        <is>
          <t>rs72932579</t>
        </is>
      </c>
      <c r="F1939" t="n">
        <v>0.0498880597999999</v>
      </c>
      <c r="G1939" t="n">
        <v>0.06342632442029481</v>
      </c>
      <c r="H1939" t="n">
        <v>0.0116906197677352</v>
      </c>
      <c r="I1939" t="n">
        <v>0.3577667869241516</v>
      </c>
      <c r="J1939" t="n">
        <v>0.0737952861664201</v>
      </c>
      <c r="K1939" t="n">
        <v>0.6364469137127533</v>
      </c>
      <c r="L1939" t="b">
        <v>0</v>
      </c>
      <c r="M1939" t="b">
        <v>0</v>
      </c>
      <c r="N1939" t="inlineStr">
        <is>
          <t>alt</t>
        </is>
      </c>
      <c r="O1939" t="n">
        <v>100</v>
      </c>
      <c r="P1939" t="n">
        <v>0.04535</v>
      </c>
      <c r="Q1939" t="n">
        <v>-5</v>
      </c>
      <c r="R1939" t="n">
        <v>0.003387</v>
      </c>
      <c r="S1939">
        <f>IMAGE("https://mitra.stanford.edu/kundaje/oak/projects/neuro-variants/variant_position/credible/roussos_2024/variant_figures/roussos_2024.adolescence.GLU/rs72932579_count_position.png",4,220,900)</f>
        <v/>
      </c>
      <c r="T1939">
        <f>IMAGE("https://mitra.stanford.edu/kundaje/oak/projects/neuro-variants/variant_position/credible/roussos_2024/variant_figures/roussos_2024.adolescence.GLU/rs72932579_profile_position.png",4,220,900)</f>
        <v/>
      </c>
    </row>
    <row r="1940">
      <c r="A1940" t="inlineStr">
        <is>
          <t>chr18</t>
        </is>
      </c>
      <c r="B1940" t="n">
        <v>55822147</v>
      </c>
      <c r="C1940" t="inlineStr">
        <is>
          <t>C</t>
        </is>
      </c>
      <c r="D1940" t="inlineStr">
        <is>
          <t>A</t>
        </is>
      </c>
      <c r="E1940" t="inlineStr">
        <is>
          <t>rs75882620</t>
        </is>
      </c>
      <c r="F1940" t="n">
        <v>0.006799076602</v>
      </c>
      <c r="G1940" t="n">
        <v>0.6504527429909743</v>
      </c>
      <c r="H1940" t="n">
        <v>0.0289318612714597</v>
      </c>
      <c r="I1940" t="n">
        <v>0.0108328556243724</v>
      </c>
      <c r="J1940" t="n">
        <v>0.1805788341870816</v>
      </c>
      <c r="K1940" t="n">
        <v>0.4301089245038602</v>
      </c>
      <c r="L1940" t="b">
        <v>1</v>
      </c>
      <c r="M1940" t="b">
        <v>0</v>
      </c>
      <c r="N1940" t="inlineStr">
        <is>
          <t>alt</t>
        </is>
      </c>
      <c r="O1940" t="n">
        <v>-70</v>
      </c>
      <c r="P1940" t="n">
        <v>0.0123</v>
      </c>
      <c r="Q1940" t="n">
        <v>55</v>
      </c>
      <c r="R1940" t="n">
        <v>0.02812</v>
      </c>
      <c r="S1940">
        <f>IMAGE("https://mitra.stanford.edu/kundaje/oak/projects/neuro-variants/variant_position/credible/roussos_2024/variant_figures/roussos_2024.adolescence.GLU/rs75882620_count_position.png",4,220,900)</f>
        <v/>
      </c>
      <c r="T1940">
        <f>IMAGE("https://mitra.stanford.edu/kundaje/oak/projects/neuro-variants/variant_position/credible/roussos_2024/variant_figures/roussos_2024.adolescence.GLU/rs75882620_profile_position.png",4,220,900)</f>
        <v/>
      </c>
    </row>
    <row r="1941">
      <c r="A1941" t="inlineStr">
        <is>
          <t>chr18</t>
        </is>
      </c>
      <c r="B1941" t="n">
        <v>55889643</v>
      </c>
      <c r="C1941" t="inlineStr">
        <is>
          <t>G</t>
        </is>
      </c>
      <c r="D1941" t="inlineStr">
        <is>
          <t>A</t>
        </is>
      </c>
      <c r="E1941" t="inlineStr">
        <is>
          <t>rs148652326</t>
        </is>
      </c>
      <c r="F1941" t="n">
        <v>-0.0154775497999999</v>
      </c>
      <c r="G1941" t="n">
        <v>0.3789277270532503</v>
      </c>
      <c r="H1941" t="n">
        <v>0.0106755777986314</v>
      </c>
      <c r="I1941" t="n">
        <v>0.4479215506524822</v>
      </c>
      <c r="J1941" t="n">
        <v>0.042467368240564</v>
      </c>
      <c r="K1941" t="n">
        <v>0.7323185133123596</v>
      </c>
      <c r="L1941" t="b">
        <v>0</v>
      </c>
      <c r="M1941" t="b">
        <v>0</v>
      </c>
      <c r="N1941" t="inlineStr">
        <is>
          <t>ref</t>
        </is>
      </c>
      <c r="O1941" t="n">
        <v>100</v>
      </c>
      <c r="P1941" t="n">
        <v>0.00722</v>
      </c>
      <c r="Q1941" t="n">
        <v>-75</v>
      </c>
      <c r="R1941" t="n">
        <v>0.0562</v>
      </c>
      <c r="S1941">
        <f>IMAGE("https://mitra.stanford.edu/kundaje/oak/projects/neuro-variants/variant_position/credible/roussos_2024/variant_figures/roussos_2024.adolescence.GLU/rs148652326_count_position.png",4,220,900)</f>
        <v/>
      </c>
      <c r="T1941">
        <f>IMAGE("https://mitra.stanford.edu/kundaje/oak/projects/neuro-variants/variant_position/credible/roussos_2024/variant_figures/roussos_2024.adolescence.GLU/rs148652326_profile_position.png",4,220,900)</f>
        <v/>
      </c>
    </row>
    <row r="1942">
      <c r="A1942" t="inlineStr">
        <is>
          <t>chr18</t>
        </is>
      </c>
      <c r="B1942" t="n">
        <v>55898056</v>
      </c>
      <c r="C1942" t="inlineStr">
        <is>
          <t>T</t>
        </is>
      </c>
      <c r="D1942" t="inlineStr">
        <is>
          <t>C</t>
        </is>
      </c>
      <c r="E1942" t="inlineStr">
        <is>
          <t>rs17602354</t>
        </is>
      </c>
      <c r="F1942" t="n">
        <v>-0.00451243726</v>
      </c>
      <c r="G1942" t="n">
        <v>0.6962475695593288</v>
      </c>
      <c r="H1942" t="n">
        <v>0.0074555494895972</v>
      </c>
      <c r="I1942" t="n">
        <v>0.8592472067510463</v>
      </c>
      <c r="J1942" t="n">
        <v>0.0870837530631344</v>
      </c>
      <c r="K1942" t="n">
        <v>0.5981042618509255</v>
      </c>
      <c r="L1942" t="b">
        <v>0</v>
      </c>
      <c r="M1942" t="b">
        <v>0</v>
      </c>
      <c r="N1942" t="inlineStr">
        <is>
          <t>ref</t>
        </is>
      </c>
      <c r="O1942" t="n">
        <v>-45</v>
      </c>
      <c r="P1942" t="n">
        <v>0.01157</v>
      </c>
      <c r="Q1942" t="n">
        <v>100</v>
      </c>
      <c r="R1942" t="n">
        <v>0.0296</v>
      </c>
      <c r="S1942">
        <f>IMAGE("https://mitra.stanford.edu/kundaje/oak/projects/neuro-variants/variant_position/credible/roussos_2024/variant_figures/roussos_2024.adolescence.GLU/rs17602354_count_position.png",4,220,900)</f>
        <v/>
      </c>
      <c r="T1942">
        <f>IMAGE("https://mitra.stanford.edu/kundaje/oak/projects/neuro-variants/variant_position/credible/roussos_2024/variant_figures/roussos_2024.adolescence.GLU/rs17602354_profile_position.png",4,220,900)</f>
        <v/>
      </c>
    </row>
    <row r="1943">
      <c r="A1943" t="inlineStr">
        <is>
          <t>chr18</t>
        </is>
      </c>
      <c r="B1943" t="n">
        <v>55924568</v>
      </c>
      <c r="C1943" t="inlineStr">
        <is>
          <t>C</t>
        </is>
      </c>
      <c r="D1943" t="inlineStr">
        <is>
          <t>T</t>
        </is>
      </c>
      <c r="E1943" t="inlineStr">
        <is>
          <t>rs61576172</t>
        </is>
      </c>
      <c r="F1943" t="n">
        <v>-0.0117285266</v>
      </c>
      <c r="G1943" t="n">
        <v>0.4679175945187055</v>
      </c>
      <c r="H1943" t="n">
        <v>0.0122830233588491</v>
      </c>
      <c r="I1943" t="n">
        <v>0.3104768329029092</v>
      </c>
      <c r="J1943" t="n">
        <v>0.0211172314265097</v>
      </c>
      <c r="K1943" t="n">
        <v>0.8119933256477521</v>
      </c>
      <c r="L1943" t="b">
        <v>0</v>
      </c>
      <c r="M1943" t="b">
        <v>0</v>
      </c>
      <c r="N1943" t="inlineStr">
        <is>
          <t>ref</t>
        </is>
      </c>
      <c r="O1943" t="n">
        <v>-25</v>
      </c>
      <c r="P1943" t="n">
        <v>0.00463</v>
      </c>
      <c r="Q1943" t="n">
        <v>-75</v>
      </c>
      <c r="R1943" t="n">
        <v>0.03088</v>
      </c>
      <c r="S1943">
        <f>IMAGE("https://mitra.stanford.edu/kundaje/oak/projects/neuro-variants/variant_position/credible/roussos_2024/variant_figures/roussos_2024.adolescence.GLU/rs61576172_count_position.png",4,220,900)</f>
        <v/>
      </c>
      <c r="T1943">
        <f>IMAGE("https://mitra.stanford.edu/kundaje/oak/projects/neuro-variants/variant_position/credible/roussos_2024/variant_figures/roussos_2024.adolescence.GLU/rs61576172_profile_position.png",4,220,900)</f>
        <v/>
      </c>
    </row>
    <row r="1944">
      <c r="A1944" t="inlineStr">
        <is>
          <t>chr18</t>
        </is>
      </c>
      <c r="B1944" t="n">
        <v>55953317</v>
      </c>
      <c r="C1944" t="inlineStr">
        <is>
          <t>C</t>
        </is>
      </c>
      <c r="D1944" t="inlineStr">
        <is>
          <t>G</t>
        </is>
      </c>
      <c r="E1944" t="inlineStr">
        <is>
          <t>rs118115105</t>
        </is>
      </c>
      <c r="F1944" t="n">
        <v>-0.0415196996</v>
      </c>
      <c r="G1944" t="n">
        <v>0.1013560171007632</v>
      </c>
      <c r="H1944" t="n">
        <v>0.0179368169403666</v>
      </c>
      <c r="I1944" t="n">
        <v>0.1016610225214951</v>
      </c>
      <c r="J1944" t="n">
        <v>0.4693729415378899</v>
      </c>
      <c r="K1944" t="n">
        <v>0.1092230929426335</v>
      </c>
      <c r="L1944" t="b">
        <v>0</v>
      </c>
      <c r="M1944" t="b">
        <v>0</v>
      </c>
      <c r="N1944" t="inlineStr">
        <is>
          <t>ref</t>
        </is>
      </c>
      <c r="O1944" t="n">
        <v>100</v>
      </c>
      <c r="P1944" t="n">
        <v>0.01692</v>
      </c>
      <c r="Q1944" t="n">
        <v>90</v>
      </c>
      <c r="R1944" t="n">
        <v>0.1418</v>
      </c>
      <c r="S1944">
        <f>IMAGE("https://mitra.stanford.edu/kundaje/oak/projects/neuro-variants/variant_position/credible/roussos_2024/variant_figures/roussos_2024.adolescence.GLU/rs118115105_count_position.png",4,220,900)</f>
        <v/>
      </c>
      <c r="T1944">
        <f>IMAGE("https://mitra.stanford.edu/kundaje/oak/projects/neuro-variants/variant_position/credible/roussos_2024/variant_figures/roussos_2024.adolescence.GLU/rs118115105_profile_position.png",4,220,900)</f>
        <v/>
      </c>
    </row>
    <row r="1945">
      <c r="A1945" t="inlineStr">
        <is>
          <t>chr18</t>
        </is>
      </c>
      <c r="B1945" t="n">
        <v>55957436</v>
      </c>
      <c r="C1945" t="inlineStr">
        <is>
          <t>C</t>
        </is>
      </c>
      <c r="D1945" t="inlineStr">
        <is>
          <t>T</t>
        </is>
      </c>
      <c r="E1945" t="inlineStr">
        <is>
          <t>rs56062547</t>
        </is>
      </c>
      <c r="F1945" t="n">
        <v>-0.0545063924</v>
      </c>
      <c r="G1945" t="n">
        <v>0.0613591624868</v>
      </c>
      <c r="H1945" t="n">
        <v>0.0129858967669621</v>
      </c>
      <c r="I1945" t="n">
        <v>0.307620770254666</v>
      </c>
      <c r="J1945" t="n">
        <v>0.269924484357474</v>
      </c>
      <c r="K1945" t="n">
        <v>0.3078699996849539</v>
      </c>
      <c r="L1945" t="b">
        <v>0</v>
      </c>
      <c r="M1945" t="b">
        <v>0</v>
      </c>
      <c r="N1945" t="inlineStr">
        <is>
          <t>ref</t>
        </is>
      </c>
      <c r="O1945" t="n">
        <v>85</v>
      </c>
      <c r="P1945" t="n">
        <v>0.01477</v>
      </c>
      <c r="Q1945" t="n">
        <v>-85</v>
      </c>
      <c r="R1945" t="n">
        <v>0.04733</v>
      </c>
      <c r="S1945">
        <f>IMAGE("https://mitra.stanford.edu/kundaje/oak/projects/neuro-variants/variant_position/credible/roussos_2024/variant_figures/roussos_2024.adolescence.GLU/rs56062547_count_position.png",4,220,900)</f>
        <v/>
      </c>
      <c r="T1945">
        <f>IMAGE("https://mitra.stanford.edu/kundaje/oak/projects/neuro-variants/variant_position/credible/roussos_2024/variant_figures/roussos_2024.adolescence.GLU/rs56062547_profile_position.png",4,220,900)</f>
        <v/>
      </c>
    </row>
    <row r="1946">
      <c r="A1946" t="inlineStr">
        <is>
          <t>chr18</t>
        </is>
      </c>
      <c r="B1946" t="n">
        <v>55973548</v>
      </c>
      <c r="C1946" t="inlineStr">
        <is>
          <t>G</t>
        </is>
      </c>
      <c r="D1946" t="inlineStr">
        <is>
          <t>A</t>
        </is>
      </c>
      <c r="E1946" t="inlineStr">
        <is>
          <t>rs1424401</t>
        </is>
      </c>
      <c r="F1946" t="n">
        <v>0.0181980268</v>
      </c>
      <c r="G1946" t="n">
        <v>0.3153883803543026</v>
      </c>
      <c r="H1946" t="n">
        <v>0.0142332417427073</v>
      </c>
      <c r="I1946" t="n">
        <v>0.2027340607655295</v>
      </c>
      <c r="J1946" t="n">
        <v>0.0527152052925248</v>
      </c>
      <c r="K1946" t="n">
        <v>0.6933726568971744</v>
      </c>
      <c r="L1946" t="b">
        <v>0</v>
      </c>
      <c r="M1946" t="b">
        <v>0</v>
      </c>
      <c r="N1946" t="inlineStr">
        <is>
          <t>alt</t>
        </is>
      </c>
      <c r="O1946" t="n">
        <v>85</v>
      </c>
      <c r="P1946" t="n">
        <v>0.0283</v>
      </c>
      <c r="Q1946" t="n">
        <v>-15</v>
      </c>
      <c r="R1946" t="n">
        <v>0.02457</v>
      </c>
      <c r="S1946">
        <f>IMAGE("https://mitra.stanford.edu/kundaje/oak/projects/neuro-variants/variant_position/credible/roussos_2024/variant_figures/roussos_2024.adolescence.GLU/rs1424401_count_position.png",4,220,900)</f>
        <v/>
      </c>
      <c r="T1946">
        <f>IMAGE("https://mitra.stanford.edu/kundaje/oak/projects/neuro-variants/variant_position/credible/roussos_2024/variant_figures/roussos_2024.adolescence.GLU/rs1424401_profile_position.png",4,220,900)</f>
        <v/>
      </c>
    </row>
    <row r="1947">
      <c r="A1947" t="inlineStr">
        <is>
          <t>chr18</t>
        </is>
      </c>
      <c r="B1947" t="n">
        <v>55983078</v>
      </c>
      <c r="C1947" t="inlineStr">
        <is>
          <t>A</t>
        </is>
      </c>
      <c r="D1947" t="inlineStr">
        <is>
          <t>G</t>
        </is>
      </c>
      <c r="E1947" t="inlineStr">
        <is>
          <t>rs2902193</t>
        </is>
      </c>
      <c r="F1947" t="n">
        <v>-0.01153684224</v>
      </c>
      <c r="G1947" t="n">
        <v>0.5178613681346651</v>
      </c>
      <c r="H1947" t="n">
        <v>0.013329351009494</v>
      </c>
      <c r="I1947" t="n">
        <v>0.2325967428213901</v>
      </c>
      <c r="J1947" t="n">
        <v>0.1658272070643204</v>
      </c>
      <c r="K1947" t="n">
        <v>0.4438744343821523</v>
      </c>
      <c r="L1947" t="b">
        <v>0</v>
      </c>
      <c r="M1947" t="b">
        <v>0</v>
      </c>
      <c r="N1947" t="inlineStr">
        <is>
          <t>ref</t>
        </is>
      </c>
      <c r="O1947" t="n">
        <v>-100</v>
      </c>
      <c r="P1947" t="n">
        <v>0.00356</v>
      </c>
      <c r="Q1947" t="n">
        <v>100</v>
      </c>
      <c r="R1947" t="n">
        <v>0.1736</v>
      </c>
      <c r="S1947">
        <f>IMAGE("https://mitra.stanford.edu/kundaje/oak/projects/neuro-variants/variant_position/credible/roussos_2024/variant_figures/roussos_2024.adolescence.GLU/rs2902193_count_position.png",4,220,900)</f>
        <v/>
      </c>
      <c r="T1947">
        <f>IMAGE("https://mitra.stanford.edu/kundaje/oak/projects/neuro-variants/variant_position/credible/roussos_2024/variant_figures/roussos_2024.adolescence.GLU/rs2902193_profile_position.png",4,220,900)</f>
        <v/>
      </c>
    </row>
    <row r="1948">
      <c r="A1948" t="inlineStr">
        <is>
          <t>chr18</t>
        </is>
      </c>
      <c r="B1948" t="n">
        <v>55983715</v>
      </c>
      <c r="C1948" t="inlineStr">
        <is>
          <t>G</t>
        </is>
      </c>
      <c r="D1948" t="inlineStr">
        <is>
          <t>A</t>
        </is>
      </c>
      <c r="E1948" t="inlineStr">
        <is>
          <t>rs10164243</t>
        </is>
      </c>
      <c r="F1948" t="n">
        <v>-0.0335538508</v>
      </c>
      <c r="G1948" t="n">
        <v>0.1536105660441898</v>
      </c>
      <c r="H1948" t="n">
        <v>0.0138168334882667</v>
      </c>
      <c r="I1948" t="n">
        <v>0.2204014541543247</v>
      </c>
      <c r="J1948" t="n">
        <v>0.2608868980003</v>
      </c>
      <c r="K1948" t="n">
        <v>0.3139201392823909</v>
      </c>
      <c r="L1948" t="b">
        <v>0</v>
      </c>
      <c r="M1948" t="b">
        <v>0</v>
      </c>
      <c r="N1948" t="inlineStr">
        <is>
          <t>ref</t>
        </is>
      </c>
      <c r="O1948" t="n">
        <v>-55</v>
      </c>
      <c r="P1948" t="n">
        <v>0.003174</v>
      </c>
      <c r="Q1948" t="n">
        <v>65</v>
      </c>
      <c r="R1948" t="n">
        <v>0.08704000000000001</v>
      </c>
      <c r="S1948">
        <f>IMAGE("https://mitra.stanford.edu/kundaje/oak/projects/neuro-variants/variant_position/credible/roussos_2024/variant_figures/roussos_2024.adolescence.GLU/rs10164243_count_position.png",4,220,900)</f>
        <v/>
      </c>
      <c r="T1948">
        <f>IMAGE("https://mitra.stanford.edu/kundaje/oak/projects/neuro-variants/variant_position/credible/roussos_2024/variant_figures/roussos_2024.adolescence.GLU/rs10164243_profile_position.png",4,220,900)</f>
        <v/>
      </c>
    </row>
    <row r="1949">
      <c r="A1949" t="inlineStr">
        <is>
          <t>chr18</t>
        </is>
      </c>
      <c r="B1949" t="n">
        <v>55998167</v>
      </c>
      <c r="C1949" t="inlineStr">
        <is>
          <t>G</t>
        </is>
      </c>
      <c r="D1949" t="inlineStr">
        <is>
          <t>T</t>
        </is>
      </c>
      <c r="E1949" t="inlineStr">
        <is>
          <t>rs1862920</t>
        </is>
      </c>
      <c r="F1949" t="n">
        <v>0.0628432884</v>
      </c>
      <c r="G1949" t="n">
        <v>0.0376035182226284</v>
      </c>
      <c r="H1949" t="n">
        <v>0.0356213973060791</v>
      </c>
      <c r="I1949" t="n">
        <v>0.0051428513680444</v>
      </c>
      <c r="J1949" t="n">
        <v>0.5038572275685678</v>
      </c>
      <c r="K1949" t="n">
        <v>0.08691074463645811</v>
      </c>
      <c r="L1949" t="b">
        <v>1</v>
      </c>
      <c r="M1949" t="b">
        <v>1</v>
      </c>
      <c r="N1949" t="inlineStr">
        <is>
          <t>alt</t>
        </is>
      </c>
      <c r="O1949" t="n">
        <v>-85</v>
      </c>
      <c r="P1949" t="n">
        <v>0.005314</v>
      </c>
      <c r="Q1949" t="n">
        <v>60</v>
      </c>
      <c r="R1949" t="n">
        <v>0.1034</v>
      </c>
      <c r="S1949">
        <f>IMAGE("https://mitra.stanford.edu/kundaje/oak/projects/neuro-variants/variant_position/credible/roussos_2024/variant_figures/roussos_2024.adolescence.GLU/rs1862920_count_position.png",4,220,900)</f>
        <v/>
      </c>
      <c r="T1949">
        <f>IMAGE("https://mitra.stanford.edu/kundaje/oak/projects/neuro-variants/variant_position/credible/roussos_2024/variant_figures/roussos_2024.adolescence.GLU/rs1862920_profile_position.png",4,220,900)</f>
        <v/>
      </c>
    </row>
    <row r="1950">
      <c r="A1950" t="inlineStr">
        <is>
          <t>chr18</t>
        </is>
      </c>
      <c r="B1950" t="n">
        <v>56112798</v>
      </c>
      <c r="C1950" t="inlineStr">
        <is>
          <t>T</t>
        </is>
      </c>
      <c r="D1950" t="inlineStr">
        <is>
          <t>A</t>
        </is>
      </c>
      <c r="E1950" t="inlineStr">
        <is>
          <t>rs1789562</t>
        </is>
      </c>
      <c r="F1950" t="n">
        <v>0.0054682482399999</v>
      </c>
      <c r="G1950" t="n">
        <v>0.6906986662975415</v>
      </c>
      <c r="H1950" t="n">
        <v>0.0263454130439499</v>
      </c>
      <c r="I1950" t="n">
        <v>0.016024676276761</v>
      </c>
      <c r="J1950" t="n">
        <v>0.1003422137442755</v>
      </c>
      <c r="K1950" t="n">
        <v>0.5640254364081612</v>
      </c>
      <c r="L1950" t="b">
        <v>1</v>
      </c>
      <c r="M1950" t="b">
        <v>0</v>
      </c>
      <c r="N1950" t="inlineStr">
        <is>
          <t>alt</t>
        </is>
      </c>
      <c r="O1950" t="n">
        <v>-100</v>
      </c>
      <c r="P1950" t="n">
        <v>0.014114</v>
      </c>
      <c r="Q1950" t="n">
        <v>-90</v>
      </c>
      <c r="R1950" t="n">
        <v>0.1255</v>
      </c>
      <c r="S1950">
        <f>IMAGE("https://mitra.stanford.edu/kundaje/oak/projects/neuro-variants/variant_position/credible/roussos_2024/variant_figures/roussos_2024.adolescence.GLU/rs1789562_count_position.png",4,220,900)</f>
        <v/>
      </c>
      <c r="T1950">
        <f>IMAGE("https://mitra.stanford.edu/kundaje/oak/projects/neuro-variants/variant_position/credible/roussos_2024/variant_figures/roussos_2024.adolescence.GLU/rs1789562_profile_position.png",4,220,900)</f>
        <v/>
      </c>
    </row>
    <row r="1951">
      <c r="A1951" t="inlineStr">
        <is>
          <t>chr18</t>
        </is>
      </c>
      <c r="B1951" t="n">
        <v>56221791</v>
      </c>
      <c r="C1951" t="inlineStr">
        <is>
          <t>A</t>
        </is>
      </c>
      <c r="D1951" t="inlineStr">
        <is>
          <t>C</t>
        </is>
      </c>
      <c r="E1951" t="inlineStr">
        <is>
          <t>rs75104423</t>
        </is>
      </c>
      <c r="F1951" t="n">
        <v>0.0207033754</v>
      </c>
      <c r="G1951" t="n">
        <v>0.2745226282950661</v>
      </c>
      <c r="H1951" t="n">
        <v>0.0084288468721454</v>
      </c>
      <c r="I1951" t="n">
        <v>0.6950672490475106</v>
      </c>
      <c r="J1951" t="n">
        <v>0.1914782347772038</v>
      </c>
      <c r="K1951" t="n">
        <v>0.412341351427379</v>
      </c>
      <c r="L1951" t="b">
        <v>0</v>
      </c>
      <c r="M1951" t="b">
        <v>0</v>
      </c>
      <c r="N1951" t="inlineStr">
        <is>
          <t>alt</t>
        </is>
      </c>
      <c r="O1951" t="n">
        <v>-100</v>
      </c>
      <c r="P1951" t="n">
        <v>0.01799</v>
      </c>
      <c r="Q1951" t="n">
        <v>-20</v>
      </c>
      <c r="R1951" t="n">
        <v>0.04102</v>
      </c>
      <c r="S1951">
        <f>IMAGE("https://mitra.stanford.edu/kundaje/oak/projects/neuro-variants/variant_position/credible/roussos_2024/variant_figures/roussos_2024.adolescence.GLU/rs75104423_count_position.png",4,220,900)</f>
        <v/>
      </c>
      <c r="T1951">
        <f>IMAGE("https://mitra.stanford.edu/kundaje/oak/projects/neuro-variants/variant_position/credible/roussos_2024/variant_figures/roussos_2024.adolescence.GLU/rs75104423_profile_position.png",4,220,900)</f>
        <v/>
      </c>
    </row>
    <row r="1952">
      <c r="A1952" t="inlineStr">
        <is>
          <t>chr18</t>
        </is>
      </c>
      <c r="B1952" t="n">
        <v>56333783</v>
      </c>
      <c r="C1952" t="inlineStr">
        <is>
          <t>C</t>
        </is>
      </c>
      <c r="D1952" t="inlineStr">
        <is>
          <t>T</t>
        </is>
      </c>
      <c r="E1952" t="inlineStr">
        <is>
          <t>rs62091470</t>
        </is>
      </c>
      <c r="F1952" t="n">
        <v>0.0163078162</v>
      </c>
      <c r="G1952" t="n">
        <v>0.337843871263787</v>
      </c>
      <c r="H1952" t="n">
        <v>0.0123965436785748</v>
      </c>
      <c r="I1952" t="n">
        <v>0.294153594369049</v>
      </c>
      <c r="J1952" t="n">
        <v>0.1170756799622778</v>
      </c>
      <c r="K1952" t="n">
        <v>0.5368715559678914</v>
      </c>
      <c r="L1952" t="b">
        <v>0</v>
      </c>
      <c r="M1952" t="b">
        <v>0</v>
      </c>
      <c r="N1952" t="inlineStr">
        <is>
          <t>alt</t>
        </is>
      </c>
      <c r="O1952" t="n">
        <v>100</v>
      </c>
      <c r="P1952" t="n">
        <v>0.003452</v>
      </c>
      <c r="Q1952" t="n">
        <v>90</v>
      </c>
      <c r="R1952" t="n">
        <v>0.06365999999999999</v>
      </c>
      <c r="S1952">
        <f>IMAGE("https://mitra.stanford.edu/kundaje/oak/projects/neuro-variants/variant_position/credible/roussos_2024/variant_figures/roussos_2024.adolescence.GLU/rs62091470_count_position.png",4,220,900)</f>
        <v/>
      </c>
      <c r="T1952">
        <f>IMAGE("https://mitra.stanford.edu/kundaje/oak/projects/neuro-variants/variant_position/credible/roussos_2024/variant_figures/roussos_2024.adolescence.GLU/rs62091470_profile_position.png",4,220,900)</f>
        <v/>
      </c>
    </row>
    <row r="1953">
      <c r="A1953" t="inlineStr">
        <is>
          <t>chr18</t>
        </is>
      </c>
      <c r="B1953" t="n">
        <v>56339270</v>
      </c>
      <c r="C1953" t="inlineStr">
        <is>
          <t>C</t>
        </is>
      </c>
      <c r="D1953" t="inlineStr">
        <is>
          <t>T</t>
        </is>
      </c>
      <c r="E1953" t="inlineStr">
        <is>
          <t>rs62091471</t>
        </is>
      </c>
      <c r="F1953" t="n">
        <v>-0.0605550399999999</v>
      </c>
      <c r="G1953" t="n">
        <v>0.0461140255378812</v>
      </c>
      <c r="H1953" t="n">
        <v>0.0152981703146976</v>
      </c>
      <c r="I1953" t="n">
        <v>0.1769653498448135</v>
      </c>
      <c r="J1953" t="n">
        <v>0.1323774210372148</v>
      </c>
      <c r="K1953" t="n">
        <v>0.507176533862092</v>
      </c>
      <c r="L1953" t="b">
        <v>0</v>
      </c>
      <c r="M1953" t="b">
        <v>0</v>
      </c>
      <c r="N1953" t="inlineStr">
        <is>
          <t>ref</t>
        </is>
      </c>
      <c r="O1953" t="n">
        <v>100</v>
      </c>
      <c r="P1953" t="n">
        <v>0.002396</v>
      </c>
      <c r="Q1953" t="n">
        <v>-100</v>
      </c>
      <c r="R1953" t="n">
        <v>0.07049999999999999</v>
      </c>
      <c r="S1953">
        <f>IMAGE("https://mitra.stanford.edu/kundaje/oak/projects/neuro-variants/variant_position/credible/roussos_2024/variant_figures/roussos_2024.adolescence.GLU/rs62091471_count_position.png",4,220,900)</f>
        <v/>
      </c>
      <c r="T1953">
        <f>IMAGE("https://mitra.stanford.edu/kundaje/oak/projects/neuro-variants/variant_position/credible/roussos_2024/variant_figures/roussos_2024.adolescence.GLU/rs62091471_profile_position.png",4,220,900)</f>
        <v/>
      </c>
    </row>
    <row r="1954">
      <c r="A1954" t="inlineStr">
        <is>
          <t>chr18</t>
        </is>
      </c>
      <c r="B1954" t="n">
        <v>69858790</v>
      </c>
      <c r="C1954" t="inlineStr">
        <is>
          <t>T</t>
        </is>
      </c>
      <c r="D1954" t="inlineStr">
        <is>
          <t>C</t>
        </is>
      </c>
      <c r="E1954" t="inlineStr">
        <is>
          <t>rs1808094</t>
        </is>
      </c>
      <c r="F1954" t="n">
        <v>0.0276951156</v>
      </c>
      <c r="G1954" t="n">
        <v>0.1894882306128663</v>
      </c>
      <c r="H1954" t="n">
        <v>0.0101120615427324</v>
      </c>
      <c r="I1954" t="n">
        <v>0.5175638600285801</v>
      </c>
      <c r="J1954" t="n">
        <v>0.1840052582320623</v>
      </c>
      <c r="K1954" t="n">
        <v>0.4241599529273687</v>
      </c>
      <c r="L1954" t="b">
        <v>0</v>
      </c>
      <c r="M1954" t="b">
        <v>0</v>
      </c>
      <c r="N1954" t="inlineStr">
        <is>
          <t>alt</t>
        </is>
      </c>
      <c r="O1954" t="n">
        <v>-100</v>
      </c>
      <c r="P1954" t="n">
        <v>0.01062</v>
      </c>
      <c r="Q1954" t="n">
        <v>-90</v>
      </c>
      <c r="R1954" t="n">
        <v>0.1342</v>
      </c>
      <c r="S1954">
        <f>IMAGE("https://mitra.stanford.edu/kundaje/oak/projects/neuro-variants/variant_position/credible/roussos_2024/variant_figures/roussos_2024.adolescence.GLU/rs1808094_count_position.png",4,220,900)</f>
        <v/>
      </c>
      <c r="T1954">
        <f>IMAGE("https://mitra.stanford.edu/kundaje/oak/projects/neuro-variants/variant_position/credible/roussos_2024/variant_figures/roussos_2024.adolescence.GLU/rs1808094_profile_position.png",4,220,900)</f>
        <v/>
      </c>
    </row>
    <row r="1955">
      <c r="A1955" t="inlineStr">
        <is>
          <t>chr18</t>
        </is>
      </c>
      <c r="B1955" t="n">
        <v>69860524</v>
      </c>
      <c r="C1955" t="inlineStr">
        <is>
          <t>T</t>
        </is>
      </c>
      <c r="D1955" t="inlineStr">
        <is>
          <t>G</t>
        </is>
      </c>
      <c r="E1955" t="inlineStr">
        <is>
          <t>rs1790947</t>
        </is>
      </c>
      <c r="F1955" t="n">
        <v>-0.0286816499999999</v>
      </c>
      <c r="G1955" t="n">
        <v>0.1918193281288724</v>
      </c>
      <c r="H1955" t="n">
        <v>0.0362363571663294</v>
      </c>
      <c r="I1955" t="n">
        <v>0.0038959776046799</v>
      </c>
      <c r="J1955" t="n">
        <v>0.0076573004408055</v>
      </c>
      <c r="K1955" t="n">
        <v>0.8969356720916215</v>
      </c>
      <c r="L1955" t="b">
        <v>0</v>
      </c>
      <c r="M1955" t="b">
        <v>0</v>
      </c>
      <c r="N1955" t="inlineStr">
        <is>
          <t>ref</t>
        </is>
      </c>
      <c r="O1955" t="n">
        <v>25</v>
      </c>
      <c r="P1955" t="n">
        <v>0.001213</v>
      </c>
      <c r="Q1955" t="n">
        <v>0</v>
      </c>
      <c r="R1955" t="n">
        <v>0</v>
      </c>
      <c r="S1955">
        <f>IMAGE("https://mitra.stanford.edu/kundaje/oak/projects/neuro-variants/variant_position/credible/roussos_2024/variant_figures/roussos_2024.adolescence.GLU/rs1790947_count_position.png",4,220,900)</f>
        <v/>
      </c>
      <c r="T1955">
        <f>IMAGE("https://mitra.stanford.edu/kundaje/oak/projects/neuro-variants/variant_position/credible/roussos_2024/variant_figures/roussos_2024.adolescence.GLU/rs1790947_profile_position.png",4,220,900)</f>
        <v/>
      </c>
    </row>
    <row r="1956">
      <c r="A1956" t="inlineStr">
        <is>
          <t>chr18</t>
        </is>
      </c>
      <c r="B1956" t="n">
        <v>69866096</v>
      </c>
      <c r="C1956" t="inlineStr">
        <is>
          <t>T</t>
        </is>
      </c>
      <c r="D1956" t="inlineStr">
        <is>
          <t>C</t>
        </is>
      </c>
      <c r="E1956" t="inlineStr">
        <is>
          <t>rs56249713</t>
        </is>
      </c>
      <c r="F1956" t="n">
        <v>0.0286062724</v>
      </c>
      <c r="G1956" t="n">
        <v>0.1777518432038833</v>
      </c>
      <c r="H1956" t="n">
        <v>0.0108129379468294</v>
      </c>
      <c r="I1956" t="n">
        <v>0.4392463994237593</v>
      </c>
      <c r="J1956" t="n">
        <v>0.2396639303855798</v>
      </c>
      <c r="K1956" t="n">
        <v>0.3442755201175046</v>
      </c>
      <c r="L1956" t="b">
        <v>0</v>
      </c>
      <c r="M1956" t="b">
        <v>0</v>
      </c>
      <c r="N1956" t="inlineStr">
        <is>
          <t>alt</t>
        </is>
      </c>
      <c r="O1956" t="n">
        <v>-35</v>
      </c>
      <c r="P1956" t="n">
        <v>0.001036</v>
      </c>
      <c r="Q1956" t="n">
        <v>-60</v>
      </c>
      <c r="R1956" t="n">
        <v>0.006714</v>
      </c>
      <c r="S1956">
        <f>IMAGE("https://mitra.stanford.edu/kundaje/oak/projects/neuro-variants/variant_position/credible/roussos_2024/variant_figures/roussos_2024.adolescence.GLU/rs56249713_count_position.png",4,220,900)</f>
        <v/>
      </c>
      <c r="T1956">
        <f>IMAGE("https://mitra.stanford.edu/kundaje/oak/projects/neuro-variants/variant_position/credible/roussos_2024/variant_figures/roussos_2024.adolescence.GLU/rs56249713_profile_position.png",4,220,900)</f>
        <v/>
      </c>
    </row>
    <row r="1957">
      <c r="A1957" t="inlineStr">
        <is>
          <t>chr18</t>
        </is>
      </c>
      <c r="B1957" t="n">
        <v>74871632</v>
      </c>
      <c r="C1957" t="inlineStr">
        <is>
          <t>C</t>
        </is>
      </c>
      <c r="D1957" t="inlineStr">
        <is>
          <t>T</t>
        </is>
      </c>
      <c r="E1957" t="inlineStr">
        <is>
          <t>rs2554138</t>
        </is>
      </c>
      <c r="F1957" t="n">
        <v>-0.01445601272</v>
      </c>
      <c r="G1957" t="n">
        <v>0.4117505719713956</v>
      </c>
      <c r="H1957" t="n">
        <v>0.0160709759362341</v>
      </c>
      <c r="I1957" t="n">
        <v>0.1303710510186047</v>
      </c>
      <c r="J1957" t="n">
        <v>0.1098470397439469</v>
      </c>
      <c r="K1957" t="n">
        <v>0.5484976710286422</v>
      </c>
      <c r="L1957" t="b">
        <v>0</v>
      </c>
      <c r="M1957" t="b">
        <v>0</v>
      </c>
      <c r="N1957" t="inlineStr">
        <is>
          <t>ref</t>
        </is>
      </c>
      <c r="O1957" t="n">
        <v>90</v>
      </c>
      <c r="P1957" t="n">
        <v>0.0338</v>
      </c>
      <c r="Q1957" t="n">
        <v>-90</v>
      </c>
      <c r="R1957" t="n">
        <v>0.05734</v>
      </c>
      <c r="S1957">
        <f>IMAGE("https://mitra.stanford.edu/kundaje/oak/projects/neuro-variants/variant_position/credible/roussos_2024/variant_figures/roussos_2024.adolescence.GLU/rs2554138_count_position.png",4,220,900)</f>
        <v/>
      </c>
      <c r="T1957">
        <f>IMAGE("https://mitra.stanford.edu/kundaje/oak/projects/neuro-variants/variant_position/credible/roussos_2024/variant_figures/roussos_2024.adolescence.GLU/rs2554138_profile_position.png",4,220,900)</f>
        <v/>
      </c>
    </row>
    <row r="1958">
      <c r="A1958" t="inlineStr">
        <is>
          <t>chr18</t>
        </is>
      </c>
      <c r="B1958" t="n">
        <v>74903496</v>
      </c>
      <c r="C1958" t="inlineStr">
        <is>
          <t>T</t>
        </is>
      </c>
      <c r="D1958" t="inlineStr">
        <is>
          <t>C</t>
        </is>
      </c>
      <c r="E1958" t="inlineStr">
        <is>
          <t>rs2554132</t>
        </is>
      </c>
      <c r="F1958" t="n">
        <v>-0.01431501664</v>
      </c>
      <c r="G1958" t="n">
        <v>0.4393775683809455</v>
      </c>
      <c r="H1958" t="n">
        <v>0.0255472382281519</v>
      </c>
      <c r="I1958" t="n">
        <v>0.0203095250262562</v>
      </c>
      <c r="J1958" t="n">
        <v>0.1712454722764</v>
      </c>
      <c r="K1958" t="n">
        <v>0.4421614620176692</v>
      </c>
      <c r="L1958" t="b">
        <v>0</v>
      </c>
      <c r="M1958" t="b">
        <v>0</v>
      </c>
      <c r="N1958" t="inlineStr">
        <is>
          <t>ref</t>
        </is>
      </c>
      <c r="O1958" t="n">
        <v>100</v>
      </c>
      <c r="P1958" t="n">
        <v>0.00958</v>
      </c>
      <c r="Q1958" t="n">
        <v>85</v>
      </c>
      <c r="R1958" t="n">
        <v>0.0772</v>
      </c>
      <c r="S1958">
        <f>IMAGE("https://mitra.stanford.edu/kundaje/oak/projects/neuro-variants/variant_position/credible/roussos_2024/variant_figures/roussos_2024.adolescence.GLU/rs2554132_count_position.png",4,220,900)</f>
        <v/>
      </c>
      <c r="T1958">
        <f>IMAGE("https://mitra.stanford.edu/kundaje/oak/projects/neuro-variants/variant_position/credible/roussos_2024/variant_figures/roussos_2024.adolescence.GLU/rs2554132_profile_position.png",4,220,900)</f>
        <v/>
      </c>
    </row>
    <row r="1959">
      <c r="A1959" t="inlineStr">
        <is>
          <t>chr18</t>
        </is>
      </c>
      <c r="B1959" t="n">
        <v>74934989</v>
      </c>
      <c r="C1959" t="inlineStr">
        <is>
          <t>G</t>
        </is>
      </c>
      <c r="D1959" t="inlineStr">
        <is>
          <t>A</t>
        </is>
      </c>
      <c r="E1959" t="inlineStr">
        <is>
          <t>rs17055966</t>
        </is>
      </c>
      <c r="F1959" t="n">
        <v>-0.3493239499999999</v>
      </c>
      <c r="G1959" t="n">
        <v>0.000137317934716</v>
      </c>
      <c r="H1959" t="n">
        <v>0.1515833782854358</v>
      </c>
      <c r="I1959" t="n">
        <v>4.061655460565695e-05</v>
      </c>
      <c r="J1959" t="n">
        <v>0.1134149216623443</v>
      </c>
      <c r="K1959" t="n">
        <v>0.5409675453181993</v>
      </c>
      <c r="L1959" t="b">
        <v>1</v>
      </c>
      <c r="M1959" t="b">
        <v>1</v>
      </c>
      <c r="N1959" t="inlineStr">
        <is>
          <t>ref</t>
        </is>
      </c>
      <c r="O1959" t="n">
        <v>-90</v>
      </c>
      <c r="P1959" t="n">
        <v>0.00958</v>
      </c>
      <c r="Q1959" t="n">
        <v>-100</v>
      </c>
      <c r="R1959" t="n">
        <v>0.0847</v>
      </c>
      <c r="S1959">
        <f>IMAGE("https://mitra.stanford.edu/kundaje/oak/projects/neuro-variants/variant_position/credible/roussos_2024/variant_figures/roussos_2024.adolescence.GLU/rs17055966_count_position.png",4,220,900)</f>
        <v/>
      </c>
      <c r="T1959">
        <f>IMAGE("https://mitra.stanford.edu/kundaje/oak/projects/neuro-variants/variant_position/credible/roussos_2024/variant_figures/roussos_2024.adolescence.GLU/rs17055966_profile_position.png",4,220,900)</f>
        <v/>
      </c>
    </row>
    <row r="1960">
      <c r="A1960" t="inlineStr">
        <is>
          <t>chr18</t>
        </is>
      </c>
      <c r="B1960" t="n">
        <v>74937840</v>
      </c>
      <c r="C1960" t="inlineStr">
        <is>
          <t>T</t>
        </is>
      </c>
      <c r="D1960" t="inlineStr">
        <is>
          <t>C</t>
        </is>
      </c>
      <c r="E1960" t="inlineStr">
        <is>
          <t>rs2930551</t>
        </is>
      </c>
      <c r="F1960" t="n">
        <v>0.06455375839999999</v>
      </c>
      <c r="G1960" t="n">
        <v>0.0286754281698088</v>
      </c>
      <c r="H1960" t="n">
        <v>0.0183169901053805</v>
      </c>
      <c r="I1960" t="n">
        <v>0.07866961002083669</v>
      </c>
      <c r="J1960" t="n">
        <v>0.0266783833794142</v>
      </c>
      <c r="K1960" t="n">
        <v>0.7969649653557783</v>
      </c>
      <c r="L1960" t="b">
        <v>0</v>
      </c>
      <c r="M1960" t="b">
        <v>0</v>
      </c>
      <c r="N1960" t="inlineStr">
        <is>
          <t>alt</t>
        </is>
      </c>
      <c r="O1960" t="n">
        <v>-65</v>
      </c>
      <c r="P1960" t="n">
        <v>0.006844</v>
      </c>
      <c r="Q1960" t="n">
        <v>40</v>
      </c>
      <c r="R1960" t="n">
        <v>0.002014</v>
      </c>
      <c r="S1960">
        <f>IMAGE("https://mitra.stanford.edu/kundaje/oak/projects/neuro-variants/variant_position/credible/roussos_2024/variant_figures/roussos_2024.adolescence.GLU/rs2930551_count_position.png",4,220,900)</f>
        <v/>
      </c>
      <c r="T1960">
        <f>IMAGE("https://mitra.stanford.edu/kundaje/oak/projects/neuro-variants/variant_position/credible/roussos_2024/variant_figures/roussos_2024.adolescence.GLU/rs2930551_profile_position.png",4,220,900)</f>
        <v/>
      </c>
    </row>
    <row r="1961">
      <c r="A1961" t="inlineStr">
        <is>
          <t>chr18</t>
        </is>
      </c>
      <c r="B1961" t="n">
        <v>74938238</v>
      </c>
      <c r="C1961" t="inlineStr">
        <is>
          <t>T</t>
        </is>
      </c>
      <c r="D1961" t="inlineStr">
        <is>
          <t>C</t>
        </is>
      </c>
      <c r="E1961" t="inlineStr">
        <is>
          <t>rs4891202</t>
        </is>
      </c>
      <c r="F1961" t="n">
        <v>0.001085375716</v>
      </c>
      <c r="G1961" t="n">
        <v>0.8947681870458963</v>
      </c>
      <c r="H1961" t="n">
        <v>0.006102473266615</v>
      </c>
      <c r="I1961" t="n">
        <v>0.9715549053427338</v>
      </c>
      <c r="J1961" t="n">
        <v>0.0249023011909609</v>
      </c>
      <c r="K1961" t="n">
        <v>0.80671398138322</v>
      </c>
      <c r="L1961" t="b">
        <v>0</v>
      </c>
      <c r="M1961" t="b">
        <v>0</v>
      </c>
      <c r="N1961" t="inlineStr">
        <is>
          <t>alt</t>
        </is>
      </c>
      <c r="O1961" t="n">
        <v>55</v>
      </c>
      <c r="P1961" t="n">
        <v>0.00397</v>
      </c>
      <c r="Q1961" t="n">
        <v>-35</v>
      </c>
      <c r="R1961" t="n">
        <v>0.08484</v>
      </c>
      <c r="S1961">
        <f>IMAGE("https://mitra.stanford.edu/kundaje/oak/projects/neuro-variants/variant_position/credible/roussos_2024/variant_figures/roussos_2024.adolescence.GLU/rs4891202_count_position.png",4,220,900)</f>
        <v/>
      </c>
      <c r="T1961">
        <f>IMAGE("https://mitra.stanford.edu/kundaje/oak/projects/neuro-variants/variant_position/credible/roussos_2024/variant_figures/roussos_2024.adolescence.GLU/rs4891202_profile_position.png",4,220,900)</f>
        <v/>
      </c>
    </row>
    <row r="1962">
      <c r="A1962" t="inlineStr">
        <is>
          <t>chr18</t>
        </is>
      </c>
      <c r="B1962" t="n">
        <v>74943689</v>
      </c>
      <c r="C1962" t="inlineStr">
        <is>
          <t>G</t>
        </is>
      </c>
      <c r="D1962" t="inlineStr">
        <is>
          <t>C</t>
        </is>
      </c>
      <c r="E1962" t="inlineStr">
        <is>
          <t>rs7243542</t>
        </is>
      </c>
      <c r="F1962" t="n">
        <v>-0.0593834498</v>
      </c>
      <c r="G1962" t="n">
        <v>0.045575329560239</v>
      </c>
      <c r="H1962" t="n">
        <v>0.0140214225904477</v>
      </c>
      <c r="I1962" t="n">
        <v>0.2147535657432455</v>
      </c>
      <c r="J1962" t="n">
        <v>0.1705667602574819</v>
      </c>
      <c r="K1962" t="n">
        <v>0.4462502220629497</v>
      </c>
      <c r="L1962" t="b">
        <v>0</v>
      </c>
      <c r="M1962" t="b">
        <v>0</v>
      </c>
      <c r="N1962" t="inlineStr">
        <is>
          <t>ref</t>
        </is>
      </c>
      <c r="O1962" t="n">
        <v>65</v>
      </c>
      <c r="P1962" t="n">
        <v>0.003338</v>
      </c>
      <c r="Q1962" t="n">
        <v>70</v>
      </c>
      <c r="R1962" t="n">
        <v>0.05817</v>
      </c>
      <c r="S1962">
        <f>IMAGE("https://mitra.stanford.edu/kundaje/oak/projects/neuro-variants/variant_position/credible/roussos_2024/variant_figures/roussos_2024.adolescence.GLU/rs7243542_count_position.png",4,220,900)</f>
        <v/>
      </c>
      <c r="T1962">
        <f>IMAGE("https://mitra.stanford.edu/kundaje/oak/projects/neuro-variants/variant_position/credible/roussos_2024/variant_figures/roussos_2024.adolescence.GLU/rs7243542_profile_position.png",4,220,900)</f>
        <v/>
      </c>
    </row>
    <row r="1963">
      <c r="A1963" t="inlineStr">
        <is>
          <t>chr18</t>
        </is>
      </c>
      <c r="B1963" t="n">
        <v>74966476</v>
      </c>
      <c r="C1963" t="inlineStr">
        <is>
          <t>G</t>
        </is>
      </c>
      <c r="D1963" t="inlineStr">
        <is>
          <t>T</t>
        </is>
      </c>
      <c r="E1963" t="inlineStr">
        <is>
          <t>rs61019476</t>
        </is>
      </c>
      <c r="F1963" t="n">
        <v>-0.0024599758</v>
      </c>
      <c r="G1963" t="n">
        <v>0.6437928370156017</v>
      </c>
      <c r="H1963" t="n">
        <v>0.0106862568859636</v>
      </c>
      <c r="I1963" t="n">
        <v>0.4672700697012076</v>
      </c>
      <c r="J1963" t="n">
        <v>0.0116924220017002</v>
      </c>
      <c r="K1963" t="n">
        <v>0.863408386632801</v>
      </c>
      <c r="L1963" t="b">
        <v>0</v>
      </c>
      <c r="M1963" t="b">
        <v>0</v>
      </c>
      <c r="N1963" t="inlineStr">
        <is>
          <t>ref</t>
        </is>
      </c>
      <c r="O1963" t="n">
        <v>95</v>
      </c>
      <c r="P1963" t="n">
        <v>0.005802</v>
      </c>
      <c r="Q1963" t="n">
        <v>30</v>
      </c>
      <c r="R1963" t="n">
        <v>0.01459</v>
      </c>
      <c r="S1963">
        <f>IMAGE("https://mitra.stanford.edu/kundaje/oak/projects/neuro-variants/variant_position/credible/roussos_2024/variant_figures/roussos_2024.adolescence.GLU/rs61019476_count_position.png",4,220,900)</f>
        <v/>
      </c>
      <c r="T1963">
        <f>IMAGE("https://mitra.stanford.edu/kundaje/oak/projects/neuro-variants/variant_position/credible/roussos_2024/variant_figures/roussos_2024.adolescence.GLU/rs61019476_profile_position.png",4,220,900)</f>
        <v/>
      </c>
    </row>
    <row r="1964">
      <c r="A1964" t="inlineStr">
        <is>
          <t>chr18</t>
        </is>
      </c>
      <c r="B1964" t="n">
        <v>74973700</v>
      </c>
      <c r="C1964" t="inlineStr">
        <is>
          <t>A</t>
        </is>
      </c>
      <c r="D1964" t="inlineStr">
        <is>
          <t>G</t>
        </is>
      </c>
      <c r="E1964" t="inlineStr">
        <is>
          <t>rs4891041</t>
        </is>
      </c>
      <c r="F1964" t="n">
        <v>0.1242620899999999</v>
      </c>
      <c r="G1964" t="n">
        <v>0.003909483534273</v>
      </c>
      <c r="H1964" t="n">
        <v>0.0235451315982847</v>
      </c>
      <c r="I1964" t="n">
        <v>0.030870424051904</v>
      </c>
      <c r="J1964" t="n">
        <v>0.1220367076037178</v>
      </c>
      <c r="K1964" t="n">
        <v>0.5335012938207198</v>
      </c>
      <c r="L1964" t="b">
        <v>1</v>
      </c>
      <c r="M1964" t="b">
        <v>1</v>
      </c>
      <c r="N1964" t="inlineStr">
        <is>
          <t>alt</t>
        </is>
      </c>
      <c r="O1964" t="n">
        <v>40</v>
      </c>
      <c r="P1964" t="n">
        <v>0.005478</v>
      </c>
      <c r="Q1964" t="n">
        <v>35</v>
      </c>
      <c r="R1964" t="n">
        <v>0.04333</v>
      </c>
      <c r="S1964">
        <f>IMAGE("https://mitra.stanford.edu/kundaje/oak/projects/neuro-variants/variant_position/credible/roussos_2024/variant_figures/roussos_2024.adolescence.GLU/rs4891041_count_position.png",4,220,900)</f>
        <v/>
      </c>
      <c r="T1964">
        <f>IMAGE("https://mitra.stanford.edu/kundaje/oak/projects/neuro-variants/variant_position/credible/roussos_2024/variant_figures/roussos_2024.adolescence.GLU/rs4891041_profile_position.png",4,220,900)</f>
        <v/>
      </c>
    </row>
    <row r="1965">
      <c r="A1965" t="inlineStr">
        <is>
          <t>chr18</t>
        </is>
      </c>
      <c r="B1965" t="n">
        <v>74977743</v>
      </c>
      <c r="C1965" t="inlineStr">
        <is>
          <t>G</t>
        </is>
      </c>
      <c r="D1965" t="inlineStr">
        <is>
          <t>A</t>
        </is>
      </c>
      <c r="E1965" t="inlineStr">
        <is>
          <t>rs4334389</t>
        </is>
      </c>
      <c r="F1965" t="n">
        <v>-0.0451644912</v>
      </c>
      <c r="G1965" t="n">
        <v>0.08607544870159869</v>
      </c>
      <c r="H1965" t="n">
        <v>0.0112053226531751</v>
      </c>
      <c r="I1965" t="n">
        <v>0.3817222950574864</v>
      </c>
      <c r="J1965" t="n">
        <v>0.3073579527187774</v>
      </c>
      <c r="K1965" t="n">
        <v>0.2609372233895554</v>
      </c>
      <c r="L1965" t="b">
        <v>0</v>
      </c>
      <c r="M1965" t="b">
        <v>0</v>
      </c>
      <c r="N1965" t="inlineStr">
        <is>
          <t>ref</t>
        </is>
      </c>
      <c r="O1965" t="n">
        <v>45</v>
      </c>
      <c r="P1965" t="n">
        <v>0.002724</v>
      </c>
      <c r="Q1965" t="n">
        <v>-20</v>
      </c>
      <c r="R1965" t="n">
        <v>0.01709</v>
      </c>
      <c r="S1965">
        <f>IMAGE("https://mitra.stanford.edu/kundaje/oak/projects/neuro-variants/variant_position/credible/roussos_2024/variant_figures/roussos_2024.adolescence.GLU/rs4334389_count_position.png",4,220,900)</f>
        <v/>
      </c>
      <c r="T1965">
        <f>IMAGE("https://mitra.stanford.edu/kundaje/oak/projects/neuro-variants/variant_position/credible/roussos_2024/variant_figures/roussos_2024.adolescence.GLU/rs4334389_profile_position.png",4,220,900)</f>
        <v/>
      </c>
    </row>
    <row r="1966">
      <c r="A1966" t="inlineStr">
        <is>
          <t>chr18</t>
        </is>
      </c>
      <c r="B1966" t="n">
        <v>74983478</v>
      </c>
      <c r="C1966" t="inlineStr">
        <is>
          <t>T</t>
        </is>
      </c>
      <c r="D1966" t="inlineStr">
        <is>
          <t>C</t>
        </is>
      </c>
      <c r="E1966" t="inlineStr">
        <is>
          <t>rs9963429</t>
        </is>
      </c>
      <c r="F1966" t="n">
        <v>0.00222912792</v>
      </c>
      <c r="G1966" t="n">
        <v>0.7471371161417409</v>
      </c>
      <c r="H1966" t="n">
        <v>0.0122341905301839</v>
      </c>
      <c r="I1966" t="n">
        <v>0.3146400433686805</v>
      </c>
      <c r="J1966" t="n">
        <v>0.2402769145037186</v>
      </c>
      <c r="K1966" t="n">
        <v>0.3450870048898001</v>
      </c>
      <c r="L1966" t="b">
        <v>0</v>
      </c>
      <c r="M1966" t="b">
        <v>0</v>
      </c>
      <c r="N1966" t="inlineStr">
        <is>
          <t>alt</t>
        </is>
      </c>
      <c r="O1966" t="n">
        <v>65</v>
      </c>
      <c r="P1966" t="n">
        <v>0.01327</v>
      </c>
      <c r="Q1966" t="n">
        <v>-35</v>
      </c>
      <c r="R1966" t="n">
        <v>0.013916</v>
      </c>
      <c r="S1966">
        <f>IMAGE("https://mitra.stanford.edu/kundaje/oak/projects/neuro-variants/variant_position/credible/roussos_2024/variant_figures/roussos_2024.adolescence.GLU/rs9963429_count_position.png",4,220,900)</f>
        <v/>
      </c>
      <c r="T1966">
        <f>IMAGE("https://mitra.stanford.edu/kundaje/oak/projects/neuro-variants/variant_position/credible/roussos_2024/variant_figures/roussos_2024.adolescence.GLU/rs9963429_profile_position.png",4,220,900)</f>
        <v/>
      </c>
    </row>
    <row r="1967">
      <c r="A1967" t="inlineStr">
        <is>
          <t>chr18</t>
        </is>
      </c>
      <c r="B1967" t="n">
        <v>74984205</v>
      </c>
      <c r="C1967" t="inlineStr">
        <is>
          <t>A</t>
        </is>
      </c>
      <c r="D1967" t="inlineStr">
        <is>
          <t>G</t>
        </is>
      </c>
      <c r="E1967" t="inlineStr">
        <is>
          <t>rs4891211</t>
        </is>
      </c>
      <c r="F1967" t="n">
        <v>-0.047080595586</v>
      </c>
      <c r="G1967" t="n">
        <v>0.0784592598218331</v>
      </c>
      <c r="H1967" t="n">
        <v>0.0168721131508423</v>
      </c>
      <c r="I1967" t="n">
        <v>0.0993193292092916</v>
      </c>
      <c r="J1967" t="n">
        <v>0.1340334783633752</v>
      </c>
      <c r="K1967" t="n">
        <v>0.5100007685229926</v>
      </c>
      <c r="L1967" t="b">
        <v>0</v>
      </c>
      <c r="M1967" t="b">
        <v>0</v>
      </c>
      <c r="N1967" t="inlineStr">
        <is>
          <t>ref</t>
        </is>
      </c>
      <c r="O1967" t="n">
        <v>100</v>
      </c>
      <c r="P1967" t="n">
        <v>0.00492</v>
      </c>
      <c r="Q1967" t="n">
        <v>-25</v>
      </c>
      <c r="R1967" t="n">
        <v>0.03467</v>
      </c>
      <c r="S1967">
        <f>IMAGE("https://mitra.stanford.edu/kundaje/oak/projects/neuro-variants/variant_position/credible/roussos_2024/variant_figures/roussos_2024.adolescence.GLU/rs4891211_count_position.png",4,220,900)</f>
        <v/>
      </c>
      <c r="T1967">
        <f>IMAGE("https://mitra.stanford.edu/kundaje/oak/projects/neuro-variants/variant_position/credible/roussos_2024/variant_figures/roussos_2024.adolescence.GLU/rs4891211_profile_position.png",4,220,900)</f>
        <v/>
      </c>
    </row>
    <row r="1968">
      <c r="A1968" t="inlineStr">
        <is>
          <t>chr18</t>
        </is>
      </c>
      <c r="B1968" t="n">
        <v>74984423</v>
      </c>
      <c r="C1968" t="inlineStr">
        <is>
          <t>G</t>
        </is>
      </c>
      <c r="D1968" t="inlineStr">
        <is>
          <t>A</t>
        </is>
      </c>
      <c r="E1968" t="inlineStr">
        <is>
          <t>rs4891042</t>
        </is>
      </c>
      <c r="F1968" t="n">
        <v>-0.002298956798</v>
      </c>
      <c r="G1968" t="n">
        <v>0.8244164497252832</v>
      </c>
      <c r="H1968" t="n">
        <v>0.0131667658116495</v>
      </c>
      <c r="I1968" t="n">
        <v>0.2539086465620342</v>
      </c>
      <c r="J1968" t="n">
        <v>0.0722206742825299</v>
      </c>
      <c r="K1968" t="n">
        <v>0.6427481675609892</v>
      </c>
      <c r="L1968" t="b">
        <v>0</v>
      </c>
      <c r="M1968" t="b">
        <v>0</v>
      </c>
      <c r="N1968" t="inlineStr">
        <is>
          <t>ref</t>
        </is>
      </c>
      <c r="O1968" t="n">
        <v>-95</v>
      </c>
      <c r="P1968" t="n">
        <v>0.004257</v>
      </c>
      <c r="Q1968" t="n">
        <v>-90</v>
      </c>
      <c r="R1968" t="n">
        <v>0.2466</v>
      </c>
      <c r="S1968">
        <f>IMAGE("https://mitra.stanford.edu/kundaje/oak/projects/neuro-variants/variant_position/credible/roussos_2024/variant_figures/roussos_2024.adolescence.GLU/rs4891042_count_position.png",4,220,900)</f>
        <v/>
      </c>
      <c r="T1968">
        <f>IMAGE("https://mitra.stanford.edu/kundaje/oak/projects/neuro-variants/variant_position/credible/roussos_2024/variant_figures/roussos_2024.adolescence.GLU/rs4891042_profile_position.png",4,220,900)</f>
        <v/>
      </c>
    </row>
    <row r="1969">
      <c r="A1969" t="inlineStr">
        <is>
          <t>chr18</t>
        </is>
      </c>
      <c r="B1969" t="n">
        <v>74984773</v>
      </c>
      <c r="C1969" t="inlineStr">
        <is>
          <t>A</t>
        </is>
      </c>
      <c r="D1969" t="inlineStr">
        <is>
          <t>G</t>
        </is>
      </c>
      <c r="E1969" t="inlineStr">
        <is>
          <t>rs9964094</t>
        </is>
      </c>
      <c r="F1969" t="n">
        <v>0.0428718054</v>
      </c>
      <c r="G1969" t="n">
        <v>0.09014757688845181</v>
      </c>
      <c r="H1969" t="n">
        <v>0.011193128185234</v>
      </c>
      <c r="I1969" t="n">
        <v>0.40355116930245</v>
      </c>
      <c r="J1969" t="n">
        <v>0.0199927127762179</v>
      </c>
      <c r="K1969" t="n">
        <v>0.8280290275986084</v>
      </c>
      <c r="L1969" t="b">
        <v>0</v>
      </c>
      <c r="M1969" t="b">
        <v>0</v>
      </c>
      <c r="N1969" t="inlineStr">
        <is>
          <t>alt</t>
        </is>
      </c>
      <c r="O1969" t="n">
        <v>85</v>
      </c>
      <c r="P1969" t="n">
        <v>0.01052</v>
      </c>
      <c r="Q1969" t="n">
        <v>-5</v>
      </c>
      <c r="R1969" t="n">
        <v>0.00418</v>
      </c>
      <c r="S1969">
        <f>IMAGE("https://mitra.stanford.edu/kundaje/oak/projects/neuro-variants/variant_position/credible/roussos_2024/variant_figures/roussos_2024.adolescence.GLU/rs9964094_count_position.png",4,220,900)</f>
        <v/>
      </c>
      <c r="T1969">
        <f>IMAGE("https://mitra.stanford.edu/kundaje/oak/projects/neuro-variants/variant_position/credible/roussos_2024/variant_figures/roussos_2024.adolescence.GLU/rs9964094_profile_position.png",4,220,900)</f>
        <v/>
      </c>
    </row>
    <row r="1970">
      <c r="A1970" t="inlineStr">
        <is>
          <t>chr18</t>
        </is>
      </c>
      <c r="B1970" t="n">
        <v>74984839</v>
      </c>
      <c r="C1970" t="inlineStr">
        <is>
          <t>A</t>
        </is>
      </c>
      <c r="D1970" t="inlineStr">
        <is>
          <t>G</t>
        </is>
      </c>
      <c r="E1970" t="inlineStr">
        <is>
          <t>rs9964170</t>
        </is>
      </c>
      <c r="F1970" t="n">
        <v>0.103315993</v>
      </c>
      <c r="G1970" t="n">
        <v>0.0070032743919016</v>
      </c>
      <c r="H1970" t="n">
        <v>0.0224486576849281</v>
      </c>
      <c r="I1970" t="n">
        <v>0.0415353631429778</v>
      </c>
      <c r="J1970" t="n">
        <v>0.0255438626572646</v>
      </c>
      <c r="K1970" t="n">
        <v>0.8082988586045928</v>
      </c>
      <c r="L1970" t="b">
        <v>1</v>
      </c>
      <c r="M1970" t="b">
        <v>1</v>
      </c>
      <c r="N1970" t="inlineStr">
        <is>
          <t>alt</t>
        </is>
      </c>
      <c r="O1970" t="n">
        <v>-10</v>
      </c>
      <c r="P1970" t="n">
        <v>0.000946</v>
      </c>
      <c r="Q1970" t="n">
        <v>-70</v>
      </c>
      <c r="R1970" t="n">
        <v>0.0502</v>
      </c>
      <c r="S1970">
        <f>IMAGE("https://mitra.stanford.edu/kundaje/oak/projects/neuro-variants/variant_position/credible/roussos_2024/variant_figures/roussos_2024.adolescence.GLU/rs9964170_count_position.png",4,220,900)</f>
        <v/>
      </c>
      <c r="T1970">
        <f>IMAGE("https://mitra.stanford.edu/kundaje/oak/projects/neuro-variants/variant_position/credible/roussos_2024/variant_figures/roussos_2024.adolescence.GLU/rs9964170_profile_position.png",4,220,900)</f>
        <v/>
      </c>
    </row>
    <row r="1971">
      <c r="A1971" t="inlineStr">
        <is>
          <t>chr18</t>
        </is>
      </c>
      <c r="B1971" t="n">
        <v>74986065</v>
      </c>
      <c r="C1971" t="inlineStr">
        <is>
          <t>T</t>
        </is>
      </c>
      <c r="D1971" t="inlineStr">
        <is>
          <t>G</t>
        </is>
      </c>
      <c r="E1971" t="inlineStr">
        <is>
          <t>rs2920353</t>
        </is>
      </c>
      <c r="F1971" t="n">
        <v>-0.009271082769999999</v>
      </c>
      <c r="G1971" t="n">
        <v>0.5291631063638337</v>
      </c>
      <c r="H1971" t="n">
        <v>0.018039484787986</v>
      </c>
      <c r="I1971" t="n">
        <v>0.0813082122432533</v>
      </c>
      <c r="J1971" t="n">
        <v>0.2096019889834322</v>
      </c>
      <c r="K1971" t="n">
        <v>0.3860747263149819</v>
      </c>
      <c r="L1971" t="b">
        <v>0</v>
      </c>
      <c r="M1971" t="b">
        <v>0</v>
      </c>
      <c r="N1971" t="inlineStr">
        <is>
          <t>ref</t>
        </is>
      </c>
      <c r="O1971" t="n">
        <v>25</v>
      </c>
      <c r="P1971" t="n">
        <v>0.00386</v>
      </c>
      <c r="Q1971" t="n">
        <v>75</v>
      </c>
      <c r="R1971" t="n">
        <v>0.09520000000000001</v>
      </c>
      <c r="S1971">
        <f>IMAGE("https://mitra.stanford.edu/kundaje/oak/projects/neuro-variants/variant_position/credible/roussos_2024/variant_figures/roussos_2024.adolescence.GLU/rs2920353_count_position.png",4,220,900)</f>
        <v/>
      </c>
      <c r="T1971">
        <f>IMAGE("https://mitra.stanford.edu/kundaje/oak/projects/neuro-variants/variant_position/credible/roussos_2024/variant_figures/roussos_2024.adolescence.GLU/rs2920353_profile_position.png",4,220,900)</f>
        <v/>
      </c>
    </row>
    <row r="1972">
      <c r="A1972" t="inlineStr">
        <is>
          <t>chr18</t>
        </is>
      </c>
      <c r="B1972" t="n">
        <v>74986330</v>
      </c>
      <c r="C1972" t="inlineStr">
        <is>
          <t>T</t>
        </is>
      </c>
      <c r="D1972" t="inlineStr">
        <is>
          <t>C</t>
        </is>
      </c>
      <c r="E1972" t="inlineStr">
        <is>
          <t>rs9947731</t>
        </is>
      </c>
      <c r="F1972" t="n">
        <v>0.0932436576</v>
      </c>
      <c r="G1972" t="n">
        <v>0.0093824369952085</v>
      </c>
      <c r="H1972" t="n">
        <v>0.0151908341742072</v>
      </c>
      <c r="I1972" t="n">
        <v>0.1752244328199756</v>
      </c>
      <c r="J1972" t="n">
        <v>0.2543912667624007</v>
      </c>
      <c r="K1972" t="n">
        <v>0.3235383857475891</v>
      </c>
      <c r="L1972" t="b">
        <v>1</v>
      </c>
      <c r="M1972" t="b">
        <v>1</v>
      </c>
      <c r="N1972" t="inlineStr">
        <is>
          <t>alt</t>
        </is>
      </c>
      <c r="O1972" t="n">
        <v>-25</v>
      </c>
      <c r="P1972" t="n">
        <v>0.0004654</v>
      </c>
      <c r="Q1972" t="n">
        <v>-100</v>
      </c>
      <c r="R1972" t="n">
        <v>0.0759</v>
      </c>
      <c r="S1972">
        <f>IMAGE("https://mitra.stanford.edu/kundaje/oak/projects/neuro-variants/variant_position/credible/roussos_2024/variant_figures/roussos_2024.adolescence.GLU/rs9947731_count_position.png",4,220,900)</f>
        <v/>
      </c>
      <c r="T1972">
        <f>IMAGE("https://mitra.stanford.edu/kundaje/oak/projects/neuro-variants/variant_position/credible/roussos_2024/variant_figures/roussos_2024.adolescence.GLU/rs9947731_profile_position.png",4,220,900)</f>
        <v/>
      </c>
    </row>
    <row r="1973">
      <c r="A1973" t="inlineStr">
        <is>
          <t>chr18</t>
        </is>
      </c>
      <c r="B1973" t="n">
        <v>74994128</v>
      </c>
      <c r="C1973" t="inlineStr">
        <is>
          <t>A</t>
        </is>
      </c>
      <c r="D1973" t="inlineStr">
        <is>
          <t>G</t>
        </is>
      </c>
      <c r="E1973" t="inlineStr">
        <is>
          <t>rs7241108</t>
        </is>
      </c>
      <c r="F1973" t="n">
        <v>0.017403879</v>
      </c>
      <c r="G1973" t="n">
        <v>0.3257256624991096</v>
      </c>
      <c r="H1973" t="n">
        <v>0.007974675328370401</v>
      </c>
      <c r="I1973" t="n">
        <v>0.7828985989285485</v>
      </c>
      <c r="J1973" t="n">
        <v>0.2490487315229582</v>
      </c>
      <c r="K1973" t="n">
        <v>0.3326296757631677</v>
      </c>
      <c r="L1973" t="b">
        <v>0</v>
      </c>
      <c r="M1973" t="b">
        <v>0</v>
      </c>
      <c r="N1973" t="inlineStr">
        <is>
          <t>alt</t>
        </is>
      </c>
      <c r="O1973" t="n">
        <v>100</v>
      </c>
      <c r="P1973" t="n">
        <v>0.00436</v>
      </c>
      <c r="Q1973" t="n">
        <v>-100</v>
      </c>
      <c r="R1973" t="n">
        <v>0.07654</v>
      </c>
      <c r="S1973">
        <f>IMAGE("https://mitra.stanford.edu/kundaje/oak/projects/neuro-variants/variant_position/credible/roussos_2024/variant_figures/roussos_2024.adolescence.GLU/rs7241108_count_position.png",4,220,900)</f>
        <v/>
      </c>
      <c r="T1973">
        <f>IMAGE("https://mitra.stanford.edu/kundaje/oak/projects/neuro-variants/variant_position/credible/roussos_2024/variant_figures/roussos_2024.adolescence.GLU/rs7241108_profile_position.png",4,220,900)</f>
        <v/>
      </c>
    </row>
    <row r="1974">
      <c r="A1974" t="inlineStr">
        <is>
          <t>chr18</t>
        </is>
      </c>
      <c r="B1974" t="n">
        <v>74997815</v>
      </c>
      <c r="C1974" t="inlineStr">
        <is>
          <t>C</t>
        </is>
      </c>
      <c r="D1974" t="inlineStr">
        <is>
          <t>T</t>
        </is>
      </c>
      <c r="E1974" t="inlineStr">
        <is>
          <t>rs9961644</t>
        </is>
      </c>
      <c r="F1974" t="n">
        <v>0.0229304256</v>
      </c>
      <c r="G1974" t="n">
        <v>0.2668923746256117</v>
      </c>
      <c r="H1974" t="n">
        <v>0.0130174336490112</v>
      </c>
      <c r="I1974" t="n">
        <v>0.3123707798185083</v>
      </c>
      <c r="J1974" t="n">
        <v>0.1636224646533924</v>
      </c>
      <c r="K1974" t="n">
        <v>0.4597013203211312</v>
      </c>
      <c r="L1974" t="b">
        <v>0</v>
      </c>
      <c r="M1974" t="b">
        <v>0</v>
      </c>
      <c r="N1974" t="inlineStr">
        <is>
          <t>alt</t>
        </is>
      </c>
      <c r="O1974" t="n">
        <v>-100</v>
      </c>
      <c r="P1974" t="n">
        <v>0.001787</v>
      </c>
      <c r="Q1974" t="n">
        <v>-100</v>
      </c>
      <c r="R1974" t="n">
        <v>0.03278</v>
      </c>
      <c r="S1974">
        <f>IMAGE("https://mitra.stanford.edu/kundaje/oak/projects/neuro-variants/variant_position/credible/roussos_2024/variant_figures/roussos_2024.adolescence.GLU/rs9961644_count_position.png",4,220,900)</f>
        <v/>
      </c>
      <c r="T1974">
        <f>IMAGE("https://mitra.stanford.edu/kundaje/oak/projects/neuro-variants/variant_position/credible/roussos_2024/variant_figures/roussos_2024.adolescence.GLU/rs9961644_profile_position.png",4,220,900)</f>
        <v/>
      </c>
    </row>
    <row r="1975">
      <c r="A1975" t="inlineStr">
        <is>
          <t>chr18</t>
        </is>
      </c>
      <c r="B1975" t="n">
        <v>75010176</v>
      </c>
      <c r="C1975" t="inlineStr">
        <is>
          <t>C</t>
        </is>
      </c>
      <c r="D1975" t="inlineStr">
        <is>
          <t>T</t>
        </is>
      </c>
      <c r="E1975" t="inlineStr">
        <is>
          <t>rs7234127</t>
        </is>
      </c>
      <c r="F1975" t="n">
        <v>-0.040262776</v>
      </c>
      <c r="G1975" t="n">
        <v>0.1137868554522501</v>
      </c>
      <c r="H1975" t="n">
        <v>0.008822914605084799</v>
      </c>
      <c r="I1975" t="n">
        <v>0.6473352302624181</v>
      </c>
      <c r="J1975" t="n">
        <v>0.21172528595209</v>
      </c>
      <c r="K1975" t="n">
        <v>0.3836639103606344</v>
      </c>
      <c r="L1975" t="b">
        <v>0</v>
      </c>
      <c r="M1975" t="b">
        <v>0</v>
      </c>
      <c r="N1975" t="inlineStr">
        <is>
          <t>ref</t>
        </is>
      </c>
      <c r="O1975" t="n">
        <v>90</v>
      </c>
      <c r="P1975" t="n">
        <v>0.004616</v>
      </c>
      <c r="Q1975" t="n">
        <v>55</v>
      </c>
      <c r="R1975" t="n">
        <v>0.01129</v>
      </c>
      <c r="S1975">
        <f>IMAGE("https://mitra.stanford.edu/kundaje/oak/projects/neuro-variants/variant_position/credible/roussos_2024/variant_figures/roussos_2024.adolescence.GLU/rs7234127_count_position.png",4,220,900)</f>
        <v/>
      </c>
      <c r="T1975">
        <f>IMAGE("https://mitra.stanford.edu/kundaje/oak/projects/neuro-variants/variant_position/credible/roussos_2024/variant_figures/roussos_2024.adolescence.GLU/rs7234127_profile_position.png",4,220,900)</f>
        <v/>
      </c>
    </row>
    <row r="1976">
      <c r="A1976" t="inlineStr">
        <is>
          <t>chr18</t>
        </is>
      </c>
      <c r="B1976" t="n">
        <v>75017058</v>
      </c>
      <c r="C1976" t="inlineStr">
        <is>
          <t>T</t>
        </is>
      </c>
      <c r="D1976" t="inlineStr">
        <is>
          <t>C</t>
        </is>
      </c>
      <c r="E1976" t="inlineStr">
        <is>
          <t>rs9950694</t>
        </is>
      </c>
      <c r="F1976" t="n">
        <v>-2.997667999999976e-05</v>
      </c>
      <c r="G1976" t="n">
        <v>0.7765311126542707</v>
      </c>
      <c r="H1976" t="n">
        <v>0.0198861800382585</v>
      </c>
      <c r="I1976" t="n">
        <v>0.0600850479709109</v>
      </c>
      <c r="J1976" t="n">
        <v>0.0548556486700816</v>
      </c>
      <c r="K1976" t="n">
        <v>0.6852034848163969</v>
      </c>
      <c r="L1976" t="b">
        <v>0</v>
      </c>
      <c r="M1976" t="b">
        <v>0</v>
      </c>
      <c r="N1976" t="inlineStr">
        <is>
          <t>ref</t>
        </is>
      </c>
      <c r="O1976" t="n">
        <v>30</v>
      </c>
      <c r="P1976" t="n">
        <v>0.003235</v>
      </c>
      <c r="Q1976" t="n">
        <v>-10</v>
      </c>
      <c r="R1976" t="n">
        <v>0.0116</v>
      </c>
      <c r="S1976">
        <f>IMAGE("https://mitra.stanford.edu/kundaje/oak/projects/neuro-variants/variant_position/credible/roussos_2024/variant_figures/roussos_2024.adolescence.GLU/rs9950694_count_position.png",4,220,900)</f>
        <v/>
      </c>
      <c r="T1976">
        <f>IMAGE("https://mitra.stanford.edu/kundaje/oak/projects/neuro-variants/variant_position/credible/roussos_2024/variant_figures/roussos_2024.adolescence.GLU/rs9950694_profile_position.png",4,220,900)</f>
        <v/>
      </c>
    </row>
    <row r="1977">
      <c r="A1977" t="inlineStr">
        <is>
          <t>chr18</t>
        </is>
      </c>
      <c r="B1977" t="n">
        <v>75019182</v>
      </c>
      <c r="C1977" t="inlineStr">
        <is>
          <t>T</t>
        </is>
      </c>
      <c r="D1977" t="inlineStr">
        <is>
          <t>C</t>
        </is>
      </c>
      <c r="E1977" t="inlineStr">
        <is>
          <t>rs894577</t>
        </is>
      </c>
      <c r="F1977" t="n">
        <v>0.001012262352</v>
      </c>
      <c r="G1977" t="n">
        <v>0.8415579305890589</v>
      </c>
      <c r="H1977" t="n">
        <v>0.0194290132581532</v>
      </c>
      <c r="I1977" t="n">
        <v>0.0630110022575717</v>
      </c>
      <c r="J1977" t="n">
        <v>0.0134456423116216</v>
      </c>
      <c r="K1977" t="n">
        <v>0.8506604179949666</v>
      </c>
      <c r="L1977" t="b">
        <v>0</v>
      </c>
      <c r="M1977" t="b">
        <v>0</v>
      </c>
      <c r="N1977" t="inlineStr">
        <is>
          <t>alt</t>
        </is>
      </c>
      <c r="O1977" t="n">
        <v>80</v>
      </c>
      <c r="P1977" t="n">
        <v>0.01407</v>
      </c>
      <c r="Q1977" t="n">
        <v>100</v>
      </c>
      <c r="R1977" t="n">
        <v>0.1788</v>
      </c>
      <c r="S1977">
        <f>IMAGE("https://mitra.stanford.edu/kundaje/oak/projects/neuro-variants/variant_position/credible/roussos_2024/variant_figures/roussos_2024.adolescence.GLU/rs894577_count_position.png",4,220,900)</f>
        <v/>
      </c>
      <c r="T1977">
        <f>IMAGE("https://mitra.stanford.edu/kundaje/oak/projects/neuro-variants/variant_position/credible/roussos_2024/variant_figures/roussos_2024.adolescence.GLU/rs894577_profile_position.png",4,220,900)</f>
        <v/>
      </c>
    </row>
    <row r="1978">
      <c r="A1978" t="inlineStr">
        <is>
          <t>chr18</t>
        </is>
      </c>
      <c r="B1978" t="n">
        <v>75024241</v>
      </c>
      <c r="C1978" t="inlineStr">
        <is>
          <t>T</t>
        </is>
      </c>
      <c r="D1978" t="inlineStr">
        <is>
          <t>C</t>
        </is>
      </c>
      <c r="E1978" t="inlineStr">
        <is>
          <t>rs9319675</t>
        </is>
      </c>
      <c r="F1978" t="n">
        <v>-0.00164898888</v>
      </c>
      <c r="G1978" t="n">
        <v>0.7486903479745275</v>
      </c>
      <c r="H1978" t="n">
        <v>0.0177406550285579</v>
      </c>
      <c r="I1978" t="n">
        <v>0.0860362715339954</v>
      </c>
      <c r="J1978" t="n">
        <v>0.1233955605089625</v>
      </c>
      <c r="K1978" t="n">
        <v>0.5181790536523792</v>
      </c>
      <c r="L1978" t="b">
        <v>0</v>
      </c>
      <c r="M1978" t="b">
        <v>0</v>
      </c>
      <c r="N1978" t="inlineStr">
        <is>
          <t>ref</t>
        </is>
      </c>
      <c r="O1978" t="n">
        <v>40</v>
      </c>
      <c r="P1978" t="n">
        <v>0.001705</v>
      </c>
      <c r="Q1978" t="n">
        <v>95</v>
      </c>
      <c r="R1978" t="n">
        <v>0.01678</v>
      </c>
      <c r="S1978">
        <f>IMAGE("https://mitra.stanford.edu/kundaje/oak/projects/neuro-variants/variant_position/credible/roussos_2024/variant_figures/roussos_2024.adolescence.GLU/rs9319675_count_position.png",4,220,900)</f>
        <v/>
      </c>
      <c r="T1978">
        <f>IMAGE("https://mitra.stanford.edu/kundaje/oak/projects/neuro-variants/variant_position/credible/roussos_2024/variant_figures/roussos_2024.adolescence.GLU/rs9319675_profile_position.png",4,220,900)</f>
        <v/>
      </c>
    </row>
    <row r="1979">
      <c r="A1979" t="inlineStr">
        <is>
          <t>chr18</t>
        </is>
      </c>
      <c r="B1979" t="n">
        <v>75026772</v>
      </c>
      <c r="C1979" t="inlineStr">
        <is>
          <t>G</t>
        </is>
      </c>
      <c r="D1979" t="inlineStr">
        <is>
          <t>A</t>
        </is>
      </c>
      <c r="E1979" t="inlineStr">
        <is>
          <t>rs4891221</t>
        </is>
      </c>
      <c r="F1979" t="n">
        <v>-0.0501049894</v>
      </c>
      <c r="G1979" t="n">
        <v>0.06661852432942809</v>
      </c>
      <c r="H1979" t="n">
        <v>0.0101875682072856</v>
      </c>
      <c r="I1979" t="n">
        <v>0.5025341773050339</v>
      </c>
      <c r="J1979" t="n">
        <v>0.1765937229854755</v>
      </c>
      <c r="K1979" t="n">
        <v>0.4360859275892934</v>
      </c>
      <c r="L1979" t="b">
        <v>0</v>
      </c>
      <c r="M1979" t="b">
        <v>0</v>
      </c>
      <c r="N1979" t="inlineStr">
        <is>
          <t>ref</t>
        </is>
      </c>
      <c r="O1979" t="n">
        <v>100</v>
      </c>
      <c r="P1979" t="n">
        <v>0.004177</v>
      </c>
      <c r="Q1979" t="n">
        <v>-70</v>
      </c>
      <c r="R1979" t="n">
        <v>0.008880000000000001</v>
      </c>
      <c r="S1979">
        <f>IMAGE("https://mitra.stanford.edu/kundaje/oak/projects/neuro-variants/variant_position/credible/roussos_2024/variant_figures/roussos_2024.adolescence.GLU/rs4891221_count_position.png",4,220,900)</f>
        <v/>
      </c>
      <c r="T1979">
        <f>IMAGE("https://mitra.stanford.edu/kundaje/oak/projects/neuro-variants/variant_position/credible/roussos_2024/variant_figures/roussos_2024.adolescence.GLU/rs4891221_profile_position.png",4,220,900)</f>
        <v/>
      </c>
    </row>
    <row r="1980">
      <c r="A1980" t="inlineStr">
        <is>
          <t>chr18</t>
        </is>
      </c>
      <c r="B1980" t="n">
        <v>79736856</v>
      </c>
      <c r="C1980" t="inlineStr">
        <is>
          <t>C</t>
        </is>
      </c>
      <c r="D1980" t="inlineStr">
        <is>
          <t>A</t>
        </is>
      </c>
      <c r="E1980" t="inlineStr">
        <is>
          <t>rs115000070</t>
        </is>
      </c>
      <c r="F1980" t="n">
        <v>-0.0300763578</v>
      </c>
      <c r="G1980" t="n">
        <v>0.1843035485933654</v>
      </c>
      <c r="H1980" t="n">
        <v>0.010269349934359</v>
      </c>
      <c r="I1980" t="n">
        <v>0.4953703277179592</v>
      </c>
      <c r="J1980" t="n">
        <v>0.7109772738638719</v>
      </c>
      <c r="K1980" t="n">
        <v>0.0139034444903162</v>
      </c>
      <c r="L1980" t="b">
        <v>0</v>
      </c>
      <c r="M1980" t="b">
        <v>0</v>
      </c>
      <c r="N1980" t="inlineStr">
        <is>
          <t>ref</t>
        </is>
      </c>
      <c r="O1980" t="n">
        <v>100</v>
      </c>
      <c r="P1980" t="n">
        <v>0.004295</v>
      </c>
      <c r="Q1980" t="n">
        <v>25</v>
      </c>
      <c r="R1980" t="n">
        <v>0.00421</v>
      </c>
      <c r="S1980">
        <f>IMAGE("https://mitra.stanford.edu/kundaje/oak/projects/neuro-variants/variant_position/credible/roussos_2024/variant_figures/roussos_2024.adolescence.GLU/rs115000070_count_position.png",4,220,900)</f>
        <v/>
      </c>
      <c r="T1980">
        <f>IMAGE("https://mitra.stanford.edu/kundaje/oak/projects/neuro-variants/variant_position/credible/roussos_2024/variant_figures/roussos_2024.adolescence.GLU/rs115000070_profile_position.png",4,220,900)</f>
        <v/>
      </c>
    </row>
    <row r="1981">
      <c r="A1981" t="inlineStr">
        <is>
          <t>chr18</t>
        </is>
      </c>
      <c r="B1981" t="n">
        <v>79787535</v>
      </c>
      <c r="C1981" t="inlineStr">
        <is>
          <t>A</t>
        </is>
      </c>
      <c r="D1981" t="inlineStr">
        <is>
          <t>G</t>
        </is>
      </c>
      <c r="E1981" t="inlineStr">
        <is>
          <t>rs12457876</t>
        </is>
      </c>
      <c r="F1981" t="n">
        <v>-0.0193989324</v>
      </c>
      <c r="G1981" t="n">
        <v>0.2016792329103753</v>
      </c>
      <c r="H1981" t="n">
        <v>0.0235008950694846</v>
      </c>
      <c r="I1981" t="n">
        <v>0.0315022879244935</v>
      </c>
      <c r="J1981" t="n">
        <v>0.6694529581127519</v>
      </c>
      <c r="K1981" t="n">
        <v>0.0196222867180903</v>
      </c>
      <c r="L1981" t="b">
        <v>0</v>
      </c>
      <c r="M1981" t="b">
        <v>0</v>
      </c>
      <c r="N1981" t="inlineStr">
        <is>
          <t>ref</t>
        </is>
      </c>
      <c r="O1981" t="n">
        <v>-30</v>
      </c>
      <c r="P1981" t="n">
        <v>0.002174</v>
      </c>
      <c r="Q1981" t="n">
        <v>-100</v>
      </c>
      <c r="R1981" t="n">
        <v>0.07290000000000001</v>
      </c>
      <c r="S1981">
        <f>IMAGE("https://mitra.stanford.edu/kundaje/oak/projects/neuro-variants/variant_position/credible/roussos_2024/variant_figures/roussos_2024.adolescence.GLU/rs12457876_count_position.png",4,220,900)</f>
        <v/>
      </c>
      <c r="T1981">
        <f>IMAGE("https://mitra.stanford.edu/kundaje/oak/projects/neuro-variants/variant_position/credible/roussos_2024/variant_figures/roussos_2024.adolescence.GLU/rs12457876_profile_position.png",4,220,900)</f>
        <v/>
      </c>
    </row>
    <row r="1982">
      <c r="A1982" t="inlineStr">
        <is>
          <t>chr18</t>
        </is>
      </c>
      <c r="B1982" t="n">
        <v>79818986</v>
      </c>
      <c r="C1982" t="inlineStr">
        <is>
          <t>G</t>
        </is>
      </c>
      <c r="D1982" t="inlineStr">
        <is>
          <t>A</t>
        </is>
      </c>
      <c r="E1982" t="inlineStr">
        <is>
          <t>rs11664298</t>
        </is>
      </c>
      <c r="F1982" t="n">
        <v>0.0103816321</v>
      </c>
      <c r="G1982" t="n">
        <v>0.4997865459819793</v>
      </c>
      <c r="H1982" t="n">
        <v>0.0131281363044728</v>
      </c>
      <c r="I1982" t="n">
        <v>0.2615674991923051</v>
      </c>
      <c r="J1982" t="n">
        <v>0.6005701180958913</v>
      </c>
      <c r="K1982" t="n">
        <v>0.0377717385811147</v>
      </c>
      <c r="L1982" t="b">
        <v>0</v>
      </c>
      <c r="M1982" t="b">
        <v>0</v>
      </c>
      <c r="N1982" t="inlineStr">
        <is>
          <t>alt</t>
        </is>
      </c>
      <c r="O1982" t="n">
        <v>40</v>
      </c>
      <c r="P1982" t="n">
        <v>0.002197</v>
      </c>
      <c r="Q1982" t="n">
        <v>-100</v>
      </c>
      <c r="R1982" t="n">
        <v>0.04065</v>
      </c>
      <c r="S1982">
        <f>IMAGE("https://mitra.stanford.edu/kundaje/oak/projects/neuro-variants/variant_position/credible/roussos_2024/variant_figures/roussos_2024.adolescence.GLU/rs11664298_count_position.png",4,220,900)</f>
        <v/>
      </c>
      <c r="T1982">
        <f>IMAGE("https://mitra.stanford.edu/kundaje/oak/projects/neuro-variants/variant_position/credible/roussos_2024/variant_figures/roussos_2024.adolescence.GLU/rs11664298_profile_position.png",4,220,900)</f>
        <v/>
      </c>
    </row>
    <row r="1983">
      <c r="A1983" t="inlineStr">
        <is>
          <t>chr18</t>
        </is>
      </c>
      <c r="B1983" t="n">
        <v>79871198</v>
      </c>
      <c r="C1983" t="inlineStr">
        <is>
          <t>A</t>
        </is>
      </c>
      <c r="D1983" t="inlineStr">
        <is>
          <t>G</t>
        </is>
      </c>
      <c r="E1983" t="inlineStr">
        <is>
          <t>rs59183289</t>
        </is>
      </c>
      <c r="F1983" t="n">
        <v>0.234977612</v>
      </c>
      <c r="G1983" t="n">
        <v>0.0005225059499354</v>
      </c>
      <c r="H1983" t="n">
        <v>0.0576917757087276</v>
      </c>
      <c r="I1983" t="n">
        <v>0.001089985810597</v>
      </c>
      <c r="J1983" t="n">
        <v>0.731958762886598</v>
      </c>
      <c r="K1983" t="n">
        <v>0.0120207777189124</v>
      </c>
      <c r="L1983" t="b">
        <v>1</v>
      </c>
      <c r="M1983" t="b">
        <v>1</v>
      </c>
      <c r="N1983" t="inlineStr">
        <is>
          <t>alt</t>
        </is>
      </c>
      <c r="O1983" t="n">
        <v>70</v>
      </c>
      <c r="P1983" t="n">
        <v>0.00633</v>
      </c>
      <c r="Q1983" t="n">
        <v>-45</v>
      </c>
      <c r="R1983" t="n">
        <v>0.04175</v>
      </c>
      <c r="S1983">
        <f>IMAGE("https://mitra.stanford.edu/kundaje/oak/projects/neuro-variants/variant_position/credible/roussos_2024/variant_figures/roussos_2024.adolescence.GLU/rs59183289_count_position.png",4,220,900)</f>
        <v/>
      </c>
      <c r="T1983">
        <f>IMAGE("https://mitra.stanford.edu/kundaje/oak/projects/neuro-variants/variant_position/credible/roussos_2024/variant_figures/roussos_2024.adolescence.GLU/rs59183289_profile_position.png",4,220,900)</f>
        <v/>
      </c>
    </row>
    <row r="1984">
      <c r="A1984" t="inlineStr">
        <is>
          <t>chr18</t>
        </is>
      </c>
      <c r="B1984" t="n">
        <v>79871679</v>
      </c>
      <c r="C1984" t="inlineStr">
        <is>
          <t>A</t>
        </is>
      </c>
      <c r="D1984" t="inlineStr">
        <is>
          <t>C</t>
        </is>
      </c>
      <c r="E1984" t="inlineStr">
        <is>
          <t>rs72980085</t>
        </is>
      </c>
      <c r="F1984" t="n">
        <v>-0.03360857406</v>
      </c>
      <c r="G1984" t="n">
        <v>0.1605176858762436</v>
      </c>
      <c r="H1984" t="n">
        <v>0.0277148668083769</v>
      </c>
      <c r="I1984" t="n">
        <v>0.0171141673490146</v>
      </c>
      <c r="J1984" t="n">
        <v>0.7048102821298698</v>
      </c>
      <c r="K1984" t="n">
        <v>0.0145790947464444</v>
      </c>
      <c r="L1984" t="b">
        <v>1</v>
      </c>
      <c r="M1984" t="b">
        <v>0</v>
      </c>
      <c r="N1984" t="inlineStr">
        <is>
          <t>ref</t>
        </is>
      </c>
      <c r="O1984" t="n">
        <v>-5</v>
      </c>
      <c r="P1984" t="n">
        <v>0.0002136</v>
      </c>
      <c r="Q1984" t="n">
        <v>15</v>
      </c>
      <c r="R1984" t="n">
        <v>0.04028</v>
      </c>
      <c r="S1984">
        <f>IMAGE("https://mitra.stanford.edu/kundaje/oak/projects/neuro-variants/variant_position/credible/roussos_2024/variant_figures/roussos_2024.adolescence.GLU/rs72980085_count_position.png",4,220,900)</f>
        <v/>
      </c>
      <c r="T1984">
        <f>IMAGE("https://mitra.stanford.edu/kundaje/oak/projects/neuro-variants/variant_position/credible/roussos_2024/variant_figures/roussos_2024.adolescence.GLU/rs72980085_profile_position.png",4,220,900)</f>
        <v/>
      </c>
    </row>
    <row r="1985">
      <c r="A1985" t="inlineStr">
        <is>
          <t>chr18</t>
        </is>
      </c>
      <c r="B1985" t="n">
        <v>79876077</v>
      </c>
      <c r="C1985" t="inlineStr">
        <is>
          <t>C</t>
        </is>
      </c>
      <c r="D1985" t="inlineStr">
        <is>
          <t>T</t>
        </is>
      </c>
      <c r="E1985" t="inlineStr">
        <is>
          <t>rs56197868</t>
        </is>
      </c>
      <c r="F1985" t="n">
        <v>-0.020090164</v>
      </c>
      <c r="G1985" t="n">
        <v>0.302511079803289</v>
      </c>
      <c r="H1985" t="n">
        <v>0.0113495253024097</v>
      </c>
      <c r="I1985" t="n">
        <v>0.3841733594795667</v>
      </c>
      <c r="J1985" t="n">
        <v>0.6437976437976438</v>
      </c>
      <c r="K1985" t="n">
        <v>0.0249540324855467</v>
      </c>
      <c r="L1985" t="b">
        <v>0</v>
      </c>
      <c r="M1985" t="b">
        <v>0</v>
      </c>
      <c r="N1985" t="inlineStr">
        <is>
          <t>ref</t>
        </is>
      </c>
      <c r="O1985" t="n">
        <v>-100</v>
      </c>
      <c r="P1985" t="n">
        <v>0.02028</v>
      </c>
      <c r="Q1985" t="n">
        <v>90</v>
      </c>
      <c r="R1985" t="n">
        <v>0.0328</v>
      </c>
      <c r="S1985">
        <f>IMAGE("https://mitra.stanford.edu/kundaje/oak/projects/neuro-variants/variant_position/credible/roussos_2024/variant_figures/roussos_2024.adolescence.GLU/rs56197868_count_position.png",4,220,900)</f>
        <v/>
      </c>
      <c r="T1985">
        <f>IMAGE("https://mitra.stanford.edu/kundaje/oak/projects/neuro-variants/variant_position/credible/roussos_2024/variant_figures/roussos_2024.adolescence.GLU/rs56197868_profile_position.png",4,220,900)</f>
        <v/>
      </c>
    </row>
    <row r="1986">
      <c r="A1986" t="inlineStr">
        <is>
          <t>chr18</t>
        </is>
      </c>
      <c r="B1986" t="n">
        <v>79881226</v>
      </c>
      <c r="C1986" t="inlineStr">
        <is>
          <t>A</t>
        </is>
      </c>
      <c r="D1986" t="inlineStr">
        <is>
          <t>G</t>
        </is>
      </c>
      <c r="E1986" t="inlineStr">
        <is>
          <t>rs4239346</t>
        </is>
      </c>
      <c r="F1986" t="n">
        <v>0.0542263554</v>
      </c>
      <c r="G1986" t="n">
        <v>0.0491148528404126</v>
      </c>
      <c r="H1986" t="n">
        <v>0.0109951956092312</v>
      </c>
      <c r="I1986" t="n">
        <v>0.4036615221673272</v>
      </c>
      <c r="J1986" t="n">
        <v>0.6499046231004993</v>
      </c>
      <c r="K1986" t="n">
        <v>0.0237925336138662</v>
      </c>
      <c r="L1986" t="b">
        <v>0</v>
      </c>
      <c r="M1986" t="b">
        <v>0</v>
      </c>
      <c r="N1986" t="inlineStr">
        <is>
          <t>alt</t>
        </is>
      </c>
      <c r="O1986" t="n">
        <v>85</v>
      </c>
      <c r="P1986" t="n">
        <v>0.0227</v>
      </c>
      <c r="Q1986" t="n">
        <v>35</v>
      </c>
      <c r="R1986" t="n">
        <v>0.12256</v>
      </c>
      <c r="S1986">
        <f>IMAGE("https://mitra.stanford.edu/kundaje/oak/projects/neuro-variants/variant_position/credible/roussos_2024/variant_figures/roussos_2024.adolescence.GLU/rs4239346_count_position.png",4,220,900)</f>
        <v/>
      </c>
      <c r="T1986">
        <f>IMAGE("https://mitra.stanford.edu/kundaje/oak/projects/neuro-variants/variant_position/credible/roussos_2024/variant_figures/roussos_2024.adolescence.GLU/rs4239346_profile_position.png",4,220,900)</f>
        <v/>
      </c>
    </row>
    <row r="1987">
      <c r="A1987" t="inlineStr">
        <is>
          <t>chr18</t>
        </is>
      </c>
      <c r="B1987" t="n">
        <v>79881902</v>
      </c>
      <c r="C1987" t="inlineStr">
        <is>
          <t>C</t>
        </is>
      </c>
      <c r="D1987" t="inlineStr">
        <is>
          <t>G</t>
        </is>
      </c>
      <c r="E1987" t="inlineStr">
        <is>
          <t>rs11662267</t>
        </is>
      </c>
      <c r="F1987" t="n">
        <v>0.0300533386</v>
      </c>
      <c r="G1987" t="n">
        <v>0.1745291544056948</v>
      </c>
      <c r="H1987" t="n">
        <v>0.009366791305814</v>
      </c>
      <c r="I1987" t="n">
        <v>0.5770251274396619</v>
      </c>
      <c r="J1987" t="n">
        <v>0.5538961642054425</v>
      </c>
      <c r="K1987" t="n">
        <v>0.0578828609597885</v>
      </c>
      <c r="L1987" t="b">
        <v>0</v>
      </c>
      <c r="M1987" t="b">
        <v>0</v>
      </c>
      <c r="N1987" t="inlineStr">
        <is>
          <t>alt</t>
        </is>
      </c>
      <c r="O1987" t="n">
        <v>90</v>
      </c>
      <c r="P1987" t="n">
        <v>0.01892</v>
      </c>
      <c r="Q1987" t="n">
        <v>0</v>
      </c>
      <c r="R1987" t="n">
        <v>0</v>
      </c>
      <c r="S1987">
        <f>IMAGE("https://mitra.stanford.edu/kundaje/oak/projects/neuro-variants/variant_position/credible/roussos_2024/variant_figures/roussos_2024.adolescence.GLU/rs11662267_count_position.png",4,220,900)</f>
        <v/>
      </c>
      <c r="T1987">
        <f>IMAGE("https://mitra.stanford.edu/kundaje/oak/projects/neuro-variants/variant_position/credible/roussos_2024/variant_figures/roussos_2024.adolescence.GLU/rs11662267_profile_position.png",4,220,900)</f>
        <v/>
      </c>
    </row>
    <row r="1988">
      <c r="A1988" t="inlineStr">
        <is>
          <t>chr18</t>
        </is>
      </c>
      <c r="B1988" t="n">
        <v>79956624</v>
      </c>
      <c r="C1988" t="inlineStr">
        <is>
          <t>G</t>
        </is>
      </c>
      <c r="D1988" t="inlineStr">
        <is>
          <t>A</t>
        </is>
      </c>
      <c r="E1988" t="inlineStr">
        <is>
          <t>rs12953577</t>
        </is>
      </c>
      <c r="F1988" t="n">
        <v>-0.0164793585199999</v>
      </c>
      <c r="G1988" t="n">
        <v>0.3884001544945584</v>
      </c>
      <c r="H1988" t="n">
        <v>0.008839011729657901</v>
      </c>
      <c r="I1988" t="n">
        <v>0.6171328695712723</v>
      </c>
      <c r="J1988" t="n">
        <v>0.1743132506019103</v>
      </c>
      <c r="K1988" t="n">
        <v>0.4442605280068405</v>
      </c>
      <c r="L1988" t="b">
        <v>0</v>
      </c>
      <c r="M1988" t="b">
        <v>0</v>
      </c>
      <c r="N1988" t="inlineStr">
        <is>
          <t>ref</t>
        </is>
      </c>
      <c r="O1988" t="n">
        <v>-10</v>
      </c>
      <c r="P1988" t="n">
        <v>0.00392</v>
      </c>
      <c r="Q1988" t="n">
        <v>-90</v>
      </c>
      <c r="R1988" t="n">
        <v>0.00293</v>
      </c>
      <c r="S1988">
        <f>IMAGE("https://mitra.stanford.edu/kundaje/oak/projects/neuro-variants/variant_position/credible/roussos_2024/variant_figures/roussos_2024.adolescence.GLU/rs12953577_count_position.png",4,220,900)</f>
        <v/>
      </c>
      <c r="T1988">
        <f>IMAGE("https://mitra.stanford.edu/kundaje/oak/projects/neuro-variants/variant_position/credible/roussos_2024/variant_figures/roussos_2024.adolescence.GLU/rs12953577_profile_position.png",4,220,900)</f>
        <v/>
      </c>
    </row>
    <row r="1989">
      <c r="A1989" t="inlineStr">
        <is>
          <t>chr19</t>
        </is>
      </c>
      <c r="B1989" t="n">
        <v>2129707</v>
      </c>
      <c r="C1989" t="inlineStr">
        <is>
          <t>A</t>
        </is>
      </c>
      <c r="D1989" t="inlineStr">
        <is>
          <t>G</t>
        </is>
      </c>
      <c r="E1989" t="inlineStr">
        <is>
          <t>rs56862829</t>
        </is>
      </c>
      <c r="F1989" t="n">
        <v>0.1118215884</v>
      </c>
      <c r="G1989" t="n">
        <v>0.0073797771382658</v>
      </c>
      <c r="H1989" t="n">
        <v>0.0225739977732139</v>
      </c>
      <c r="I1989" t="n">
        <v>0.0388302218639921</v>
      </c>
      <c r="J1989" t="n">
        <v>0.6958141329275349</v>
      </c>
      <c r="K1989" t="n">
        <v>0.0159201177269596</v>
      </c>
      <c r="L1989" t="b">
        <v>1</v>
      </c>
      <c r="M1989" t="b">
        <v>1</v>
      </c>
      <c r="N1989" t="inlineStr">
        <is>
          <t>alt</t>
        </is>
      </c>
      <c r="O1989" t="n">
        <v>-100</v>
      </c>
      <c r="P1989" t="n">
        <v>0.005627</v>
      </c>
      <c r="Q1989" t="n">
        <v>75</v>
      </c>
      <c r="R1989" t="n">
        <v>0.05884</v>
      </c>
      <c r="S1989">
        <f>IMAGE("https://mitra.stanford.edu/kundaje/oak/projects/neuro-variants/variant_position/credible/roussos_2024/variant_figures/roussos_2024.adolescence.GLU/rs56862829_count_position.png",4,220,900)</f>
        <v/>
      </c>
      <c r="T1989">
        <f>IMAGE("https://mitra.stanford.edu/kundaje/oak/projects/neuro-variants/variant_position/credible/roussos_2024/variant_figures/roussos_2024.adolescence.GLU/rs56862829_profile_position.png",4,220,900)</f>
        <v/>
      </c>
    </row>
    <row r="1990">
      <c r="A1990" t="inlineStr">
        <is>
          <t>chr19</t>
        </is>
      </c>
      <c r="B1990" t="n">
        <v>2131294</v>
      </c>
      <c r="C1990" t="inlineStr">
        <is>
          <t>C</t>
        </is>
      </c>
      <c r="D1990" t="inlineStr">
        <is>
          <t>T</t>
        </is>
      </c>
      <c r="E1990" t="inlineStr">
        <is>
          <t>rs72486339</t>
        </is>
      </c>
      <c r="F1990" t="n">
        <v>-0.0513255082</v>
      </c>
      <c r="G1990" t="n">
        <v>0.065020540172367</v>
      </c>
      <c r="H1990" t="n">
        <v>0.0116808359390156</v>
      </c>
      <c r="I1990" t="n">
        <v>0.3704627252544943</v>
      </c>
      <c r="J1990" t="n">
        <v>0.6437090540183323</v>
      </c>
      <c r="K1990" t="n">
        <v>0.0251234596111525</v>
      </c>
      <c r="L1990" t="b">
        <v>0</v>
      </c>
      <c r="M1990" t="b">
        <v>0</v>
      </c>
      <c r="N1990" t="inlineStr">
        <is>
          <t>ref</t>
        </is>
      </c>
      <c r="O1990" t="n">
        <v>-90</v>
      </c>
      <c r="P1990" t="n">
        <v>0.005066</v>
      </c>
      <c r="Q1990" t="n">
        <v>100</v>
      </c>
      <c r="R1990" t="n">
        <v>0.01013</v>
      </c>
      <c r="S1990">
        <f>IMAGE("https://mitra.stanford.edu/kundaje/oak/projects/neuro-variants/variant_position/credible/roussos_2024/variant_figures/roussos_2024.adolescence.GLU/rs72486339_count_position.png",4,220,900)</f>
        <v/>
      </c>
      <c r="T1990">
        <f>IMAGE("https://mitra.stanford.edu/kundaje/oak/projects/neuro-variants/variant_position/credible/roussos_2024/variant_figures/roussos_2024.adolescence.GLU/rs72486339_profile_position.png",4,220,900)</f>
        <v/>
      </c>
    </row>
    <row r="1991">
      <c r="A1991" t="inlineStr">
        <is>
          <t>chr19</t>
        </is>
      </c>
      <c r="B1991" t="n">
        <v>2141944</v>
      </c>
      <c r="C1991" t="inlineStr">
        <is>
          <t>A</t>
        </is>
      </c>
      <c r="D1991" t="inlineStr">
        <is>
          <t>G</t>
        </is>
      </c>
      <c r="E1991" t="inlineStr">
        <is>
          <t>rs117443676</t>
        </is>
      </c>
      <c r="F1991" t="n">
        <v>0.002922440208</v>
      </c>
      <c r="G1991" t="n">
        <v>0.7930465938558324</v>
      </c>
      <c r="H1991" t="n">
        <v>0.013834515166551</v>
      </c>
      <c r="I1991" t="n">
        <v>0.2177058602212246</v>
      </c>
      <c r="J1991" t="n">
        <v>0.0727850769087882</v>
      </c>
      <c r="K1991" t="n">
        <v>0.6467726288029935</v>
      </c>
      <c r="L1991" t="b">
        <v>0</v>
      </c>
      <c r="M1991" t="b">
        <v>0</v>
      </c>
      <c r="N1991" t="inlineStr">
        <is>
          <t>alt</t>
        </is>
      </c>
      <c r="O1991" t="n">
        <v>-45</v>
      </c>
      <c r="P1991" t="n">
        <v>0.005936</v>
      </c>
      <c r="Q1991" t="n">
        <v>100</v>
      </c>
      <c r="R1991" t="n">
        <v>0.0769</v>
      </c>
      <c r="S1991">
        <f>IMAGE("https://mitra.stanford.edu/kundaje/oak/projects/neuro-variants/variant_position/credible/roussos_2024/variant_figures/roussos_2024.adolescence.GLU/rs117443676_count_position.png",4,220,900)</f>
        <v/>
      </c>
      <c r="T1991">
        <f>IMAGE("https://mitra.stanford.edu/kundaje/oak/projects/neuro-variants/variant_position/credible/roussos_2024/variant_figures/roussos_2024.adolescence.GLU/rs117443676_profile_position.png",4,220,900)</f>
        <v/>
      </c>
    </row>
    <row r="1992">
      <c r="A1992" t="inlineStr">
        <is>
          <t>chr19</t>
        </is>
      </c>
      <c r="B1992" t="n">
        <v>2144047</v>
      </c>
      <c r="C1992" t="inlineStr">
        <is>
          <t>T</t>
        </is>
      </c>
      <c r="D1992" t="inlineStr">
        <is>
          <t>C</t>
        </is>
      </c>
      <c r="E1992" t="inlineStr">
        <is>
          <t>rs149339216</t>
        </is>
      </c>
      <c r="F1992" t="n">
        <v>-0.00340865416</v>
      </c>
      <c r="G1992" t="n">
        <v>0.695327167695727</v>
      </c>
      <c r="H1992" t="n">
        <v>0.0087448255012126</v>
      </c>
      <c r="I1992" t="n">
        <v>0.6966275858533693</v>
      </c>
      <c r="J1992" t="n">
        <v>0.4629587557422608</v>
      </c>
      <c r="K1992" t="n">
        <v>0.1143414796832237</v>
      </c>
      <c r="L1992" t="b">
        <v>0</v>
      </c>
      <c r="M1992" t="b">
        <v>0</v>
      </c>
      <c r="N1992" t="inlineStr">
        <is>
          <t>ref</t>
        </is>
      </c>
      <c r="O1992" t="n">
        <v>60</v>
      </c>
      <c r="P1992" t="n">
        <v>0.002869</v>
      </c>
      <c r="Q1992" t="n">
        <v>100</v>
      </c>
      <c r="R1992" t="n">
        <v>0.02472</v>
      </c>
      <c r="S1992">
        <f>IMAGE("https://mitra.stanford.edu/kundaje/oak/projects/neuro-variants/variant_position/credible/roussos_2024/variant_figures/roussos_2024.adolescence.GLU/rs149339216_count_position.png",4,220,900)</f>
        <v/>
      </c>
      <c r="T1992">
        <f>IMAGE("https://mitra.stanford.edu/kundaje/oak/projects/neuro-variants/variant_position/credible/roussos_2024/variant_figures/roussos_2024.adolescence.GLU/rs149339216_profile_position.png",4,220,900)</f>
        <v/>
      </c>
    </row>
    <row r="1993">
      <c r="A1993" t="inlineStr">
        <is>
          <t>chr19</t>
        </is>
      </c>
      <c r="B1993" t="n">
        <v>2149216</v>
      </c>
      <c r="C1993" t="inlineStr">
        <is>
          <t>G</t>
        </is>
      </c>
      <c r="D1993" t="inlineStr">
        <is>
          <t>A</t>
        </is>
      </c>
      <c r="E1993" t="inlineStr">
        <is>
          <t>rs75138150</t>
        </is>
      </c>
      <c r="F1993" t="n">
        <v>-0.106226096</v>
      </c>
      <c r="G1993" t="n">
        <v>0.0078646292712715</v>
      </c>
      <c r="H1993" t="n">
        <v>0.0256087731761316</v>
      </c>
      <c r="I1993" t="n">
        <v>0.0196349155231012</v>
      </c>
      <c r="J1993" t="n">
        <v>0.5801416007601575</v>
      </c>
      <c r="K1993" t="n">
        <v>0.0455781216613896</v>
      </c>
      <c r="L1993" t="b">
        <v>1</v>
      </c>
      <c r="M1993" t="b">
        <v>1</v>
      </c>
      <c r="N1993" t="inlineStr">
        <is>
          <t>ref</t>
        </is>
      </c>
      <c r="O1993" t="n">
        <v>-40</v>
      </c>
      <c r="P1993" t="n">
        <v>0.001921</v>
      </c>
      <c r="Q1993" t="n">
        <v>-50</v>
      </c>
      <c r="R1993" t="n">
        <v>0.0597</v>
      </c>
      <c r="S1993">
        <f>IMAGE("https://mitra.stanford.edu/kundaje/oak/projects/neuro-variants/variant_position/credible/roussos_2024/variant_figures/roussos_2024.adolescence.GLU/rs75138150_count_position.png",4,220,900)</f>
        <v/>
      </c>
      <c r="T1993">
        <f>IMAGE("https://mitra.stanford.edu/kundaje/oak/projects/neuro-variants/variant_position/credible/roussos_2024/variant_figures/roussos_2024.adolescence.GLU/rs75138150_profile_position.png",4,220,900)</f>
        <v/>
      </c>
    </row>
    <row r="1994">
      <c r="A1994" t="inlineStr">
        <is>
          <t>chr19</t>
        </is>
      </c>
      <c r="B1994" t="n">
        <v>2165384</v>
      </c>
      <c r="C1994" t="inlineStr">
        <is>
          <t>G</t>
        </is>
      </c>
      <c r="D1994" t="inlineStr">
        <is>
          <t>A</t>
        </is>
      </c>
      <c r="E1994" t="inlineStr">
        <is>
          <t>rs141958336</t>
        </is>
      </c>
      <c r="F1994" t="n">
        <v>0.0334048282</v>
      </c>
      <c r="G1994" t="n">
        <v>0.1376904819251353</v>
      </c>
      <c r="H1994" t="n">
        <v>0.0185430243050963</v>
      </c>
      <c r="I1994" t="n">
        <v>0.0754979955816794</v>
      </c>
      <c r="J1994" t="n">
        <v>0.7906609226196856</v>
      </c>
      <c r="K1994" t="n">
        <v>0.0081891274372072</v>
      </c>
      <c r="L1994" t="b">
        <v>0</v>
      </c>
      <c r="M1994" t="b">
        <v>0</v>
      </c>
      <c r="N1994" t="inlineStr">
        <is>
          <t>alt</t>
        </is>
      </c>
      <c r="O1994" t="n">
        <v>-100</v>
      </c>
      <c r="P1994" t="n">
        <v>0.01073</v>
      </c>
      <c r="Q1994" t="n">
        <v>-100</v>
      </c>
      <c r="R1994" t="n">
        <v>0.10754</v>
      </c>
      <c r="S1994">
        <f>IMAGE("https://mitra.stanford.edu/kundaje/oak/projects/neuro-variants/variant_position/credible/roussos_2024/variant_figures/roussos_2024.adolescence.GLU/rs141958336_count_position.png",4,220,900)</f>
        <v/>
      </c>
      <c r="T1994">
        <f>IMAGE("https://mitra.stanford.edu/kundaje/oak/projects/neuro-variants/variant_position/credible/roussos_2024/variant_figures/roussos_2024.adolescence.GLU/rs141958336_profile_position.png",4,220,900)</f>
        <v/>
      </c>
    </row>
    <row r="1995">
      <c r="A1995" t="inlineStr">
        <is>
          <t>chr19</t>
        </is>
      </c>
      <c r="B1995" t="n">
        <v>2191797</v>
      </c>
      <c r="C1995" t="inlineStr">
        <is>
          <t>A</t>
        </is>
      </c>
      <c r="D1995" t="inlineStr">
        <is>
          <t>C</t>
        </is>
      </c>
      <c r="E1995" t="inlineStr">
        <is>
          <t>rs111785160</t>
        </is>
      </c>
      <c r="F1995" t="n">
        <v>0.0598084344</v>
      </c>
      <c r="G1995" t="n">
        <v>0.0424640582403686</v>
      </c>
      <c r="H1995" t="n">
        <v>0.0282749781394167</v>
      </c>
      <c r="I1995" t="n">
        <v>0.02106295627487</v>
      </c>
      <c r="J1995" t="n">
        <v>0.6493830864964886</v>
      </c>
      <c r="K1995" t="n">
        <v>0.0240099507088968</v>
      </c>
      <c r="L1995" t="b">
        <v>0</v>
      </c>
      <c r="M1995" t="b">
        <v>0</v>
      </c>
      <c r="N1995" t="inlineStr">
        <is>
          <t>alt</t>
        </is>
      </c>
      <c r="O1995" t="n">
        <v>-100</v>
      </c>
      <c r="P1995" t="n">
        <v>0.00861</v>
      </c>
      <c r="Q1995" t="n">
        <v>45</v>
      </c>
      <c r="R1995" t="n">
        <v>0.02313</v>
      </c>
      <c r="S1995">
        <f>IMAGE("https://mitra.stanford.edu/kundaje/oak/projects/neuro-variants/variant_position/credible/roussos_2024/variant_figures/roussos_2024.adolescence.GLU/rs111785160_count_position.png",4,220,900)</f>
        <v/>
      </c>
      <c r="T1995">
        <f>IMAGE("https://mitra.stanford.edu/kundaje/oak/projects/neuro-variants/variant_position/credible/roussos_2024/variant_figures/roussos_2024.adolescence.GLU/rs111785160_profile_position.png",4,220,900)</f>
        <v/>
      </c>
    </row>
    <row r="1996">
      <c r="A1996" t="inlineStr">
        <is>
          <t>chr19</t>
        </is>
      </c>
      <c r="B1996" t="n">
        <v>2196157</v>
      </c>
      <c r="C1996" t="inlineStr">
        <is>
          <t>C</t>
        </is>
      </c>
      <c r="D1996" t="inlineStr">
        <is>
          <t>T</t>
        </is>
      </c>
      <c r="E1996" t="inlineStr">
        <is>
          <t>rs77188636</t>
        </is>
      </c>
      <c r="F1996" t="n">
        <v>-0.0374095894</v>
      </c>
      <c r="G1996" t="n">
        <v>0.1289666535234251</v>
      </c>
      <c r="H1996" t="n">
        <v>0.0114672849650691</v>
      </c>
      <c r="I1996" t="n">
        <v>0.3795474000365987</v>
      </c>
      <c r="J1996" t="n">
        <v>0.5993970179537189</v>
      </c>
      <c r="K1996" t="n">
        <v>0.0382665201135161</v>
      </c>
      <c r="L1996" t="b">
        <v>0</v>
      </c>
      <c r="M1996" t="b">
        <v>0</v>
      </c>
      <c r="N1996" t="inlineStr">
        <is>
          <t>ref</t>
        </is>
      </c>
      <c r="O1996" t="n">
        <v>80</v>
      </c>
      <c r="P1996" t="n">
        <v>0.002676</v>
      </c>
      <c r="Q1996" t="n">
        <v>-60</v>
      </c>
      <c r="R1996" t="n">
        <v>0.09660000000000001</v>
      </c>
      <c r="S1996">
        <f>IMAGE("https://mitra.stanford.edu/kundaje/oak/projects/neuro-variants/variant_position/credible/roussos_2024/variant_figures/roussos_2024.adolescence.GLU/rs77188636_count_position.png",4,220,900)</f>
        <v/>
      </c>
      <c r="T1996">
        <f>IMAGE("https://mitra.stanford.edu/kundaje/oak/projects/neuro-variants/variant_position/credible/roussos_2024/variant_figures/roussos_2024.adolescence.GLU/rs77188636_profile_position.png",4,220,900)</f>
        <v/>
      </c>
    </row>
    <row r="1997">
      <c r="A1997" t="inlineStr">
        <is>
          <t>chr19</t>
        </is>
      </c>
      <c r="B1997" t="n">
        <v>2279747</v>
      </c>
      <c r="C1997" t="inlineStr">
        <is>
          <t>C</t>
        </is>
      </c>
      <c r="D1997" t="inlineStr">
        <is>
          <t>T</t>
        </is>
      </c>
      <c r="E1997" t="inlineStr">
        <is>
          <t>rs62119705</t>
        </is>
      </c>
      <c r="F1997" t="n">
        <v>-0.0858171466</v>
      </c>
      <c r="G1997" t="n">
        <v>0.0146913795887004</v>
      </c>
      <c r="H1997" t="n">
        <v>0.0145393494339862</v>
      </c>
      <c r="I1997" t="n">
        <v>0.1888329004656378</v>
      </c>
      <c r="J1997" t="n">
        <v>0.3240199755663673</v>
      </c>
      <c r="K1997" t="n">
        <v>0.244790109542029</v>
      </c>
      <c r="L1997" t="b">
        <v>1</v>
      </c>
      <c r="M1997" t="b">
        <v>0</v>
      </c>
      <c r="N1997" t="inlineStr">
        <is>
          <t>ref</t>
        </is>
      </c>
      <c r="O1997" t="n">
        <v>-100</v>
      </c>
      <c r="P1997" t="n">
        <v>0.00547</v>
      </c>
      <c r="Q1997" t="n">
        <v>-25</v>
      </c>
      <c r="R1997" t="n">
        <v>0.02423</v>
      </c>
      <c r="S1997">
        <f>IMAGE("https://mitra.stanford.edu/kundaje/oak/projects/neuro-variants/variant_position/credible/roussos_2024/variant_figures/roussos_2024.adolescence.GLU/rs62119705_count_position.png",4,220,900)</f>
        <v/>
      </c>
      <c r="T1997">
        <f>IMAGE("https://mitra.stanford.edu/kundaje/oak/projects/neuro-variants/variant_position/credible/roussos_2024/variant_figures/roussos_2024.adolescence.GLU/rs62119705_profile_position.png",4,220,900)</f>
        <v/>
      </c>
    </row>
    <row r="1998">
      <c r="A1998" t="inlineStr">
        <is>
          <t>chr19</t>
        </is>
      </c>
      <c r="B1998" t="n">
        <v>4957122</v>
      </c>
      <c r="C1998" t="inlineStr">
        <is>
          <t>G</t>
        </is>
      </c>
      <c r="D1998" t="inlineStr">
        <is>
          <t>A</t>
        </is>
      </c>
      <c r="E1998" t="inlineStr">
        <is>
          <t>rs4807003</t>
        </is>
      </c>
      <c r="F1998" t="n">
        <v>-0.01258196472</v>
      </c>
      <c r="G1998" t="n">
        <v>0.4567052394487979</v>
      </c>
      <c r="H1998" t="n">
        <v>0.0108925245517611</v>
      </c>
      <c r="I1998" t="n">
        <v>0.4540512329510881</v>
      </c>
      <c r="J1998" t="n">
        <v>0.4636360388937708</v>
      </c>
      <c r="K1998" t="n">
        <v>0.1138377516171944</v>
      </c>
      <c r="L1998" t="b">
        <v>0</v>
      </c>
      <c r="M1998" t="b">
        <v>0</v>
      </c>
      <c r="N1998" t="inlineStr">
        <is>
          <t>ref</t>
        </is>
      </c>
      <c r="O1998" t="n">
        <v>85</v>
      </c>
      <c r="P1998" t="n">
        <v>0.0664</v>
      </c>
      <c r="Q1998" t="n">
        <v>-100</v>
      </c>
      <c r="R1998" t="n">
        <v>0.08124000000000001</v>
      </c>
      <c r="S1998">
        <f>IMAGE("https://mitra.stanford.edu/kundaje/oak/projects/neuro-variants/variant_position/credible/roussos_2024/variant_figures/roussos_2024.adolescence.GLU/rs4807003_count_position.png",4,220,900)</f>
        <v/>
      </c>
      <c r="T1998">
        <f>IMAGE("https://mitra.stanford.edu/kundaje/oak/projects/neuro-variants/variant_position/credible/roussos_2024/variant_figures/roussos_2024.adolescence.GLU/rs4807003_profile_position.png",4,220,900)</f>
        <v/>
      </c>
    </row>
    <row r="1999">
      <c r="A1999" t="inlineStr">
        <is>
          <t>chr19</t>
        </is>
      </c>
      <c r="B1999" t="n">
        <v>4966030</v>
      </c>
      <c r="C1999" t="inlineStr">
        <is>
          <t>C</t>
        </is>
      </c>
      <c r="D1999" t="inlineStr">
        <is>
          <t>T</t>
        </is>
      </c>
      <c r="E1999" t="inlineStr">
        <is>
          <t>rs35502362</t>
        </is>
      </c>
      <c r="F1999" t="n">
        <v>0.0183394052</v>
      </c>
      <c r="G1999" t="n">
        <v>0.3137765429150198</v>
      </c>
      <c r="H1999" t="n">
        <v>0.0109761617988506</v>
      </c>
      <c r="I1999" t="n">
        <v>0.4051496516884478</v>
      </c>
      <c r="J1999" t="n">
        <v>0.203589314929521</v>
      </c>
      <c r="K1999" t="n">
        <v>0.3993024231237943</v>
      </c>
      <c r="L1999" t="b">
        <v>0</v>
      </c>
      <c r="M1999" t="b">
        <v>0</v>
      </c>
      <c r="N1999" t="inlineStr">
        <is>
          <t>alt</t>
        </is>
      </c>
      <c r="O1999" t="n">
        <v>75</v>
      </c>
      <c r="P1999" t="n">
        <v>0.006542</v>
      </c>
      <c r="Q1999" t="n">
        <v>-10</v>
      </c>
      <c r="R1999" t="n">
        <v>0.008240000000000001</v>
      </c>
      <c r="S1999">
        <f>IMAGE("https://mitra.stanford.edu/kundaje/oak/projects/neuro-variants/variant_position/credible/roussos_2024/variant_figures/roussos_2024.adolescence.GLU/rs35502362_count_position.png",4,220,900)</f>
        <v/>
      </c>
      <c r="T1999">
        <f>IMAGE("https://mitra.stanford.edu/kundaje/oak/projects/neuro-variants/variant_position/credible/roussos_2024/variant_figures/roussos_2024.adolescence.GLU/rs35502362_profile_position.png",4,220,900)</f>
        <v/>
      </c>
    </row>
    <row r="2000">
      <c r="A2000" t="inlineStr">
        <is>
          <t>chr19</t>
        </is>
      </c>
      <c r="B2000" t="n">
        <v>5020463</v>
      </c>
      <c r="C2000" t="inlineStr">
        <is>
          <t>G</t>
        </is>
      </c>
      <c r="D2000" t="inlineStr">
        <is>
          <t>A</t>
        </is>
      </c>
      <c r="E2000" t="inlineStr">
        <is>
          <t>rs34009962</t>
        </is>
      </c>
      <c r="F2000" t="n">
        <v>-0.0387213826</v>
      </c>
      <c r="G2000" t="n">
        <v>0.1151448651803385</v>
      </c>
      <c r="H2000" t="n">
        <v>0.010433332511418</v>
      </c>
      <c r="I2000" t="n">
        <v>0.4875993886544413</v>
      </c>
      <c r="J2000" t="n">
        <v>0.4743696908645362</v>
      </c>
      <c r="K2000" t="n">
        <v>0.1047991957370322</v>
      </c>
      <c r="L2000" t="b">
        <v>0</v>
      </c>
      <c r="M2000" t="b">
        <v>0</v>
      </c>
      <c r="N2000" t="inlineStr">
        <is>
          <t>ref</t>
        </is>
      </c>
      <c r="O2000" t="n">
        <v>10</v>
      </c>
      <c r="P2000" t="n">
        <v>0.00012016</v>
      </c>
      <c r="Q2000" t="n">
        <v>85</v>
      </c>
      <c r="R2000" t="n">
        <v>0.05103</v>
      </c>
      <c r="S2000">
        <f>IMAGE("https://mitra.stanford.edu/kundaje/oak/projects/neuro-variants/variant_position/credible/roussos_2024/variant_figures/roussos_2024.adolescence.GLU/rs34009962_count_position.png",4,220,900)</f>
        <v/>
      </c>
      <c r="T2000">
        <f>IMAGE("https://mitra.stanford.edu/kundaje/oak/projects/neuro-variants/variant_position/credible/roussos_2024/variant_figures/roussos_2024.adolescence.GLU/rs34009962_profile_position.png",4,220,900)</f>
        <v/>
      </c>
    </row>
    <row r="2001">
      <c r="A2001" t="inlineStr">
        <is>
          <t>chr19</t>
        </is>
      </c>
      <c r="B2001" t="n">
        <v>11270403</v>
      </c>
      <c r="C2001" t="inlineStr">
        <is>
          <t>A</t>
        </is>
      </c>
      <c r="D2001" t="inlineStr">
        <is>
          <t>G</t>
        </is>
      </c>
      <c r="E2001" t="inlineStr">
        <is>
          <t>rs113848170</t>
        </is>
      </c>
      <c r="F2001" t="n">
        <v>0.0779617558</v>
      </c>
      <c r="G2001" t="n">
        <v>0.0148100764372185</v>
      </c>
      <c r="H2001" t="n">
        <v>0.0162574127184334</v>
      </c>
      <c r="I2001" t="n">
        <v>0.1234827872801303</v>
      </c>
      <c r="J2001" t="n">
        <v>0.2482928606639946</v>
      </c>
      <c r="K2001" t="n">
        <v>0.3359593392714105</v>
      </c>
      <c r="L2001" t="b">
        <v>1</v>
      </c>
      <c r="M2001" t="b">
        <v>0</v>
      </c>
      <c r="N2001" t="inlineStr">
        <is>
          <t>alt</t>
        </is>
      </c>
      <c r="O2001" t="n">
        <v>-65</v>
      </c>
      <c r="P2001" t="n">
        <v>0.0193</v>
      </c>
      <c r="Q2001" t="n">
        <v>-100</v>
      </c>
      <c r="R2001" t="n">
        <v>0.03665</v>
      </c>
      <c r="S2001">
        <f>IMAGE("https://mitra.stanford.edu/kundaje/oak/projects/neuro-variants/variant_position/credible/roussos_2024/variant_figures/roussos_2024.adolescence.GLU/rs113848170_count_position.png",4,220,900)</f>
        <v/>
      </c>
      <c r="T2001">
        <f>IMAGE("https://mitra.stanford.edu/kundaje/oak/projects/neuro-variants/variant_position/credible/roussos_2024/variant_figures/roussos_2024.adolescence.GLU/rs113848170_profile_position.png",4,220,900)</f>
        <v/>
      </c>
    </row>
    <row r="2002">
      <c r="A2002" t="inlineStr">
        <is>
          <t>chr19</t>
        </is>
      </c>
      <c r="B2002" t="n">
        <v>19370570</v>
      </c>
      <c r="C2002" t="inlineStr">
        <is>
          <t>G</t>
        </is>
      </c>
      <c r="D2002" t="inlineStr">
        <is>
          <t>T</t>
        </is>
      </c>
      <c r="E2002" t="inlineStr">
        <is>
          <t>rs34538000</t>
        </is>
      </c>
      <c r="F2002" t="n">
        <v>-0.002406282138</v>
      </c>
      <c r="G2002" t="n">
        <v>0.8702520924324729</v>
      </c>
      <c r="H2002" t="n">
        <v>0.0281433987802051</v>
      </c>
      <c r="I2002" t="n">
        <v>0.0114018495915341</v>
      </c>
      <c r="J2002" t="n">
        <v>0.0695944159861685</v>
      </c>
      <c r="K2002" t="n">
        <v>0.6557567766682451</v>
      </c>
      <c r="L2002" t="b">
        <v>1</v>
      </c>
      <c r="M2002" t="b">
        <v>0</v>
      </c>
      <c r="N2002" t="inlineStr">
        <is>
          <t>ref</t>
        </is>
      </c>
      <c r="O2002" t="n">
        <v>75</v>
      </c>
      <c r="P2002" t="n">
        <v>0.0108</v>
      </c>
      <c r="Q2002" t="n">
        <v>-50</v>
      </c>
      <c r="R2002" t="n">
        <v>0.02539</v>
      </c>
      <c r="S2002">
        <f>IMAGE("https://mitra.stanford.edu/kundaje/oak/projects/neuro-variants/variant_position/credible/roussos_2024/variant_figures/roussos_2024.adolescence.GLU/rs34538000_count_position.png",4,220,900)</f>
        <v/>
      </c>
      <c r="T2002">
        <f>IMAGE("https://mitra.stanford.edu/kundaje/oak/projects/neuro-variants/variant_position/credible/roussos_2024/variant_figures/roussos_2024.adolescence.GLU/rs34538000_profile_position.png",4,220,900)</f>
        <v/>
      </c>
    </row>
    <row r="2003">
      <c r="A2003" t="inlineStr">
        <is>
          <t>chr19</t>
        </is>
      </c>
      <c r="B2003" t="n">
        <v>19381164</v>
      </c>
      <c r="C2003" t="inlineStr">
        <is>
          <t>T</t>
        </is>
      </c>
      <c r="D2003" t="inlineStr">
        <is>
          <t>C</t>
        </is>
      </c>
      <c r="E2003" t="inlineStr">
        <is>
          <t>rs2965180</t>
        </is>
      </c>
      <c r="F2003" t="n">
        <v>0.1081283092</v>
      </c>
      <c r="G2003" t="n">
        <v>0.0061440871427512</v>
      </c>
      <c r="H2003" t="n">
        <v>0.0232128484267593</v>
      </c>
      <c r="I2003" t="n">
        <v>0.0360359417335929</v>
      </c>
      <c r="J2003" t="n">
        <v>0.144574233234027</v>
      </c>
      <c r="K2003" t="n">
        <v>0.4963094978504528</v>
      </c>
      <c r="L2003" t="b">
        <v>1</v>
      </c>
      <c r="M2003" t="b">
        <v>1</v>
      </c>
      <c r="N2003" t="inlineStr">
        <is>
          <t>alt</t>
        </is>
      </c>
      <c r="O2003" t="n">
        <v>80</v>
      </c>
      <c r="P2003" t="n">
        <v>0.01053</v>
      </c>
      <c r="Q2003" t="n">
        <v>10</v>
      </c>
      <c r="R2003" t="n">
        <v>0.009350000000000001</v>
      </c>
      <c r="S2003">
        <f>IMAGE("https://mitra.stanford.edu/kundaje/oak/projects/neuro-variants/variant_position/credible/roussos_2024/variant_figures/roussos_2024.adolescence.GLU/rs2965180_count_position.png",4,220,900)</f>
        <v/>
      </c>
      <c r="T2003">
        <f>IMAGE("https://mitra.stanford.edu/kundaje/oak/projects/neuro-variants/variant_position/credible/roussos_2024/variant_figures/roussos_2024.adolescence.GLU/rs2965180_profile_position.png",4,220,900)</f>
        <v/>
      </c>
    </row>
    <row r="2004">
      <c r="A2004" t="inlineStr">
        <is>
          <t>chr19</t>
        </is>
      </c>
      <c r="B2004" t="n">
        <v>19417515</v>
      </c>
      <c r="C2004" t="inlineStr">
        <is>
          <t>T</t>
        </is>
      </c>
      <c r="D2004" t="inlineStr">
        <is>
          <t>G</t>
        </is>
      </c>
      <c r="E2004" t="inlineStr">
        <is>
          <t>rs2916073</t>
        </is>
      </c>
      <c r="F2004" t="n">
        <v>0.0250999874</v>
      </c>
      <c r="G2004" t="n">
        <v>0.2202934139392319</v>
      </c>
      <c r="H2004" t="n">
        <v>0.0086535010760281</v>
      </c>
      <c r="I2004" t="n">
        <v>0.7179764510239218</v>
      </c>
      <c r="J2004" t="n">
        <v>0.3578355516499846</v>
      </c>
      <c r="K2004" t="n">
        <v>0.2081803715881919</v>
      </c>
      <c r="L2004" t="b">
        <v>0</v>
      </c>
      <c r="M2004" t="b">
        <v>0</v>
      </c>
      <c r="N2004" t="inlineStr">
        <is>
          <t>alt</t>
        </is>
      </c>
      <c r="O2004" t="n">
        <v>-100</v>
      </c>
      <c r="P2004" t="n">
        <v>0.007103</v>
      </c>
      <c r="Q2004" t="n">
        <v>-40</v>
      </c>
      <c r="R2004" t="n">
        <v>0.039</v>
      </c>
      <c r="S2004">
        <f>IMAGE("https://mitra.stanford.edu/kundaje/oak/projects/neuro-variants/variant_position/credible/roussos_2024/variant_figures/roussos_2024.adolescence.GLU/rs2916073_count_position.png",4,220,900)</f>
        <v/>
      </c>
      <c r="T2004">
        <f>IMAGE("https://mitra.stanford.edu/kundaje/oak/projects/neuro-variants/variant_position/credible/roussos_2024/variant_figures/roussos_2024.adolescence.GLU/rs2916073_profile_position.png",4,220,900)</f>
        <v/>
      </c>
    </row>
    <row r="2005">
      <c r="A2005" t="inlineStr">
        <is>
          <t>chr19</t>
        </is>
      </c>
      <c r="B2005" t="n">
        <v>19417997</v>
      </c>
      <c r="C2005" t="inlineStr">
        <is>
          <t>A</t>
        </is>
      </c>
      <c r="D2005" t="inlineStr">
        <is>
          <t>G</t>
        </is>
      </c>
      <c r="E2005" t="inlineStr">
        <is>
          <t>rs1469713</t>
        </is>
      </c>
      <c r="F2005" t="n">
        <v>0.0516674656</v>
      </c>
      <c r="G2005" t="n">
        <v>0.0573166046706</v>
      </c>
      <c r="H2005" t="n">
        <v>0.0123037432121192</v>
      </c>
      <c r="I2005" t="n">
        <v>0.3234682085161264</v>
      </c>
      <c r="J2005" t="n">
        <v>0.3783740917761536</v>
      </c>
      <c r="K2005" t="n">
        <v>0.1863473754563687</v>
      </c>
      <c r="L2005" t="b">
        <v>0</v>
      </c>
      <c r="M2005" t="b">
        <v>0</v>
      </c>
      <c r="N2005" t="inlineStr">
        <is>
          <t>alt</t>
        </is>
      </c>
      <c r="O2005" t="n">
        <v>-15</v>
      </c>
      <c r="P2005" t="n">
        <v>0.0004122</v>
      </c>
      <c r="Q2005" t="n">
        <v>65</v>
      </c>
      <c r="R2005" t="n">
        <v>0.01953</v>
      </c>
      <c r="S2005">
        <f>IMAGE("https://mitra.stanford.edu/kundaje/oak/projects/neuro-variants/variant_position/credible/roussos_2024/variant_figures/roussos_2024.adolescence.GLU/rs1469713_count_position.png",4,220,900)</f>
        <v/>
      </c>
      <c r="T2005">
        <f>IMAGE("https://mitra.stanford.edu/kundaje/oak/projects/neuro-variants/variant_position/credible/roussos_2024/variant_figures/roussos_2024.adolescence.GLU/rs1469713_profile_position.png",4,220,900)</f>
        <v/>
      </c>
    </row>
    <row r="2006">
      <c r="A2006" t="inlineStr">
        <is>
          <t>chr19</t>
        </is>
      </c>
      <c r="B2006" t="n">
        <v>19468237</v>
      </c>
      <c r="C2006" t="inlineStr">
        <is>
          <t>T</t>
        </is>
      </c>
      <c r="D2006" t="inlineStr">
        <is>
          <t>G</t>
        </is>
      </c>
      <c r="E2006" t="inlineStr">
        <is>
          <t>rs10405625</t>
        </is>
      </c>
      <c r="F2006" t="n">
        <v>0.00474494692</v>
      </c>
      <c r="G2006" t="n">
        <v>0.5535568602371572</v>
      </c>
      <c r="H2006" t="n">
        <v>0.009044168879158401</v>
      </c>
      <c r="I2006" t="n">
        <v>0.63552687876666</v>
      </c>
      <c r="J2006" t="n">
        <v>0.2194854648462895</v>
      </c>
      <c r="K2006" t="n">
        <v>0.3726049769604125</v>
      </c>
      <c r="L2006" t="b">
        <v>0</v>
      </c>
      <c r="M2006" t="b">
        <v>0</v>
      </c>
      <c r="N2006" t="inlineStr">
        <is>
          <t>alt</t>
        </is>
      </c>
      <c r="O2006" t="n">
        <v>-100</v>
      </c>
      <c r="P2006" t="n">
        <v>0.02338</v>
      </c>
      <c r="Q2006" t="n">
        <v>20</v>
      </c>
      <c r="R2006" t="n">
        <v>0.00787</v>
      </c>
      <c r="S2006">
        <f>IMAGE("https://mitra.stanford.edu/kundaje/oak/projects/neuro-variants/variant_position/credible/roussos_2024/variant_figures/roussos_2024.adolescence.GLU/rs10405625_count_position.png",4,220,900)</f>
        <v/>
      </c>
      <c r="T2006">
        <f>IMAGE("https://mitra.stanford.edu/kundaje/oak/projects/neuro-variants/variant_position/credible/roussos_2024/variant_figures/roussos_2024.adolescence.GLU/rs10405625_profile_position.png",4,220,900)</f>
        <v/>
      </c>
    </row>
    <row r="2007">
      <c r="A2007" t="inlineStr">
        <is>
          <t>chr19</t>
        </is>
      </c>
      <c r="B2007" t="n">
        <v>19505217</v>
      </c>
      <c r="C2007" t="inlineStr">
        <is>
          <t>T</t>
        </is>
      </c>
      <c r="D2007" t="inlineStr">
        <is>
          <t>C</t>
        </is>
      </c>
      <c r="E2007" t="inlineStr">
        <is>
          <t>rs3752151</t>
        </is>
      </c>
      <c r="F2007" t="n">
        <v>0.0446491646</v>
      </c>
      <c r="G2007" t="n">
        <v>0.0788315370031385</v>
      </c>
      <c r="H2007" t="n">
        <v>0.009902990261525701</v>
      </c>
      <c r="I2007" t="n">
        <v>0.5182269473627732</v>
      </c>
      <c r="J2007" t="n">
        <v>0.5253245315100985</v>
      </c>
      <c r="K2007" t="n">
        <v>0.0735549257900182</v>
      </c>
      <c r="L2007" t="b">
        <v>0</v>
      </c>
      <c r="M2007" t="b">
        <v>0</v>
      </c>
      <c r="N2007" t="inlineStr">
        <is>
          <t>alt</t>
        </is>
      </c>
      <c r="O2007" t="n">
        <v>50</v>
      </c>
      <c r="P2007" t="n">
        <v>0.0017605</v>
      </c>
      <c r="Q2007" t="n">
        <v>65</v>
      </c>
      <c r="R2007" t="n">
        <v>0.14</v>
      </c>
      <c r="S2007">
        <f>IMAGE("https://mitra.stanford.edu/kundaje/oak/projects/neuro-variants/variant_position/credible/roussos_2024/variant_figures/roussos_2024.adolescence.GLU/rs3752151_count_position.png",4,220,900)</f>
        <v/>
      </c>
      <c r="T2007">
        <f>IMAGE("https://mitra.stanford.edu/kundaje/oak/projects/neuro-variants/variant_position/credible/roussos_2024/variant_figures/roussos_2024.adolescence.GLU/rs3752151_profile_position.png",4,220,900)</f>
        <v/>
      </c>
    </row>
    <row r="2008">
      <c r="A2008" t="inlineStr">
        <is>
          <t>chr19</t>
        </is>
      </c>
      <c r="B2008" t="n">
        <v>19508508</v>
      </c>
      <c r="C2008" t="inlineStr">
        <is>
          <t>T</t>
        </is>
      </c>
      <c r="D2008" t="inlineStr">
        <is>
          <t>C</t>
        </is>
      </c>
      <c r="E2008" t="inlineStr">
        <is>
          <t>rs10282</t>
        </is>
      </c>
      <c r="F2008" t="n">
        <v>0.084742652</v>
      </c>
      <c r="G2008" t="n">
        <v>0.0144129124062322</v>
      </c>
      <c r="H2008" t="n">
        <v>0.0177341357865639</v>
      </c>
      <c r="I2008" t="n">
        <v>0.0923104737595254</v>
      </c>
      <c r="J2008" t="n">
        <v>0.5331547249073022</v>
      </c>
      <c r="K2008" t="n">
        <v>0.0692215336415164</v>
      </c>
      <c r="L2008" t="b">
        <v>1</v>
      </c>
      <c r="M2008" t="b">
        <v>0</v>
      </c>
      <c r="N2008" t="inlineStr">
        <is>
          <t>alt</t>
        </is>
      </c>
      <c r="O2008" t="n">
        <v>-15</v>
      </c>
      <c r="P2008" t="n">
        <v>0.001801</v>
      </c>
      <c r="Q2008" t="n">
        <v>-10</v>
      </c>
      <c r="R2008" t="n">
        <v>0.0381</v>
      </c>
      <c r="S2008">
        <f>IMAGE("https://mitra.stanford.edu/kundaje/oak/projects/neuro-variants/variant_position/credible/roussos_2024/variant_figures/roussos_2024.adolescence.GLU/rs10282_count_position.png",4,220,900)</f>
        <v/>
      </c>
      <c r="T2008">
        <f>IMAGE("https://mitra.stanford.edu/kundaje/oak/projects/neuro-variants/variant_position/credible/roussos_2024/variant_figures/roussos_2024.adolescence.GLU/rs10282_profile_position.png",4,220,900)</f>
        <v/>
      </c>
    </row>
    <row r="2009">
      <c r="A2009" t="inlineStr">
        <is>
          <t>chr19</t>
        </is>
      </c>
      <c r="B2009" t="n">
        <v>19520635</v>
      </c>
      <c r="C2009" t="inlineStr">
        <is>
          <t>A</t>
        </is>
      </c>
      <c r="D2009" t="inlineStr">
        <is>
          <t>T</t>
        </is>
      </c>
      <c r="E2009" t="inlineStr">
        <is>
          <t>rs7253807</t>
        </is>
      </c>
      <c r="F2009" t="n">
        <v>-0.0056917755</v>
      </c>
      <c r="G2009" t="n">
        <v>0.7126420287652863</v>
      </c>
      <c r="H2009" t="n">
        <v>0.0244772036127608</v>
      </c>
      <c r="I2009" t="n">
        <v>0.0226388204341018</v>
      </c>
      <c r="J2009" t="n">
        <v>0.113132005915511</v>
      </c>
      <c r="K2009" t="n">
        <v>0.5547012617272969</v>
      </c>
      <c r="L2009" t="b">
        <v>0</v>
      </c>
      <c r="M2009" t="b">
        <v>0</v>
      </c>
      <c r="N2009" t="inlineStr">
        <is>
          <t>ref</t>
        </is>
      </c>
      <c r="O2009" t="n">
        <v>-90</v>
      </c>
      <c r="P2009" t="n">
        <v>0.002974</v>
      </c>
      <c r="Q2009" t="n">
        <v>40</v>
      </c>
      <c r="R2009" t="n">
        <v>0.07630000000000001</v>
      </c>
      <c r="S2009">
        <f>IMAGE("https://mitra.stanford.edu/kundaje/oak/projects/neuro-variants/variant_position/credible/roussos_2024/variant_figures/roussos_2024.adolescence.GLU/rs7253807_count_position.png",4,220,900)</f>
        <v/>
      </c>
      <c r="T2009">
        <f>IMAGE("https://mitra.stanford.edu/kundaje/oak/projects/neuro-variants/variant_position/credible/roussos_2024/variant_figures/roussos_2024.adolescence.GLU/rs7253807_profile_position.png",4,220,900)</f>
        <v/>
      </c>
    </row>
    <row r="2010">
      <c r="A2010" t="inlineStr">
        <is>
          <t>chr19</t>
        </is>
      </c>
      <c r="B2010" t="n">
        <v>19546823</v>
      </c>
      <c r="C2010" t="inlineStr">
        <is>
          <t>A</t>
        </is>
      </c>
      <c r="D2010" t="inlineStr">
        <is>
          <t>C</t>
        </is>
      </c>
      <c r="E2010" t="inlineStr">
        <is>
          <t>rs7245983</t>
        </is>
      </c>
      <c r="F2010" t="n">
        <v>0.00015288212</v>
      </c>
      <c r="G2010" t="n">
        <v>0.7966258789199189</v>
      </c>
      <c r="H2010" t="n">
        <v>0.009994055655014</v>
      </c>
      <c r="I2010" t="n">
        <v>0.5409003478121232</v>
      </c>
      <c r="J2010" t="n">
        <v>0.5725914653749704</v>
      </c>
      <c r="K2010" t="n">
        <v>0.0483475857734324</v>
      </c>
      <c r="L2010" t="b">
        <v>0</v>
      </c>
      <c r="M2010" t="b">
        <v>0</v>
      </c>
      <c r="N2010" t="inlineStr">
        <is>
          <t>alt</t>
        </is>
      </c>
      <c r="O2010" t="n">
        <v>-85</v>
      </c>
      <c r="P2010" t="n">
        <v>0.00447</v>
      </c>
      <c r="Q2010" t="n">
        <v>-80</v>
      </c>
      <c r="R2010" t="n">
        <v>0.07965</v>
      </c>
      <c r="S2010">
        <f>IMAGE("https://mitra.stanford.edu/kundaje/oak/projects/neuro-variants/variant_position/credible/roussos_2024/variant_figures/roussos_2024.adolescence.GLU/rs7245983_count_position.png",4,220,900)</f>
        <v/>
      </c>
      <c r="T2010">
        <f>IMAGE("https://mitra.stanford.edu/kundaje/oak/projects/neuro-variants/variant_position/credible/roussos_2024/variant_figures/roussos_2024.adolescence.GLU/rs7245983_profile_position.png",4,220,900)</f>
        <v/>
      </c>
    </row>
    <row r="2011">
      <c r="A2011" t="inlineStr">
        <is>
          <t>chr19</t>
        </is>
      </c>
      <c r="B2011" t="n">
        <v>30496516</v>
      </c>
      <c r="C2011" t="inlineStr">
        <is>
          <t>A</t>
        </is>
      </c>
      <c r="D2011" t="inlineStr">
        <is>
          <t>G</t>
        </is>
      </c>
      <c r="E2011" t="inlineStr">
        <is>
          <t>rs2053079</t>
        </is>
      </c>
      <c r="F2011" t="n">
        <v>-0.00375385166</v>
      </c>
      <c r="G2011" t="n">
        <v>0.502316666224905</v>
      </c>
      <c r="H2011" t="n">
        <v>0.0103360264953889</v>
      </c>
      <c r="I2011" t="n">
        <v>0.491344291166889</v>
      </c>
      <c r="J2011" t="n">
        <v>0.3913253459645212</v>
      </c>
      <c r="K2011" t="n">
        <v>0.175399545391285</v>
      </c>
      <c r="L2011" t="b">
        <v>0</v>
      </c>
      <c r="M2011" t="b">
        <v>0</v>
      </c>
      <c r="N2011" t="inlineStr">
        <is>
          <t>ref</t>
        </is>
      </c>
      <c r="O2011" t="n">
        <v>100</v>
      </c>
      <c r="P2011" t="n">
        <v>0.002245</v>
      </c>
      <c r="Q2011" t="n">
        <v>95</v>
      </c>
      <c r="R2011" t="n">
        <v>0.07935</v>
      </c>
      <c r="S2011">
        <f>IMAGE("https://mitra.stanford.edu/kundaje/oak/projects/neuro-variants/variant_position/credible/roussos_2024/variant_figures/roussos_2024.adolescence.GLU/rs2053079_count_position.png",4,220,900)</f>
        <v/>
      </c>
      <c r="T2011">
        <f>IMAGE("https://mitra.stanford.edu/kundaje/oak/projects/neuro-variants/variant_position/credible/roussos_2024/variant_figures/roussos_2024.adolescence.GLU/rs2053079_profile_position.png",4,220,900)</f>
        <v/>
      </c>
    </row>
    <row r="2012">
      <c r="A2012" t="inlineStr">
        <is>
          <t>chr19</t>
        </is>
      </c>
      <c r="B2012" t="n">
        <v>30500744</v>
      </c>
      <c r="C2012" t="inlineStr">
        <is>
          <t>T</t>
        </is>
      </c>
      <c r="D2012" t="inlineStr">
        <is>
          <t>C</t>
        </is>
      </c>
      <c r="E2012" t="inlineStr">
        <is>
          <t>rs2075419</t>
        </is>
      </c>
      <c r="F2012" t="n">
        <v>0.0587727649999999</v>
      </c>
      <c r="G2012" t="n">
        <v>0.0425412106821529</v>
      </c>
      <c r="H2012" t="n">
        <v>0.0124084672071428</v>
      </c>
      <c r="I2012" t="n">
        <v>0.2924422642801517</v>
      </c>
      <c r="J2012" t="n">
        <v>0.2455580084446063</v>
      </c>
      <c r="K2012" t="n">
        <v>0.3370782148359313</v>
      </c>
      <c r="L2012" t="b">
        <v>0</v>
      </c>
      <c r="M2012" t="b">
        <v>0</v>
      </c>
      <c r="N2012" t="inlineStr">
        <is>
          <t>alt</t>
        </is>
      </c>
      <c r="O2012" t="n">
        <v>-75</v>
      </c>
      <c r="P2012" t="n">
        <v>0.00417</v>
      </c>
      <c r="Q2012" t="n">
        <v>100</v>
      </c>
      <c r="R2012" t="n">
        <v>0.04272</v>
      </c>
      <c r="S2012">
        <f>IMAGE("https://mitra.stanford.edu/kundaje/oak/projects/neuro-variants/variant_position/credible/roussos_2024/variant_figures/roussos_2024.adolescence.GLU/rs2075419_count_position.png",4,220,900)</f>
        <v/>
      </c>
      <c r="T2012">
        <f>IMAGE("https://mitra.stanford.edu/kundaje/oak/projects/neuro-variants/variant_position/credible/roussos_2024/variant_figures/roussos_2024.adolescence.GLU/rs2075419_profile_position.png",4,220,900)</f>
        <v/>
      </c>
    </row>
    <row r="2013">
      <c r="A2013" t="inlineStr">
        <is>
          <t>chr19</t>
        </is>
      </c>
      <c r="B2013" t="n">
        <v>30524769</v>
      </c>
      <c r="C2013" t="inlineStr">
        <is>
          <t>C</t>
        </is>
      </c>
      <c r="D2013" t="inlineStr">
        <is>
          <t>T</t>
        </is>
      </c>
      <c r="E2013" t="inlineStr">
        <is>
          <t>rs10411290</t>
        </is>
      </c>
      <c r="F2013" t="n">
        <v>0.00247676414</v>
      </c>
      <c r="G2013" t="n">
        <v>0.6782122266112435</v>
      </c>
      <c r="H2013" t="n">
        <v>0.0255758905315837</v>
      </c>
      <c r="I2013" t="n">
        <v>0.0180375624431217</v>
      </c>
      <c r="J2013" t="n">
        <v>0.2413914310821527</v>
      </c>
      <c r="K2013" t="n">
        <v>0.3443949973491775</v>
      </c>
      <c r="L2013" t="b">
        <v>1</v>
      </c>
      <c r="M2013" t="b">
        <v>0</v>
      </c>
      <c r="N2013" t="inlineStr">
        <is>
          <t>alt</t>
        </is>
      </c>
      <c r="O2013" t="n">
        <v>60</v>
      </c>
      <c r="P2013" t="n">
        <v>0.007263</v>
      </c>
      <c r="Q2013" t="n">
        <v>-100</v>
      </c>
      <c r="R2013" t="n">
        <v>0.06714000000000001</v>
      </c>
      <c r="S2013">
        <f>IMAGE("https://mitra.stanford.edu/kundaje/oak/projects/neuro-variants/variant_position/credible/roussos_2024/variant_figures/roussos_2024.adolescence.GLU/rs10411290_count_position.png",4,220,900)</f>
        <v/>
      </c>
      <c r="T2013">
        <f>IMAGE("https://mitra.stanford.edu/kundaje/oak/projects/neuro-variants/variant_position/credible/roussos_2024/variant_figures/roussos_2024.adolescence.GLU/rs10411290_profile_position.png",4,220,900)</f>
        <v/>
      </c>
    </row>
    <row r="2014">
      <c r="A2014" t="inlineStr">
        <is>
          <t>chr19</t>
        </is>
      </c>
      <c r="B2014" t="n">
        <v>30532140</v>
      </c>
      <c r="C2014" t="inlineStr">
        <is>
          <t>C</t>
        </is>
      </c>
      <c r="D2014" t="inlineStr">
        <is>
          <t>T</t>
        </is>
      </c>
      <c r="E2014" t="inlineStr">
        <is>
          <t>rs3786795</t>
        </is>
      </c>
      <c r="F2014" t="n">
        <v>-0.005460359228</v>
      </c>
      <c r="G2014" t="n">
        <v>0.7227335461767481</v>
      </c>
      <c r="H2014" t="n">
        <v>0.0143184474653318</v>
      </c>
      <c r="I2014" t="n">
        <v>0.2027966479410336</v>
      </c>
      <c r="J2014" t="n">
        <v>0.1610833672689342</v>
      </c>
      <c r="K2014" t="n">
        <v>0.4682363301690617</v>
      </c>
      <c r="L2014" t="b">
        <v>0</v>
      </c>
      <c r="M2014" t="b">
        <v>0</v>
      </c>
      <c r="N2014" t="inlineStr">
        <is>
          <t>ref</t>
        </is>
      </c>
      <c r="O2014" t="n">
        <v>-90</v>
      </c>
      <c r="P2014" t="n">
        <v>0.002937</v>
      </c>
      <c r="Q2014" t="n">
        <v>0</v>
      </c>
      <c r="R2014" t="n">
        <v>0</v>
      </c>
      <c r="S2014">
        <f>IMAGE("https://mitra.stanford.edu/kundaje/oak/projects/neuro-variants/variant_position/credible/roussos_2024/variant_figures/roussos_2024.adolescence.GLU/rs3786795_count_position.png",4,220,900)</f>
        <v/>
      </c>
      <c r="T2014">
        <f>IMAGE("https://mitra.stanford.edu/kundaje/oak/projects/neuro-variants/variant_position/credible/roussos_2024/variant_figures/roussos_2024.adolescence.GLU/rs3786795_profile_position.png",4,220,900)</f>
        <v/>
      </c>
    </row>
    <row r="2015">
      <c r="A2015" t="inlineStr">
        <is>
          <t>chr19</t>
        </is>
      </c>
      <c r="B2015" t="n">
        <v>30544460</v>
      </c>
      <c r="C2015" t="inlineStr">
        <is>
          <t>C</t>
        </is>
      </c>
      <c r="D2015" t="inlineStr">
        <is>
          <t>G</t>
        </is>
      </c>
      <c r="E2015" t="inlineStr">
        <is>
          <t>rs4303654</t>
        </is>
      </c>
      <c r="F2015" t="n">
        <v>0.038499425</v>
      </c>
      <c r="G2015" t="n">
        <v>0.1124649466688646</v>
      </c>
      <c r="H2015" t="n">
        <v>0.0150637198752297</v>
      </c>
      <c r="I2015" t="n">
        <v>0.1629420246379546</v>
      </c>
      <c r="J2015" t="n">
        <v>0.5188874838359375</v>
      </c>
      <c r="K2015" t="n">
        <v>0.0779150873843629</v>
      </c>
      <c r="L2015" t="b">
        <v>0</v>
      </c>
      <c r="M2015" t="b">
        <v>0</v>
      </c>
      <c r="N2015" t="inlineStr">
        <is>
          <t>alt</t>
        </is>
      </c>
      <c r="O2015" t="n">
        <v>100</v>
      </c>
      <c r="P2015" t="n">
        <v>0.002378</v>
      </c>
      <c r="Q2015" t="n">
        <v>-10</v>
      </c>
      <c r="R2015" t="n">
        <v>0.009520000000000001</v>
      </c>
      <c r="S2015">
        <f>IMAGE("https://mitra.stanford.edu/kundaje/oak/projects/neuro-variants/variant_position/credible/roussos_2024/variant_figures/roussos_2024.adolescence.GLU/rs4303654_count_position.png",4,220,900)</f>
        <v/>
      </c>
      <c r="T2015">
        <f>IMAGE("https://mitra.stanford.edu/kundaje/oak/projects/neuro-variants/variant_position/credible/roussos_2024/variant_figures/roussos_2024.adolescence.GLU/rs4303654_profile_position.png",4,220,900)</f>
        <v/>
      </c>
    </row>
    <row r="2016">
      <c r="A2016" t="inlineStr">
        <is>
          <t>chr19</t>
        </is>
      </c>
      <c r="B2016" t="n">
        <v>33437829</v>
      </c>
      <c r="C2016" t="inlineStr">
        <is>
          <t>A</t>
        </is>
      </c>
      <c r="D2016" t="inlineStr">
        <is>
          <t>G</t>
        </is>
      </c>
      <c r="E2016" t="inlineStr">
        <is>
          <t>rs142436687</t>
        </is>
      </c>
      <c r="F2016" t="n">
        <v>0.045388826</v>
      </c>
      <c r="G2016" t="n">
        <v>0.0778249717148559</v>
      </c>
      <c r="H2016" t="n">
        <v>0.01484245640901</v>
      </c>
      <c r="I2016" t="n">
        <v>0.1655255857301583</v>
      </c>
      <c r="J2016" t="n">
        <v>0.5348079244986461</v>
      </c>
      <c r="K2016" t="n">
        <v>0.0683424069671741</v>
      </c>
      <c r="L2016" t="b">
        <v>0</v>
      </c>
      <c r="M2016" t="b">
        <v>0</v>
      </c>
      <c r="N2016" t="inlineStr">
        <is>
          <t>alt</t>
        </is>
      </c>
      <c r="O2016" t="n">
        <v>-50</v>
      </c>
      <c r="P2016" t="n">
        <v>0.002821</v>
      </c>
      <c r="Q2016" t="n">
        <v>-75</v>
      </c>
      <c r="R2016" t="n">
        <v>0.01685</v>
      </c>
      <c r="S2016">
        <f>IMAGE("https://mitra.stanford.edu/kundaje/oak/projects/neuro-variants/variant_position/credible/roussos_2024/variant_figures/roussos_2024.adolescence.GLU/rs142436687_count_position.png",4,220,900)</f>
        <v/>
      </c>
      <c r="T2016">
        <f>IMAGE("https://mitra.stanford.edu/kundaje/oak/projects/neuro-variants/variant_position/credible/roussos_2024/variant_figures/roussos_2024.adolescence.GLU/rs142436687_profile_position.png",4,220,900)</f>
        <v/>
      </c>
    </row>
    <row r="2017">
      <c r="A2017" t="inlineStr">
        <is>
          <t>chr19</t>
        </is>
      </c>
      <c r="B2017" t="n">
        <v>33449354</v>
      </c>
      <c r="C2017" t="inlineStr">
        <is>
          <t>G</t>
        </is>
      </c>
      <c r="D2017" t="inlineStr">
        <is>
          <t>A</t>
        </is>
      </c>
      <c r="E2017" t="inlineStr">
        <is>
          <t>rs79051716</t>
        </is>
      </c>
      <c r="F2017" t="n">
        <v>-0.0241912269</v>
      </c>
      <c r="G2017" t="n">
        <v>0.2459980214329042</v>
      </c>
      <c r="H2017" t="n">
        <v>0.013737032769948</v>
      </c>
      <c r="I2017" t="n">
        <v>0.228773370260309</v>
      </c>
      <c r="J2017" t="n">
        <v>0.4703688621214394</v>
      </c>
      <c r="K2017" t="n">
        <v>0.1098108764890553</v>
      </c>
      <c r="L2017" t="b">
        <v>0</v>
      </c>
      <c r="M2017" t="b">
        <v>0</v>
      </c>
      <c r="N2017" t="inlineStr">
        <is>
          <t>ref</t>
        </is>
      </c>
      <c r="O2017" t="n">
        <v>100</v>
      </c>
      <c r="P2017" t="n">
        <v>0.002201</v>
      </c>
      <c r="Q2017" t="n">
        <v>50</v>
      </c>
      <c r="R2017" t="n">
        <v>0.011536</v>
      </c>
      <c r="S2017">
        <f>IMAGE("https://mitra.stanford.edu/kundaje/oak/projects/neuro-variants/variant_position/credible/roussos_2024/variant_figures/roussos_2024.adolescence.GLU/rs79051716_count_position.png",4,220,900)</f>
        <v/>
      </c>
      <c r="T2017">
        <f>IMAGE("https://mitra.stanford.edu/kundaje/oak/projects/neuro-variants/variant_position/credible/roussos_2024/variant_figures/roussos_2024.adolescence.GLU/rs79051716_profile_position.png",4,220,900)</f>
        <v/>
      </c>
    </row>
    <row r="2018">
      <c r="A2018" t="inlineStr">
        <is>
          <t>chr19</t>
        </is>
      </c>
      <c r="B2018" t="n">
        <v>33450805</v>
      </c>
      <c r="C2018" t="inlineStr">
        <is>
          <t>G</t>
        </is>
      </c>
      <c r="D2018" t="inlineStr">
        <is>
          <t>A</t>
        </is>
      </c>
      <c r="E2018" t="inlineStr">
        <is>
          <t>rs116925323</t>
        </is>
      </c>
      <c r="F2018" t="n">
        <v>-0.1642986208</v>
      </c>
      <c r="G2018" t="n">
        <v>0.001881720562553</v>
      </c>
      <c r="H2018" t="n">
        <v>0.0407801627795026</v>
      </c>
      <c r="I2018" t="n">
        <v>0.0026180296325263</v>
      </c>
      <c r="J2018" t="n">
        <v>0.5317787255931585</v>
      </c>
      <c r="K2018" t="n">
        <v>0.069624238154062</v>
      </c>
      <c r="L2018" t="b">
        <v>1</v>
      </c>
      <c r="M2018" t="b">
        <v>1</v>
      </c>
      <c r="N2018" t="inlineStr">
        <is>
          <t>ref</t>
        </is>
      </c>
      <c r="O2018" t="n">
        <v>15</v>
      </c>
      <c r="P2018" t="n">
        <v>0.00415</v>
      </c>
      <c r="Q2018" t="n">
        <v>80</v>
      </c>
      <c r="R2018" t="n">
        <v>0.114</v>
      </c>
      <c r="S2018">
        <f>IMAGE("https://mitra.stanford.edu/kundaje/oak/projects/neuro-variants/variant_position/credible/roussos_2024/variant_figures/roussos_2024.adolescence.GLU/rs116925323_count_position.png",4,220,900)</f>
        <v/>
      </c>
      <c r="T2018">
        <f>IMAGE("https://mitra.stanford.edu/kundaje/oak/projects/neuro-variants/variant_position/credible/roussos_2024/variant_figures/roussos_2024.adolescence.GLU/rs116925323_profile_position.png",4,220,900)</f>
        <v/>
      </c>
    </row>
    <row r="2019">
      <c r="A2019" t="inlineStr">
        <is>
          <t>chr19</t>
        </is>
      </c>
      <c r="B2019" t="n">
        <v>33451314</v>
      </c>
      <c r="C2019" t="inlineStr">
        <is>
          <t>G</t>
        </is>
      </c>
      <c r="D2019" t="inlineStr">
        <is>
          <t>A</t>
        </is>
      </c>
      <c r="E2019" t="inlineStr">
        <is>
          <t>rs1345756</t>
        </is>
      </c>
      <c r="F2019" t="n">
        <v>-0.00697333956</v>
      </c>
      <c r="G2019" t="n">
        <v>0.6427327945483204</v>
      </c>
      <c r="H2019" t="n">
        <v>0.0263550851625326</v>
      </c>
      <c r="I2019" t="n">
        <v>0.0162545944871508</v>
      </c>
      <c r="J2019" t="n">
        <v>0.34364975602089</v>
      </c>
      <c r="K2019" t="n">
        <v>0.2139251501029379</v>
      </c>
      <c r="L2019" t="b">
        <v>1</v>
      </c>
      <c r="M2019" t="b">
        <v>0</v>
      </c>
      <c r="N2019" t="inlineStr">
        <is>
          <t>ref</t>
        </is>
      </c>
      <c r="O2019" t="n">
        <v>-75</v>
      </c>
      <c r="P2019" t="n">
        <v>0.01547</v>
      </c>
      <c r="Q2019" t="n">
        <v>-100</v>
      </c>
      <c r="R2019" t="n">
        <v>0.2318</v>
      </c>
      <c r="S2019">
        <f>IMAGE("https://mitra.stanford.edu/kundaje/oak/projects/neuro-variants/variant_position/credible/roussos_2024/variant_figures/roussos_2024.adolescence.GLU/rs1345756_count_position.png",4,220,900)</f>
        <v/>
      </c>
      <c r="T2019">
        <f>IMAGE("https://mitra.stanford.edu/kundaje/oak/projects/neuro-variants/variant_position/credible/roussos_2024/variant_figures/roussos_2024.adolescence.GLU/rs1345756_profile_position.png",4,220,900)</f>
        <v/>
      </c>
    </row>
    <row r="2020">
      <c r="A2020" t="inlineStr">
        <is>
          <t>chr19</t>
        </is>
      </c>
      <c r="B2020" t="n">
        <v>33451622</v>
      </c>
      <c r="C2020" t="inlineStr">
        <is>
          <t>C</t>
        </is>
      </c>
      <c r="D2020" t="inlineStr">
        <is>
          <t>T</t>
        </is>
      </c>
      <c r="E2020" t="inlineStr">
        <is>
          <t>rs77157349</t>
        </is>
      </c>
      <c r="F2020" t="n">
        <v>-0.0508396776</v>
      </c>
      <c r="G2020" t="n">
        <v>0.0665552813144694</v>
      </c>
      <c r="H2020" t="n">
        <v>0.0128992188983529</v>
      </c>
      <c r="I2020" t="n">
        <v>0.2905588972878859</v>
      </c>
      <c r="J2020" t="n">
        <v>0.1209779168542054</v>
      </c>
      <c r="K2020" t="n">
        <v>0.5213313702876582</v>
      </c>
      <c r="L2020" t="b">
        <v>0</v>
      </c>
      <c r="M2020" t="b">
        <v>0</v>
      </c>
      <c r="N2020" t="inlineStr">
        <is>
          <t>ref</t>
        </is>
      </c>
      <c r="O2020" t="n">
        <v>100</v>
      </c>
      <c r="P2020" t="n">
        <v>0.00899</v>
      </c>
      <c r="Q2020" t="n">
        <v>-100</v>
      </c>
      <c r="R2020" t="n">
        <v>0.01646</v>
      </c>
      <c r="S2020">
        <f>IMAGE("https://mitra.stanford.edu/kundaje/oak/projects/neuro-variants/variant_position/credible/roussos_2024/variant_figures/roussos_2024.adolescence.GLU/rs77157349_count_position.png",4,220,900)</f>
        <v/>
      </c>
      <c r="T2020">
        <f>IMAGE("https://mitra.stanford.edu/kundaje/oak/projects/neuro-variants/variant_position/credible/roussos_2024/variant_figures/roussos_2024.adolescence.GLU/rs77157349_profile_position.png",4,220,900)</f>
        <v/>
      </c>
    </row>
    <row r="2021">
      <c r="A2021" t="inlineStr">
        <is>
          <t>chr19</t>
        </is>
      </c>
      <c r="B2021" t="n">
        <v>33453441</v>
      </c>
      <c r="C2021" t="inlineStr">
        <is>
          <t>C</t>
        </is>
      </c>
      <c r="D2021" t="inlineStr">
        <is>
          <t>T</t>
        </is>
      </c>
      <c r="E2021" t="inlineStr">
        <is>
          <t>rs190662727</t>
        </is>
      </c>
      <c r="F2021" t="n">
        <v>0.0026155225999999</v>
      </c>
      <c r="G2021" t="n">
        <v>0.711517772784568</v>
      </c>
      <c r="H2021" t="n">
        <v>0.0381359043150792</v>
      </c>
      <c r="I2021" t="n">
        <v>0.0034616518365526</v>
      </c>
      <c r="J2021" t="n">
        <v>0.1471719141822234</v>
      </c>
      <c r="K2021" t="n">
        <v>0.4839681013797117</v>
      </c>
      <c r="L2021" t="b">
        <v>1</v>
      </c>
      <c r="M2021" t="b">
        <v>1</v>
      </c>
      <c r="N2021" t="inlineStr">
        <is>
          <t>alt</t>
        </is>
      </c>
      <c r="O2021" t="n">
        <v>-5</v>
      </c>
      <c r="P2021" t="n">
        <v>0.001953</v>
      </c>
      <c r="Q2021" t="n">
        <v>95</v>
      </c>
      <c r="R2021" t="n">
        <v>0.06270000000000001</v>
      </c>
      <c r="S2021">
        <f>IMAGE("https://mitra.stanford.edu/kundaje/oak/projects/neuro-variants/variant_position/credible/roussos_2024/variant_figures/roussos_2024.adolescence.GLU/rs190662727_count_position.png",4,220,900)</f>
        <v/>
      </c>
      <c r="T2021">
        <f>IMAGE("https://mitra.stanford.edu/kundaje/oak/projects/neuro-variants/variant_position/credible/roussos_2024/variant_figures/roussos_2024.adolescence.GLU/rs190662727_profile_position.png",4,220,900)</f>
        <v/>
      </c>
    </row>
    <row r="2022">
      <c r="A2022" t="inlineStr">
        <is>
          <t>chr19</t>
        </is>
      </c>
      <c r="B2022" t="n">
        <v>33457934</v>
      </c>
      <c r="C2022" t="inlineStr">
        <is>
          <t>C</t>
        </is>
      </c>
      <c r="D2022" t="inlineStr">
        <is>
          <t>T</t>
        </is>
      </c>
      <c r="E2022" t="inlineStr">
        <is>
          <t>rs35208092</t>
        </is>
      </c>
      <c r="F2022" t="n">
        <v>-0.0340711946</v>
      </c>
      <c r="G2022" t="n">
        <v>0.1499440998508121</v>
      </c>
      <c r="H2022" t="n">
        <v>0.0132627740013685</v>
      </c>
      <c r="I2022" t="n">
        <v>0.229654996854309</v>
      </c>
      <c r="J2022" t="n">
        <v>0.4621985982810724</v>
      </c>
      <c r="K2022" t="n">
        <v>0.113289887630852</v>
      </c>
      <c r="L2022" t="b">
        <v>0</v>
      </c>
      <c r="M2022" t="b">
        <v>0</v>
      </c>
      <c r="N2022" t="inlineStr">
        <is>
          <t>ref</t>
        </is>
      </c>
      <c r="O2022" t="n">
        <v>0</v>
      </c>
      <c r="P2022" t="n">
        <v>0</v>
      </c>
      <c r="Q2022" t="n">
        <v>65</v>
      </c>
      <c r="R2022" t="n">
        <v>0.05054</v>
      </c>
      <c r="S2022">
        <f>IMAGE("https://mitra.stanford.edu/kundaje/oak/projects/neuro-variants/variant_position/credible/roussos_2024/variant_figures/roussos_2024.adolescence.GLU/rs35208092_count_position.png",4,220,900)</f>
        <v/>
      </c>
      <c r="T2022">
        <f>IMAGE("https://mitra.stanford.edu/kundaje/oak/projects/neuro-variants/variant_position/credible/roussos_2024/variant_figures/roussos_2024.adolescence.GLU/rs35208092_profile_position.png",4,220,900)</f>
        <v/>
      </c>
    </row>
    <row r="2023">
      <c r="A2023" t="inlineStr">
        <is>
          <t>chr19</t>
        </is>
      </c>
      <c r="B2023" t="n">
        <v>33461291</v>
      </c>
      <c r="C2023" t="inlineStr">
        <is>
          <t>C</t>
        </is>
      </c>
      <c r="D2023" t="inlineStr">
        <is>
          <t>T</t>
        </is>
      </c>
      <c r="E2023" t="inlineStr">
        <is>
          <t>rs7254613</t>
        </is>
      </c>
      <c r="F2023" t="n">
        <v>-0.0094835631</v>
      </c>
      <c r="G2023" t="n">
        <v>0.5410137109846287</v>
      </c>
      <c r="H2023" t="n">
        <v>0.0139875698948253</v>
      </c>
      <c r="I2023" t="n">
        <v>0.2028693916223314</v>
      </c>
      <c r="J2023" t="n">
        <v>0.4093319330432732</v>
      </c>
      <c r="K2023" t="n">
        <v>0.1576169985018253</v>
      </c>
      <c r="L2023" t="b">
        <v>0</v>
      </c>
      <c r="M2023" t="b">
        <v>0</v>
      </c>
      <c r="N2023" t="inlineStr">
        <is>
          <t>ref</t>
        </is>
      </c>
      <c r="O2023" t="n">
        <v>0</v>
      </c>
      <c r="P2023" t="n">
        <v>0</v>
      </c>
      <c r="Q2023" t="n">
        <v>100</v>
      </c>
      <c r="R2023" t="n">
        <v>0.11</v>
      </c>
      <c r="S2023">
        <f>IMAGE("https://mitra.stanford.edu/kundaje/oak/projects/neuro-variants/variant_position/credible/roussos_2024/variant_figures/roussos_2024.adolescence.GLU/rs7254613_count_position.png",4,220,900)</f>
        <v/>
      </c>
      <c r="T2023">
        <f>IMAGE("https://mitra.stanford.edu/kundaje/oak/projects/neuro-variants/variant_position/credible/roussos_2024/variant_figures/roussos_2024.adolescence.GLU/rs7254613_profile_position.png",4,220,900)</f>
        <v/>
      </c>
    </row>
    <row r="2024">
      <c r="A2024" t="inlineStr">
        <is>
          <t>chr19</t>
        </is>
      </c>
      <c r="B2024" t="n">
        <v>33461673</v>
      </c>
      <c r="C2024" t="inlineStr">
        <is>
          <t>T</t>
        </is>
      </c>
      <c r="D2024" t="inlineStr">
        <is>
          <t>C</t>
        </is>
      </c>
      <c r="E2024" t="inlineStr">
        <is>
          <t>rs148767361</t>
        </is>
      </c>
      <c r="F2024" t="n">
        <v>0.0175451144</v>
      </c>
      <c r="G2024" t="n">
        <v>0.3198358120127318</v>
      </c>
      <c r="H2024" t="n">
        <v>0.0125814237128959</v>
      </c>
      <c r="I2024" t="n">
        <v>0.2770960649199199</v>
      </c>
      <c r="J2024" t="n">
        <v>0.5289167041744361</v>
      </c>
      <c r="K2024" t="n">
        <v>0.0705982771386213</v>
      </c>
      <c r="L2024" t="b">
        <v>0</v>
      </c>
      <c r="M2024" t="b">
        <v>0</v>
      </c>
      <c r="N2024" t="inlineStr">
        <is>
          <t>alt</t>
        </is>
      </c>
      <c r="O2024" t="n">
        <v>15</v>
      </c>
      <c r="P2024" t="n">
        <v>0.001389</v>
      </c>
      <c r="Q2024" t="n">
        <v>80</v>
      </c>
      <c r="R2024" t="n">
        <v>0.1498</v>
      </c>
      <c r="S2024">
        <f>IMAGE("https://mitra.stanford.edu/kundaje/oak/projects/neuro-variants/variant_position/credible/roussos_2024/variant_figures/roussos_2024.adolescence.GLU/rs148767361_count_position.png",4,220,900)</f>
        <v/>
      </c>
      <c r="T2024">
        <f>IMAGE("https://mitra.stanford.edu/kundaje/oak/projects/neuro-variants/variant_position/credible/roussos_2024/variant_figures/roussos_2024.adolescence.GLU/rs148767361_profile_position.png",4,220,900)</f>
        <v/>
      </c>
    </row>
    <row r="2025">
      <c r="A2025" t="inlineStr">
        <is>
          <t>chr19</t>
        </is>
      </c>
      <c r="B2025" t="n">
        <v>33462837</v>
      </c>
      <c r="C2025" t="inlineStr">
        <is>
          <t>A</t>
        </is>
      </c>
      <c r="D2025" t="inlineStr">
        <is>
          <t>G</t>
        </is>
      </c>
      <c r="E2025" t="inlineStr">
        <is>
          <t>rs6510386</t>
        </is>
      </c>
      <c r="F2025" t="n">
        <v>0.050255564</v>
      </c>
      <c r="G2025" t="n">
        <v>0.0600618834961299</v>
      </c>
      <c r="H2025" t="n">
        <v>0.0110314190069928</v>
      </c>
      <c r="I2025" t="n">
        <v>0.4245551680944232</v>
      </c>
      <c r="J2025" t="n">
        <v>0.5290638775174858</v>
      </c>
      <c r="K2025" t="n">
        <v>0.0707347989216776</v>
      </c>
      <c r="L2025" t="b">
        <v>0</v>
      </c>
      <c r="M2025" t="b">
        <v>0</v>
      </c>
      <c r="N2025" t="inlineStr">
        <is>
          <t>alt</t>
        </is>
      </c>
      <c r="O2025" t="n">
        <v>-100</v>
      </c>
      <c r="P2025" t="n">
        <v>0.0005493</v>
      </c>
      <c r="Q2025" t="n">
        <v>-50</v>
      </c>
      <c r="R2025" t="n">
        <v>0.0977</v>
      </c>
      <c r="S2025">
        <f>IMAGE("https://mitra.stanford.edu/kundaje/oak/projects/neuro-variants/variant_position/credible/roussos_2024/variant_figures/roussos_2024.adolescence.GLU/rs6510386_count_position.png",4,220,900)</f>
        <v/>
      </c>
      <c r="T2025">
        <f>IMAGE("https://mitra.stanford.edu/kundaje/oak/projects/neuro-variants/variant_position/credible/roussos_2024/variant_figures/roussos_2024.adolescence.GLU/rs6510386_profile_position.png",4,220,900)</f>
        <v/>
      </c>
    </row>
    <row r="2026">
      <c r="A2026" t="inlineStr">
        <is>
          <t>chr19</t>
        </is>
      </c>
      <c r="B2026" t="n">
        <v>33463547</v>
      </c>
      <c r="C2026" t="inlineStr">
        <is>
          <t>T</t>
        </is>
      </c>
      <c r="D2026" t="inlineStr">
        <is>
          <t>C</t>
        </is>
      </c>
      <c r="E2026" t="inlineStr">
        <is>
          <t>rs76144939</t>
        </is>
      </c>
      <c r="F2026" t="n">
        <v>-0.01040924118</v>
      </c>
      <c r="G2026" t="n">
        <v>0.5202300270441089</v>
      </c>
      <c r="H2026" t="n">
        <v>0.0132421279754408</v>
      </c>
      <c r="I2026" t="n">
        <v>0.2438994337328574</v>
      </c>
      <c r="J2026" t="n">
        <v>0.3833179730086946</v>
      </c>
      <c r="K2026" t="n">
        <v>0.1832801709322874</v>
      </c>
      <c r="L2026" t="b">
        <v>0</v>
      </c>
      <c r="M2026" t="b">
        <v>0</v>
      </c>
      <c r="N2026" t="inlineStr">
        <is>
          <t>ref</t>
        </is>
      </c>
      <c r="O2026" t="n">
        <v>100</v>
      </c>
      <c r="P2026" t="n">
        <v>0.002653</v>
      </c>
      <c r="Q2026" t="n">
        <v>-85</v>
      </c>
      <c r="R2026" t="n">
        <v>0.047</v>
      </c>
      <c r="S2026">
        <f>IMAGE("https://mitra.stanford.edu/kundaje/oak/projects/neuro-variants/variant_position/credible/roussos_2024/variant_figures/roussos_2024.adolescence.GLU/rs76144939_count_position.png",4,220,900)</f>
        <v/>
      </c>
      <c r="T2026">
        <f>IMAGE("https://mitra.stanford.edu/kundaje/oak/projects/neuro-variants/variant_position/credible/roussos_2024/variant_figures/roussos_2024.adolescence.GLU/rs76144939_profile_position.png",4,220,900)</f>
        <v/>
      </c>
    </row>
    <row r="2027">
      <c r="A2027" t="inlineStr">
        <is>
          <t>chr19</t>
        </is>
      </c>
      <c r="B2027" t="n">
        <v>33471266</v>
      </c>
      <c r="C2027" t="inlineStr">
        <is>
          <t>G</t>
        </is>
      </c>
      <c r="D2027" t="inlineStr">
        <is>
          <t>A</t>
        </is>
      </c>
      <c r="E2027" t="inlineStr">
        <is>
          <t>rs10423840</t>
        </is>
      </c>
      <c r="F2027" t="n">
        <v>-0.0756029176</v>
      </c>
      <c r="G2027" t="n">
        <v>0.0193610592105779</v>
      </c>
      <c r="H2027" t="n">
        <v>0.0155634848019131</v>
      </c>
      <c r="I2027" t="n">
        <v>0.1552669434188614</v>
      </c>
      <c r="J2027" t="n">
        <v>0.3724585807060033</v>
      </c>
      <c r="K2027" t="n">
        <v>0.1923138796426295</v>
      </c>
      <c r="L2027" t="b">
        <v>1</v>
      </c>
      <c r="M2027" t="b">
        <v>0</v>
      </c>
      <c r="N2027" t="inlineStr">
        <is>
          <t>ref</t>
        </is>
      </c>
      <c r="O2027" t="n">
        <v>-15</v>
      </c>
      <c r="P2027" t="n">
        <v>0.01335</v>
      </c>
      <c r="Q2027" t="n">
        <v>35</v>
      </c>
      <c r="R2027" t="n">
        <v>0.09326</v>
      </c>
      <c r="S2027">
        <f>IMAGE("https://mitra.stanford.edu/kundaje/oak/projects/neuro-variants/variant_position/credible/roussos_2024/variant_figures/roussos_2024.adolescence.GLU/rs10423840_count_position.png",4,220,900)</f>
        <v/>
      </c>
      <c r="T2027">
        <f>IMAGE("https://mitra.stanford.edu/kundaje/oak/projects/neuro-variants/variant_position/credible/roussos_2024/variant_figures/roussos_2024.adolescence.GLU/rs10423840_profile_position.png",4,220,900)</f>
        <v/>
      </c>
    </row>
    <row r="2028">
      <c r="A2028" t="inlineStr">
        <is>
          <t>chr19</t>
        </is>
      </c>
      <c r="B2028" t="n">
        <v>33479231</v>
      </c>
      <c r="C2028" t="inlineStr">
        <is>
          <t>G</t>
        </is>
      </c>
      <c r="D2028" t="inlineStr">
        <is>
          <t>T</t>
        </is>
      </c>
      <c r="E2028" t="inlineStr">
        <is>
          <t>rs10404501</t>
        </is>
      </c>
      <c r="F2028" t="n">
        <v>0.001043882196</v>
      </c>
      <c r="G2028" t="n">
        <v>0.8587985186221979</v>
      </c>
      <c r="H2028" t="n">
        <v>0.019411195315073</v>
      </c>
      <c r="I2028" t="n">
        <v>0.06552769698440621</v>
      </c>
      <c r="J2028" t="n">
        <v>0.0205499710654349</v>
      </c>
      <c r="K2028" t="n">
        <v>0.8141158934018622</v>
      </c>
      <c r="L2028" t="b">
        <v>0</v>
      </c>
      <c r="M2028" t="b">
        <v>0</v>
      </c>
      <c r="N2028" t="inlineStr">
        <is>
          <t>alt</t>
        </is>
      </c>
      <c r="O2028" t="n">
        <v>95</v>
      </c>
      <c r="P2028" t="n">
        <v>0.01996</v>
      </c>
      <c r="Q2028" t="n">
        <v>-75</v>
      </c>
      <c r="R2028" t="n">
        <v>0.0608</v>
      </c>
      <c r="S2028">
        <f>IMAGE("https://mitra.stanford.edu/kundaje/oak/projects/neuro-variants/variant_position/credible/roussos_2024/variant_figures/roussos_2024.adolescence.GLU/rs10404501_count_position.png",4,220,900)</f>
        <v/>
      </c>
      <c r="T2028">
        <f>IMAGE("https://mitra.stanford.edu/kundaje/oak/projects/neuro-variants/variant_position/credible/roussos_2024/variant_figures/roussos_2024.adolescence.GLU/rs10404501_profile_position.png",4,220,900)</f>
        <v/>
      </c>
    </row>
    <row r="2029">
      <c r="A2029" t="inlineStr">
        <is>
          <t>chr19</t>
        </is>
      </c>
      <c r="B2029" t="n">
        <v>33479609</v>
      </c>
      <c r="C2029" t="inlineStr">
        <is>
          <t>G</t>
        </is>
      </c>
      <c r="D2029" t="inlineStr">
        <is>
          <t>C</t>
        </is>
      </c>
      <c r="E2029" t="inlineStr">
        <is>
          <t>rs12461525</t>
        </is>
      </c>
      <c r="F2029" t="n">
        <v>-0.054677622</v>
      </c>
      <c r="G2029" t="n">
        <v>0.0577522392297421</v>
      </c>
      <c r="H2029" t="n">
        <v>0.0135477994740466</v>
      </c>
      <c r="I2029" t="n">
        <v>0.2543928158307024</v>
      </c>
      <c r="J2029" t="n">
        <v>0.07254931378642709</v>
      </c>
      <c r="K2029" t="n">
        <v>0.6328892381795219</v>
      </c>
      <c r="L2029" t="b">
        <v>0</v>
      </c>
      <c r="M2029" t="b">
        <v>0</v>
      </c>
      <c r="N2029" t="inlineStr">
        <is>
          <t>ref</t>
        </is>
      </c>
      <c r="O2029" t="n">
        <v>-70</v>
      </c>
      <c r="P2029" t="n">
        <v>0.01689</v>
      </c>
      <c r="Q2029" t="n">
        <v>-5</v>
      </c>
      <c r="R2029" t="n">
        <v>0.007042</v>
      </c>
      <c r="S2029">
        <f>IMAGE("https://mitra.stanford.edu/kundaje/oak/projects/neuro-variants/variant_position/credible/roussos_2024/variant_figures/roussos_2024.adolescence.GLU/rs12461525_count_position.png",4,220,900)</f>
        <v/>
      </c>
      <c r="T2029">
        <f>IMAGE("https://mitra.stanford.edu/kundaje/oak/projects/neuro-variants/variant_position/credible/roussos_2024/variant_figures/roussos_2024.adolescence.GLU/rs12461525_profile_position.png",4,220,900)</f>
        <v/>
      </c>
    </row>
    <row r="2030">
      <c r="A2030" t="inlineStr">
        <is>
          <t>chr19</t>
        </is>
      </c>
      <c r="B2030" t="n">
        <v>36169545</v>
      </c>
      <c r="C2030" t="inlineStr">
        <is>
          <t>A</t>
        </is>
      </c>
      <c r="D2030" t="inlineStr">
        <is>
          <t>G</t>
        </is>
      </c>
      <c r="E2030" t="inlineStr">
        <is>
          <t>rs1476503</t>
        </is>
      </c>
      <c r="F2030" t="n">
        <v>-0.002301660626</v>
      </c>
      <c r="G2030" t="n">
        <v>0.7402429119444544</v>
      </c>
      <c r="H2030" t="n">
        <v>0.0113032126257425</v>
      </c>
      <c r="I2030" t="n">
        <v>0.3961359105187266</v>
      </c>
      <c r="J2030" t="n">
        <v>0.2888412599752805</v>
      </c>
      <c r="K2030" t="n">
        <v>0.2828479819386945</v>
      </c>
      <c r="L2030" t="b">
        <v>0</v>
      </c>
      <c r="M2030" t="b">
        <v>0</v>
      </c>
      <c r="N2030" t="inlineStr">
        <is>
          <t>ref</t>
        </is>
      </c>
      <c r="O2030" t="n">
        <v>-25</v>
      </c>
      <c r="P2030" t="n">
        <v>0.003227</v>
      </c>
      <c r="Q2030" t="n">
        <v>85</v>
      </c>
      <c r="R2030" t="n">
        <v>0.08416999999999999</v>
      </c>
      <c r="S2030">
        <f>IMAGE("https://mitra.stanford.edu/kundaje/oak/projects/neuro-variants/variant_position/credible/roussos_2024/variant_figures/roussos_2024.adolescence.GLU/rs1476503_count_position.png",4,220,900)</f>
        <v/>
      </c>
      <c r="T2030">
        <f>IMAGE("https://mitra.stanford.edu/kundaje/oak/projects/neuro-variants/variant_position/credible/roussos_2024/variant_figures/roussos_2024.adolescence.GLU/rs1476503_profile_position.png",4,220,900)</f>
        <v/>
      </c>
    </row>
    <row r="2031">
      <c r="A2031" t="inlineStr">
        <is>
          <t>chr19</t>
        </is>
      </c>
      <c r="B2031" t="n">
        <v>36169552</v>
      </c>
      <c r="C2031" t="inlineStr">
        <is>
          <t>A</t>
        </is>
      </c>
      <c r="D2031" t="inlineStr">
        <is>
          <t>G</t>
        </is>
      </c>
      <c r="E2031" t="inlineStr">
        <is>
          <t>rs1476504</t>
        </is>
      </c>
      <c r="F2031" t="n">
        <v>0.00817329346</v>
      </c>
      <c r="G2031" t="n">
        <v>0.5589803187686005</v>
      </c>
      <c r="H2031" t="n">
        <v>0.0141369421017613</v>
      </c>
      <c r="I2031" t="n">
        <v>0.1998008544365342</v>
      </c>
      <c r="J2031" t="n">
        <v>0.2912603324974458</v>
      </c>
      <c r="K2031" t="n">
        <v>0.2800282811722981</v>
      </c>
      <c r="L2031" t="b">
        <v>0</v>
      </c>
      <c r="M2031" t="b">
        <v>0</v>
      </c>
      <c r="N2031" t="inlineStr">
        <is>
          <t>alt</t>
        </is>
      </c>
      <c r="O2031" t="n">
        <v>-35</v>
      </c>
      <c r="P2031" t="n">
        <v>0.002426</v>
      </c>
      <c r="Q2031" t="n">
        <v>100</v>
      </c>
      <c r="R2031" t="n">
        <v>0.1063</v>
      </c>
      <c r="S2031">
        <f>IMAGE("https://mitra.stanford.edu/kundaje/oak/projects/neuro-variants/variant_position/credible/roussos_2024/variant_figures/roussos_2024.adolescence.GLU/rs1476504_count_position.png",4,220,900)</f>
        <v/>
      </c>
      <c r="T2031">
        <f>IMAGE("https://mitra.stanford.edu/kundaje/oak/projects/neuro-variants/variant_position/credible/roussos_2024/variant_figures/roussos_2024.adolescence.GLU/rs1476504_profile_position.png",4,220,900)</f>
        <v/>
      </c>
    </row>
    <row r="2032">
      <c r="A2032" t="inlineStr">
        <is>
          <t>chr19</t>
        </is>
      </c>
      <c r="B2032" t="n">
        <v>36190511</v>
      </c>
      <c r="C2032" t="inlineStr">
        <is>
          <t>A</t>
        </is>
      </c>
      <c r="D2032" t="inlineStr">
        <is>
          <t>G</t>
        </is>
      </c>
      <c r="E2032" t="inlineStr">
        <is>
          <t>rs7249719</t>
        </is>
      </c>
      <c r="F2032" t="n">
        <v>-0.056320758</v>
      </c>
      <c r="G2032" t="n">
        <v>0.0639840210649217</v>
      </c>
      <c r="H2032" t="n">
        <v>0.0132171528687607</v>
      </c>
      <c r="I2032" t="n">
        <v>0.2755221395771708</v>
      </c>
      <c r="J2032" t="n">
        <v>0.3685277664659108</v>
      </c>
      <c r="K2032" t="n">
        <v>0.1950681535130805</v>
      </c>
      <c r="L2032" t="b">
        <v>0</v>
      </c>
      <c r="M2032" t="b">
        <v>0</v>
      </c>
      <c r="N2032" t="inlineStr">
        <is>
          <t>ref</t>
        </is>
      </c>
      <c r="O2032" t="n">
        <v>0</v>
      </c>
      <c r="P2032" t="n">
        <v>0</v>
      </c>
      <c r="Q2032" t="n">
        <v>10</v>
      </c>
      <c r="R2032" t="n">
        <v>0.003662</v>
      </c>
      <c r="S2032">
        <f>IMAGE("https://mitra.stanford.edu/kundaje/oak/projects/neuro-variants/variant_position/credible/roussos_2024/variant_figures/roussos_2024.adolescence.GLU/rs7249719_count_position.png",4,220,900)</f>
        <v/>
      </c>
      <c r="T2032">
        <f>IMAGE("https://mitra.stanford.edu/kundaje/oak/projects/neuro-variants/variant_position/credible/roussos_2024/variant_figures/roussos_2024.adolescence.GLU/rs7249719_profile_position.png",4,220,900)</f>
        <v/>
      </c>
    </row>
    <row r="2033">
      <c r="A2033" t="inlineStr">
        <is>
          <t>chr19</t>
        </is>
      </c>
      <c r="B2033" t="n">
        <v>36194408</v>
      </c>
      <c r="C2033" t="inlineStr">
        <is>
          <t>C</t>
        </is>
      </c>
      <c r="D2033" t="inlineStr">
        <is>
          <t>T</t>
        </is>
      </c>
      <c r="E2033" t="inlineStr">
        <is>
          <t>rs2287897</t>
        </is>
      </c>
      <c r="F2033" t="n">
        <v>-0.07011668660000001</v>
      </c>
      <c r="G2033" t="n">
        <v>0.0245459753146673</v>
      </c>
      <c r="H2033" t="n">
        <v>0.0118222640432622</v>
      </c>
      <c r="I2033" t="n">
        <v>0.3338797486243624</v>
      </c>
      <c r="J2033" t="n">
        <v>0.4779647212636903</v>
      </c>
      <c r="K2033" t="n">
        <v>0.1043689181812094</v>
      </c>
      <c r="L2033" t="b">
        <v>0</v>
      </c>
      <c r="M2033" t="b">
        <v>0</v>
      </c>
      <c r="N2033" t="inlineStr">
        <is>
          <t>ref</t>
        </is>
      </c>
      <c r="O2033" t="n">
        <v>40</v>
      </c>
      <c r="P2033" t="n">
        <v>0.00717</v>
      </c>
      <c r="Q2033" t="n">
        <v>-70</v>
      </c>
      <c r="R2033" t="n">
        <v>0.006958</v>
      </c>
      <c r="S2033">
        <f>IMAGE("https://mitra.stanford.edu/kundaje/oak/projects/neuro-variants/variant_position/credible/roussos_2024/variant_figures/roussos_2024.adolescence.GLU/rs2287897_count_position.png",4,220,900)</f>
        <v/>
      </c>
      <c r="T2033">
        <f>IMAGE("https://mitra.stanford.edu/kundaje/oak/projects/neuro-variants/variant_position/credible/roussos_2024/variant_figures/roussos_2024.adolescence.GLU/rs2287897_profile_position.png",4,220,900)</f>
        <v/>
      </c>
    </row>
    <row r="2034">
      <c r="A2034" t="inlineStr">
        <is>
          <t>chr19</t>
        </is>
      </c>
      <c r="B2034" t="n">
        <v>36225931</v>
      </c>
      <c r="C2034" t="inlineStr">
        <is>
          <t>T</t>
        </is>
      </c>
      <c r="D2034" t="inlineStr">
        <is>
          <t>C</t>
        </is>
      </c>
      <c r="E2034" t="inlineStr">
        <is>
          <t>rs2432051</t>
        </is>
      </c>
      <c r="F2034" t="n">
        <v>-0.00425417018</v>
      </c>
      <c r="G2034" t="n">
        <v>0.7484474745198472</v>
      </c>
      <c r="H2034" t="n">
        <v>0.0258797034364816</v>
      </c>
      <c r="I2034" t="n">
        <v>0.018508716866568</v>
      </c>
      <c r="J2034" t="n">
        <v>0.0879439312429002</v>
      </c>
      <c r="K2034" t="n">
        <v>0.6043756828860376</v>
      </c>
      <c r="L2034" t="b">
        <v>1</v>
      </c>
      <c r="M2034" t="b">
        <v>0</v>
      </c>
      <c r="N2034" t="inlineStr">
        <is>
          <t>ref</t>
        </is>
      </c>
      <c r="O2034" t="n">
        <v>-55</v>
      </c>
      <c r="P2034" t="n">
        <v>0.0558</v>
      </c>
      <c r="Q2034" t="n">
        <v>40</v>
      </c>
      <c r="R2034" t="n">
        <v>0.04062</v>
      </c>
      <c r="S2034">
        <f>IMAGE("https://mitra.stanford.edu/kundaje/oak/projects/neuro-variants/variant_position/credible/roussos_2024/variant_figures/roussos_2024.adolescence.GLU/rs2432051_count_position.png",4,220,900)</f>
        <v/>
      </c>
      <c r="T2034">
        <f>IMAGE("https://mitra.stanford.edu/kundaje/oak/projects/neuro-variants/variant_position/credible/roussos_2024/variant_figures/roussos_2024.adolescence.GLU/rs2432051_profile_position.png",4,220,900)</f>
        <v/>
      </c>
    </row>
    <row r="2035">
      <c r="A2035" t="inlineStr">
        <is>
          <t>chr19</t>
        </is>
      </c>
      <c r="B2035" t="n">
        <v>36243589</v>
      </c>
      <c r="C2035" t="inlineStr">
        <is>
          <t>G</t>
        </is>
      </c>
      <c r="D2035" t="inlineStr">
        <is>
          <t>A</t>
        </is>
      </c>
      <c r="E2035" t="inlineStr">
        <is>
          <t>rs2972537</t>
        </is>
      </c>
      <c r="F2035" t="n">
        <v>-6.818222600000002e-05</v>
      </c>
      <c r="G2035" t="n">
        <v>0.8314967456235181</v>
      </c>
      <c r="H2035" t="n">
        <v>0.008514692584235199</v>
      </c>
      <c r="I2035" t="n">
        <v>0.7277174620624716</v>
      </c>
      <c r="J2035" t="n">
        <v>0.1643126076115766</v>
      </c>
      <c r="K2035" t="n">
        <v>0.4564276263895355</v>
      </c>
      <c r="L2035" t="b">
        <v>0</v>
      </c>
      <c r="M2035" t="b">
        <v>0</v>
      </c>
      <c r="N2035" t="inlineStr">
        <is>
          <t>ref</t>
        </is>
      </c>
      <c r="O2035" t="n">
        <v>10</v>
      </c>
      <c r="P2035" t="n">
        <v>0.0002747</v>
      </c>
      <c r="Q2035" t="n">
        <v>60</v>
      </c>
      <c r="R2035" t="n">
        <v>0.06555</v>
      </c>
      <c r="S2035">
        <f>IMAGE("https://mitra.stanford.edu/kundaje/oak/projects/neuro-variants/variant_position/credible/roussos_2024/variant_figures/roussos_2024.adolescence.GLU/rs2972537_count_position.png",4,220,900)</f>
        <v/>
      </c>
      <c r="T2035">
        <f>IMAGE("https://mitra.stanford.edu/kundaje/oak/projects/neuro-variants/variant_position/credible/roussos_2024/variant_figures/roussos_2024.adolescence.GLU/rs2972537_profile_position.png",4,220,900)</f>
        <v/>
      </c>
    </row>
    <row r="2036">
      <c r="A2036" t="inlineStr">
        <is>
          <t>chr19</t>
        </is>
      </c>
      <c r="B2036" t="n">
        <v>38046684</v>
      </c>
      <c r="C2036" t="inlineStr">
        <is>
          <t>C</t>
        </is>
      </c>
      <c r="D2036" t="inlineStr">
        <is>
          <t>T</t>
        </is>
      </c>
      <c r="E2036" t="inlineStr">
        <is>
          <t>rs149760493</t>
        </is>
      </c>
      <c r="F2036" t="n">
        <v>-0.0523066633999999</v>
      </c>
      <c r="G2036" t="n">
        <v>0.06499413138564269</v>
      </c>
      <c r="H2036" t="n">
        <v>0.0144202083006158</v>
      </c>
      <c r="I2036" t="n">
        <v>0.1836700895853885</v>
      </c>
      <c r="J2036" t="n">
        <v>0.580184466782405</v>
      </c>
      <c r="K2036" t="n">
        <v>0.0462738787486748</v>
      </c>
      <c r="L2036" t="b">
        <v>0</v>
      </c>
      <c r="M2036" t="b">
        <v>0</v>
      </c>
      <c r="N2036" t="inlineStr">
        <is>
          <t>ref</t>
        </is>
      </c>
      <c r="O2036" t="n">
        <v>-25</v>
      </c>
      <c r="P2036" t="n">
        <v>0.000557</v>
      </c>
      <c r="Q2036" t="n">
        <v>10</v>
      </c>
      <c r="R2036" t="n">
        <v>0.02808</v>
      </c>
      <c r="S2036">
        <f>IMAGE("https://mitra.stanford.edu/kundaje/oak/projects/neuro-variants/variant_position/credible/roussos_2024/variant_figures/roussos_2024.adolescence.GLU/rs149760493_count_position.png",4,220,900)</f>
        <v/>
      </c>
      <c r="T2036">
        <f>IMAGE("https://mitra.stanford.edu/kundaje/oak/projects/neuro-variants/variant_position/credible/roussos_2024/variant_figures/roussos_2024.adolescence.GLU/rs149760493_profile_position.png",4,220,900)</f>
        <v/>
      </c>
    </row>
    <row r="2037">
      <c r="A2037" t="inlineStr">
        <is>
          <t>chr19</t>
        </is>
      </c>
      <c r="B2037" t="n">
        <v>38049395</v>
      </c>
      <c r="C2037" t="inlineStr">
        <is>
          <t>C</t>
        </is>
      </c>
      <c r="D2037" t="inlineStr">
        <is>
          <t>T</t>
        </is>
      </c>
      <c r="E2037" t="inlineStr">
        <is>
          <t>rs140163185</t>
        </is>
      </c>
      <c r="F2037" t="n">
        <v>-0.0399690302</v>
      </c>
      <c r="G2037" t="n">
        <v>0.1119965563082498</v>
      </c>
      <c r="H2037" t="n">
        <v>0.0095573451374106</v>
      </c>
      <c r="I2037" t="n">
        <v>0.5967164825432842</v>
      </c>
      <c r="J2037" t="n">
        <v>0.4746068828543054</v>
      </c>
      <c r="K2037" t="n">
        <v>0.1067742985444749</v>
      </c>
      <c r="L2037" t="b">
        <v>0</v>
      </c>
      <c r="M2037" t="b">
        <v>0</v>
      </c>
      <c r="N2037" t="inlineStr">
        <is>
          <t>ref</t>
        </is>
      </c>
      <c r="O2037" t="n">
        <v>-100</v>
      </c>
      <c r="P2037" t="n">
        <v>0.005486</v>
      </c>
      <c r="Q2037" t="n">
        <v>-40</v>
      </c>
      <c r="R2037" t="n">
        <v>0.03827</v>
      </c>
      <c r="S2037">
        <f>IMAGE("https://mitra.stanford.edu/kundaje/oak/projects/neuro-variants/variant_position/credible/roussos_2024/variant_figures/roussos_2024.adolescence.GLU/rs140163185_count_position.png",4,220,900)</f>
        <v/>
      </c>
      <c r="T2037">
        <f>IMAGE("https://mitra.stanford.edu/kundaje/oak/projects/neuro-variants/variant_position/credible/roussos_2024/variant_figures/roussos_2024.adolescence.GLU/rs140163185_profile_position.png",4,220,900)</f>
        <v/>
      </c>
    </row>
    <row r="2038">
      <c r="A2038" t="inlineStr">
        <is>
          <t>chr19</t>
        </is>
      </c>
      <c r="B2038" t="n">
        <v>38050594</v>
      </c>
      <c r="C2038" t="inlineStr">
        <is>
          <t>G</t>
        </is>
      </c>
      <c r="D2038" t="inlineStr">
        <is>
          <t>A</t>
        </is>
      </c>
      <c r="E2038" t="inlineStr">
        <is>
          <t>rs150020955</t>
        </is>
      </c>
      <c r="F2038" t="n">
        <v>-0.00589361932</v>
      </c>
      <c r="G2038" t="n">
        <v>0.6532755345453113</v>
      </c>
      <c r="H2038" t="n">
        <v>0.0103107685141451</v>
      </c>
      <c r="I2038" t="n">
        <v>0.4478950749897226</v>
      </c>
      <c r="J2038" t="n">
        <v>0.174443277536061</v>
      </c>
      <c r="K2038" t="n">
        <v>0.4451652370247407</v>
      </c>
      <c r="L2038" t="b">
        <v>0</v>
      </c>
      <c r="M2038" t="b">
        <v>0</v>
      </c>
      <c r="N2038" t="inlineStr">
        <is>
          <t>ref</t>
        </is>
      </c>
      <c r="O2038" t="n">
        <v>50</v>
      </c>
      <c r="P2038" t="n">
        <v>0.009549999999999999</v>
      </c>
      <c r="Q2038" t="n">
        <v>100</v>
      </c>
      <c r="R2038" t="n">
        <v>0.0626</v>
      </c>
      <c r="S2038">
        <f>IMAGE("https://mitra.stanford.edu/kundaje/oak/projects/neuro-variants/variant_position/credible/roussos_2024/variant_figures/roussos_2024.adolescence.GLU/rs150020955_count_position.png",4,220,900)</f>
        <v/>
      </c>
      <c r="T2038">
        <f>IMAGE("https://mitra.stanford.edu/kundaje/oak/projects/neuro-variants/variant_position/credible/roussos_2024/variant_figures/roussos_2024.adolescence.GLU/rs150020955_profile_position.png",4,220,900)</f>
        <v/>
      </c>
    </row>
    <row r="2039">
      <c r="A2039" t="inlineStr">
        <is>
          <t>chr19</t>
        </is>
      </c>
      <c r="B2039" t="n">
        <v>38055616</v>
      </c>
      <c r="C2039" t="inlineStr">
        <is>
          <t>A</t>
        </is>
      </c>
      <c r="D2039" t="inlineStr">
        <is>
          <t>G</t>
        </is>
      </c>
      <c r="E2039" t="inlineStr">
        <is>
          <t>rs148362166</t>
        </is>
      </c>
      <c r="F2039" t="n">
        <v>0.0304135306</v>
      </c>
      <c r="G2039" t="n">
        <v>0.1660107046039876</v>
      </c>
      <c r="H2039" t="n">
        <v>0.0128885303699226</v>
      </c>
      <c r="I2039" t="n">
        <v>0.2646901168204281</v>
      </c>
      <c r="J2039" t="n">
        <v>0.5320059155110701</v>
      </c>
      <c r="K2039" t="n">
        <v>0.0684905569097335</v>
      </c>
      <c r="L2039" t="b">
        <v>0</v>
      </c>
      <c r="M2039" t="b">
        <v>0</v>
      </c>
      <c r="N2039" t="inlineStr">
        <is>
          <t>alt</t>
        </is>
      </c>
      <c r="O2039" t="n">
        <v>100</v>
      </c>
      <c r="P2039" t="n">
        <v>0.01335</v>
      </c>
      <c r="Q2039" t="n">
        <v>-10</v>
      </c>
      <c r="R2039" t="n">
        <v>0.01425</v>
      </c>
      <c r="S2039">
        <f>IMAGE("https://mitra.stanford.edu/kundaje/oak/projects/neuro-variants/variant_position/credible/roussos_2024/variant_figures/roussos_2024.adolescence.GLU/rs148362166_count_position.png",4,220,900)</f>
        <v/>
      </c>
      <c r="T2039">
        <f>IMAGE("https://mitra.stanford.edu/kundaje/oak/projects/neuro-variants/variant_position/credible/roussos_2024/variant_figures/roussos_2024.adolescence.GLU/rs148362166_profile_position.png",4,220,900)</f>
        <v/>
      </c>
    </row>
    <row r="2040">
      <c r="A2040" t="inlineStr">
        <is>
          <t>chr19</t>
        </is>
      </c>
      <c r="B2040" t="n">
        <v>38095543</v>
      </c>
      <c r="C2040" t="inlineStr">
        <is>
          <t>T</t>
        </is>
      </c>
      <c r="D2040" t="inlineStr">
        <is>
          <t>C</t>
        </is>
      </c>
      <c r="E2040" t="inlineStr">
        <is>
          <t>rs12983497</t>
        </is>
      </c>
      <c r="F2040" t="n">
        <v>-0.0117987869</v>
      </c>
      <c r="G2040" t="n">
        <v>0.4139494597153036</v>
      </c>
      <c r="H2040" t="n">
        <v>0.0139096924932364</v>
      </c>
      <c r="I2040" t="n">
        <v>0.2048810060102897</v>
      </c>
      <c r="J2040" t="n">
        <v>0.4654792778504119</v>
      </c>
      <c r="K2040" t="n">
        <v>0.1132631971858784</v>
      </c>
      <c r="L2040" t="b">
        <v>0</v>
      </c>
      <c r="M2040" t="b">
        <v>0</v>
      </c>
      <c r="N2040" t="inlineStr">
        <is>
          <t>ref</t>
        </is>
      </c>
      <c r="O2040" t="n">
        <v>-35</v>
      </c>
      <c r="P2040" t="n">
        <v>0.006943</v>
      </c>
      <c r="Q2040" t="n">
        <v>15</v>
      </c>
      <c r="R2040" t="n">
        <v>0.007767</v>
      </c>
      <c r="S2040">
        <f>IMAGE("https://mitra.stanford.edu/kundaje/oak/projects/neuro-variants/variant_position/credible/roussos_2024/variant_figures/roussos_2024.adolescence.GLU/rs12983497_count_position.png",4,220,900)</f>
        <v/>
      </c>
      <c r="T2040">
        <f>IMAGE("https://mitra.stanford.edu/kundaje/oak/projects/neuro-variants/variant_position/credible/roussos_2024/variant_figures/roussos_2024.adolescence.GLU/rs12983497_profile_position.png",4,220,900)</f>
        <v/>
      </c>
    </row>
    <row r="2041">
      <c r="A2041" t="inlineStr">
        <is>
          <t>chr19</t>
        </is>
      </c>
      <c r="B2041" t="n">
        <v>38100867</v>
      </c>
      <c r="C2041" t="inlineStr">
        <is>
          <t>G</t>
        </is>
      </c>
      <c r="D2041" t="inlineStr">
        <is>
          <t>T</t>
        </is>
      </c>
      <c r="E2041" t="inlineStr">
        <is>
          <t>rs3810356</t>
        </is>
      </c>
      <c r="F2041" t="n">
        <v>-0.0559723439999999</v>
      </c>
      <c r="G2041" t="n">
        <v>0.0522555191748883</v>
      </c>
      <c r="H2041" t="n">
        <v>0.0173038192978386</v>
      </c>
      <c r="I2041" t="n">
        <v>0.09970634960262439</v>
      </c>
      <c r="J2041" t="n">
        <v>0.5505440412656907</v>
      </c>
      <c r="K2041" t="n">
        <v>0.0602165415311171</v>
      </c>
      <c r="L2041" t="b">
        <v>0</v>
      </c>
      <c r="M2041" t="b">
        <v>0</v>
      </c>
      <c r="N2041" t="inlineStr">
        <is>
          <t>ref</t>
        </is>
      </c>
      <c r="O2041" t="n">
        <v>-35</v>
      </c>
      <c r="P2041" t="n">
        <v>0.006035</v>
      </c>
      <c r="Q2041" t="n">
        <v>65</v>
      </c>
      <c r="R2041" t="n">
        <v>0.0526</v>
      </c>
      <c r="S2041">
        <f>IMAGE("https://mitra.stanford.edu/kundaje/oak/projects/neuro-variants/variant_position/credible/roussos_2024/variant_figures/roussos_2024.adolescence.GLU/rs3810356_count_position.png",4,220,900)</f>
        <v/>
      </c>
      <c r="T2041">
        <f>IMAGE("https://mitra.stanford.edu/kundaje/oak/projects/neuro-variants/variant_position/credible/roussos_2024/variant_figures/roussos_2024.adolescence.GLU/rs3810356_profile_position.png",4,220,900)</f>
        <v/>
      </c>
    </row>
    <row r="2042">
      <c r="A2042" t="inlineStr">
        <is>
          <t>chr19</t>
        </is>
      </c>
      <c r="B2042" t="n">
        <v>38124082</v>
      </c>
      <c r="C2042" t="inlineStr">
        <is>
          <t>C</t>
        </is>
      </c>
      <c r="D2042" t="inlineStr">
        <is>
          <t>T</t>
        </is>
      </c>
      <c r="E2042" t="inlineStr">
        <is>
          <t>rs569675332</t>
        </is>
      </c>
      <c r="F2042" t="n">
        <v>-0.0086824144</v>
      </c>
      <c r="G2042" t="n">
        <v>0.5865488451749405</v>
      </c>
      <c r="H2042" t="n">
        <v>0.0165403879552129</v>
      </c>
      <c r="I2042" t="n">
        <v>0.114899281103389</v>
      </c>
      <c r="J2042" t="n">
        <v>0.6059240842745998</v>
      </c>
      <c r="K2042" t="n">
        <v>0.0352234927312312</v>
      </c>
      <c r="L2042" t="b">
        <v>0</v>
      </c>
      <c r="M2042" t="b">
        <v>0</v>
      </c>
      <c r="N2042" t="inlineStr">
        <is>
          <t>ref</t>
        </is>
      </c>
      <c r="O2042" t="n">
        <v>-65</v>
      </c>
      <c r="P2042" t="n">
        <v>0.01111</v>
      </c>
      <c r="Q2042" t="n">
        <v>-35</v>
      </c>
      <c r="R2042" t="n">
        <v>0.02045</v>
      </c>
      <c r="S2042">
        <f>IMAGE("https://mitra.stanford.edu/kundaje/oak/projects/neuro-variants/variant_position/credible/roussos_2024/variant_figures/roussos_2024.adolescence.GLU/rs569675332_count_position.png",4,220,900)</f>
        <v/>
      </c>
      <c r="T2042">
        <f>IMAGE("https://mitra.stanford.edu/kundaje/oak/projects/neuro-variants/variant_position/credible/roussos_2024/variant_figures/roussos_2024.adolescence.GLU/rs569675332_profile_position.png",4,220,900)</f>
        <v/>
      </c>
    </row>
    <row r="2043">
      <c r="A2043" t="inlineStr">
        <is>
          <t>chr19</t>
        </is>
      </c>
      <c r="B2043" t="n">
        <v>38124126</v>
      </c>
      <c r="C2043" t="inlineStr">
        <is>
          <t>G</t>
        </is>
      </c>
      <c r="D2043" t="inlineStr">
        <is>
          <t>A</t>
        </is>
      </c>
      <c r="E2043" t="inlineStr">
        <is>
          <t>rs182522360</t>
        </is>
      </c>
      <c r="F2043" t="n">
        <v>-0.006246297392</v>
      </c>
      <c r="G2043" t="n">
        <v>0.6522833572759641</v>
      </c>
      <c r="H2043" t="n">
        <v>0.0218638604801502</v>
      </c>
      <c r="I2043" t="n">
        <v>0.0391749143378183</v>
      </c>
      <c r="J2043" t="n">
        <v>0.6139157396889354</v>
      </c>
      <c r="K2043" t="n">
        <v>0.0327206767459664</v>
      </c>
      <c r="L2043" t="b">
        <v>0</v>
      </c>
      <c r="M2043" t="b">
        <v>0</v>
      </c>
      <c r="N2043" t="inlineStr">
        <is>
          <t>ref</t>
        </is>
      </c>
      <c r="O2043" t="n">
        <v>-95</v>
      </c>
      <c r="P2043" t="n">
        <v>0.03806</v>
      </c>
      <c r="Q2043" t="n">
        <v>85</v>
      </c>
      <c r="R2043" t="n">
        <v>0.02933</v>
      </c>
      <c r="S2043">
        <f>IMAGE("https://mitra.stanford.edu/kundaje/oak/projects/neuro-variants/variant_position/credible/roussos_2024/variant_figures/roussos_2024.adolescence.GLU/rs182522360_count_position.png",4,220,900)</f>
        <v/>
      </c>
      <c r="T2043">
        <f>IMAGE("https://mitra.stanford.edu/kundaje/oak/projects/neuro-variants/variant_position/credible/roussos_2024/variant_figures/roussos_2024.adolescence.GLU/rs182522360_profile_position.png",4,220,900)</f>
        <v/>
      </c>
    </row>
    <row r="2044">
      <c r="A2044" t="inlineStr">
        <is>
          <t>chr19</t>
        </is>
      </c>
      <c r="B2044" t="n">
        <v>38131300</v>
      </c>
      <c r="C2044" t="inlineStr">
        <is>
          <t>G</t>
        </is>
      </c>
      <c r="D2044" t="inlineStr">
        <is>
          <t>A</t>
        </is>
      </c>
      <c r="E2044" t="inlineStr">
        <is>
          <t>rs855616</t>
        </is>
      </c>
      <c r="F2044" t="n">
        <v>-0.00781374474</v>
      </c>
      <c r="G2044" t="n">
        <v>0.5348013013651756</v>
      </c>
      <c r="H2044" t="n">
        <v>0.0094096826185765</v>
      </c>
      <c r="I2044" t="n">
        <v>0.6117022705712745</v>
      </c>
      <c r="J2044" t="n">
        <v>0.3939601774653321</v>
      </c>
      <c r="K2044" t="n">
        <v>0.1727167348657049</v>
      </c>
      <c r="L2044" t="b">
        <v>0</v>
      </c>
      <c r="M2044" t="b">
        <v>0</v>
      </c>
      <c r="N2044" t="inlineStr">
        <is>
          <t>ref</t>
        </is>
      </c>
      <c r="O2044" t="n">
        <v>-90</v>
      </c>
      <c r="P2044" t="n">
        <v>0.004467</v>
      </c>
      <c r="Q2044" t="n">
        <v>0</v>
      </c>
      <c r="R2044" t="n">
        <v>0</v>
      </c>
      <c r="S2044">
        <f>IMAGE("https://mitra.stanford.edu/kundaje/oak/projects/neuro-variants/variant_position/credible/roussos_2024/variant_figures/roussos_2024.adolescence.GLU/rs855616_count_position.png",4,220,900)</f>
        <v/>
      </c>
      <c r="T2044">
        <f>IMAGE("https://mitra.stanford.edu/kundaje/oak/projects/neuro-variants/variant_position/credible/roussos_2024/variant_figures/roussos_2024.adolescence.GLU/rs855616_profile_position.png",4,220,900)</f>
        <v/>
      </c>
    </row>
    <row r="2045">
      <c r="A2045" t="inlineStr">
        <is>
          <t>chr19</t>
        </is>
      </c>
      <c r="B2045" t="n">
        <v>38135855</v>
      </c>
      <c r="C2045" t="inlineStr">
        <is>
          <t>T</t>
        </is>
      </c>
      <c r="D2045" t="inlineStr">
        <is>
          <t>C</t>
        </is>
      </c>
      <c r="E2045" t="inlineStr">
        <is>
          <t>rs8110434</t>
        </is>
      </c>
      <c r="F2045" t="n">
        <v>0.0153578588999999</v>
      </c>
      <c r="G2045" t="n">
        <v>0.3621041053200023</v>
      </c>
      <c r="H2045" t="n">
        <v>0.0107183243172696</v>
      </c>
      <c r="I2045" t="n">
        <v>0.4517020843102191</v>
      </c>
      <c r="J2045" t="n">
        <v>0.4180037293439355</v>
      </c>
      <c r="K2045" t="n">
        <v>0.1515163572606548</v>
      </c>
      <c r="L2045" t="b">
        <v>0</v>
      </c>
      <c r="M2045" t="b">
        <v>0</v>
      </c>
      <c r="N2045" t="inlineStr">
        <is>
          <t>alt</t>
        </is>
      </c>
      <c r="O2045" t="n">
        <v>100</v>
      </c>
      <c r="P2045" t="n">
        <v>0.0182</v>
      </c>
      <c r="Q2045" t="n">
        <v>-25</v>
      </c>
      <c r="R2045" t="n">
        <v>0.0398</v>
      </c>
      <c r="S2045">
        <f>IMAGE("https://mitra.stanford.edu/kundaje/oak/projects/neuro-variants/variant_position/credible/roussos_2024/variant_figures/roussos_2024.adolescence.GLU/rs8110434_count_position.png",4,220,900)</f>
        <v/>
      </c>
      <c r="T2045">
        <f>IMAGE("https://mitra.stanford.edu/kundaje/oak/projects/neuro-variants/variant_position/credible/roussos_2024/variant_figures/roussos_2024.adolescence.GLU/rs8110434_profile_position.png",4,220,900)</f>
        <v/>
      </c>
    </row>
    <row r="2046">
      <c r="A2046" t="inlineStr">
        <is>
          <t>chr19</t>
        </is>
      </c>
      <c r="B2046" t="n">
        <v>38138144</v>
      </c>
      <c r="C2046" t="inlineStr">
        <is>
          <t>A</t>
        </is>
      </c>
      <c r="D2046" t="inlineStr">
        <is>
          <t>T</t>
        </is>
      </c>
      <c r="E2046" t="inlineStr">
        <is>
          <t>rs4803805</t>
        </is>
      </c>
      <c r="F2046" t="n">
        <v>-0.005912128693</v>
      </c>
      <c r="G2046" t="n">
        <v>0.7027482424510816</v>
      </c>
      <c r="H2046" t="n">
        <v>0.0275874328130939</v>
      </c>
      <c r="I2046" t="n">
        <v>0.014139698286384</v>
      </c>
      <c r="J2046" t="n">
        <v>0.1202020418515263</v>
      </c>
      <c r="K2046" t="n">
        <v>0.5472296264404287</v>
      </c>
      <c r="L2046" t="b">
        <v>1</v>
      </c>
      <c r="M2046" t="b">
        <v>0</v>
      </c>
      <c r="N2046" t="inlineStr">
        <is>
          <t>ref</t>
        </is>
      </c>
      <c r="O2046" t="n">
        <v>-80</v>
      </c>
      <c r="P2046" t="n">
        <v>0.01947</v>
      </c>
      <c r="Q2046" t="n">
        <v>25</v>
      </c>
      <c r="R2046" t="n">
        <v>0.01416</v>
      </c>
      <c r="S2046">
        <f>IMAGE("https://mitra.stanford.edu/kundaje/oak/projects/neuro-variants/variant_position/credible/roussos_2024/variant_figures/roussos_2024.adolescence.GLU/rs4803805_count_position.png",4,220,900)</f>
        <v/>
      </c>
      <c r="T2046">
        <f>IMAGE("https://mitra.stanford.edu/kundaje/oak/projects/neuro-variants/variant_position/credible/roussos_2024/variant_figures/roussos_2024.adolescence.GLU/rs4803805_profile_position.png",4,220,900)</f>
        <v/>
      </c>
    </row>
    <row r="2047">
      <c r="A2047" t="inlineStr">
        <is>
          <t>chr19</t>
        </is>
      </c>
      <c r="B2047" t="n">
        <v>38139285</v>
      </c>
      <c r="C2047" t="inlineStr">
        <is>
          <t>G</t>
        </is>
      </c>
      <c r="D2047" t="inlineStr">
        <is>
          <t>T</t>
        </is>
      </c>
      <c r="E2047" t="inlineStr">
        <is>
          <t>rs61185863</t>
        </is>
      </c>
      <c r="F2047" t="n">
        <v>0.001337369432</v>
      </c>
      <c r="G2047" t="n">
        <v>0.6059439346075083</v>
      </c>
      <c r="H2047" t="n">
        <v>0.015550506769328</v>
      </c>
      <c r="I2047" t="n">
        <v>0.1443523347668386</v>
      </c>
      <c r="J2047" t="n">
        <v>0.3172557172557172</v>
      </c>
      <c r="K2047" t="n">
        <v>0.2521136246432316</v>
      </c>
      <c r="L2047" t="b">
        <v>0</v>
      </c>
      <c r="M2047" t="b">
        <v>0</v>
      </c>
      <c r="N2047" t="inlineStr">
        <is>
          <t>alt</t>
        </is>
      </c>
      <c r="O2047" t="n">
        <v>-20</v>
      </c>
      <c r="P2047" t="n">
        <v>0.000662</v>
      </c>
      <c r="Q2047" t="n">
        <v>-50</v>
      </c>
      <c r="R2047" t="n">
        <v>0.06759999999999999</v>
      </c>
      <c r="S2047">
        <f>IMAGE("https://mitra.stanford.edu/kundaje/oak/projects/neuro-variants/variant_position/credible/roussos_2024/variant_figures/roussos_2024.adolescence.GLU/rs61185863_count_position.png",4,220,900)</f>
        <v/>
      </c>
      <c r="T2047">
        <f>IMAGE("https://mitra.stanford.edu/kundaje/oak/projects/neuro-variants/variant_position/credible/roussos_2024/variant_figures/roussos_2024.adolescence.GLU/rs61185863_profile_position.png",4,220,900)</f>
        <v/>
      </c>
    </row>
    <row r="2048">
      <c r="A2048" t="inlineStr">
        <is>
          <t>chr19</t>
        </is>
      </c>
      <c r="B2048" t="n">
        <v>38180561</v>
      </c>
      <c r="C2048" t="inlineStr">
        <is>
          <t>A</t>
        </is>
      </c>
      <c r="D2048" t="inlineStr">
        <is>
          <t>G</t>
        </is>
      </c>
      <c r="E2048" t="inlineStr">
        <is>
          <t>rs10401165</t>
        </is>
      </c>
      <c r="F2048" t="n">
        <v>0.0056869911728</v>
      </c>
      <c r="G2048" t="n">
        <v>0.6615261495333991</v>
      </c>
      <c r="H2048" t="n">
        <v>0.0233268029258834</v>
      </c>
      <c r="I2048" t="n">
        <v>0.0288346721364416</v>
      </c>
      <c r="J2048" t="n">
        <v>0.1293496509991354</v>
      </c>
      <c r="K2048" t="n">
        <v>0.5158917990569758</v>
      </c>
      <c r="L2048" t="b">
        <v>0</v>
      </c>
      <c r="M2048" t="b">
        <v>0</v>
      </c>
      <c r="N2048" t="inlineStr">
        <is>
          <t>alt</t>
        </is>
      </c>
      <c r="O2048" t="n">
        <v>-100</v>
      </c>
      <c r="P2048" t="n">
        <v>0.001678</v>
      </c>
      <c r="Q2048" t="n">
        <v>5</v>
      </c>
      <c r="R2048" t="n">
        <v>0.00351</v>
      </c>
      <c r="S2048">
        <f>IMAGE("https://mitra.stanford.edu/kundaje/oak/projects/neuro-variants/variant_position/credible/roussos_2024/variant_figures/roussos_2024.adolescence.GLU/rs10401165_count_position.png",4,220,900)</f>
        <v/>
      </c>
      <c r="T2048">
        <f>IMAGE("https://mitra.stanford.edu/kundaje/oak/projects/neuro-variants/variant_position/credible/roussos_2024/variant_figures/roussos_2024.adolescence.GLU/rs10401165_profile_position.png",4,220,900)</f>
        <v/>
      </c>
    </row>
    <row r="2049">
      <c r="A2049" t="inlineStr">
        <is>
          <t>chr19</t>
        </is>
      </c>
      <c r="B2049" t="n">
        <v>49661592</v>
      </c>
      <c r="C2049" t="inlineStr">
        <is>
          <t>G</t>
        </is>
      </c>
      <c r="D2049" t="inlineStr">
        <is>
          <t>T</t>
        </is>
      </c>
      <c r="E2049" t="inlineStr">
        <is>
          <t>rs66675705</t>
        </is>
      </c>
      <c r="F2049" t="n">
        <v>0.0061906257599999</v>
      </c>
      <c r="G2049" t="n">
        <v>0.6202381976662082</v>
      </c>
      <c r="H2049" t="n">
        <v>0.0372200506804016</v>
      </c>
      <c r="I2049" t="n">
        <v>0.0034397821167598</v>
      </c>
      <c r="J2049" t="n">
        <v>0.4507948074958383</v>
      </c>
      <c r="K2049" t="n">
        <v>0.1241179056079118</v>
      </c>
      <c r="L2049" t="b">
        <v>1</v>
      </c>
      <c r="M2049" t="b">
        <v>1</v>
      </c>
      <c r="N2049" t="inlineStr">
        <is>
          <t>alt</t>
        </is>
      </c>
      <c r="O2049" t="n">
        <v>40</v>
      </c>
      <c r="P2049" t="n">
        <v>0.003677</v>
      </c>
      <c r="Q2049" t="n">
        <v>-55</v>
      </c>
      <c r="R2049" t="n">
        <v>0.07294</v>
      </c>
      <c r="S2049">
        <f>IMAGE("https://mitra.stanford.edu/kundaje/oak/projects/neuro-variants/variant_position/credible/roussos_2024/variant_figures/roussos_2024.adolescence.GLU/rs66675705_count_position.png",4,220,900)</f>
        <v/>
      </c>
      <c r="T2049">
        <f>IMAGE("https://mitra.stanford.edu/kundaje/oak/projects/neuro-variants/variant_position/credible/roussos_2024/variant_figures/roussos_2024.adolescence.GLU/rs66675705_profile_position.png",4,220,900)</f>
        <v/>
      </c>
    </row>
    <row r="2050">
      <c r="A2050" t="inlineStr">
        <is>
          <t>chr19</t>
        </is>
      </c>
      <c r="B2050" t="n">
        <v>49665614</v>
      </c>
      <c r="C2050" t="inlineStr">
        <is>
          <t>G</t>
        </is>
      </c>
      <c r="D2050" t="inlineStr">
        <is>
          <t>A</t>
        </is>
      </c>
      <c r="E2050" t="inlineStr">
        <is>
          <t>rs2304206</t>
        </is>
      </c>
      <c r="F2050" t="n">
        <v>-0.0234772578</v>
      </c>
      <c r="G2050" t="n">
        <v>0.2491877919221631</v>
      </c>
      <c r="H2050" t="n">
        <v>0.0089204416318152</v>
      </c>
      <c r="I2050" t="n">
        <v>0.668445069491628</v>
      </c>
      <c r="J2050" t="n">
        <v>0.8604339470318851</v>
      </c>
      <c r="K2050" t="n">
        <v>0.0051005599637569</v>
      </c>
      <c r="L2050" t="b">
        <v>0</v>
      </c>
      <c r="M2050" t="b">
        <v>0</v>
      </c>
      <c r="N2050" t="inlineStr">
        <is>
          <t>ref</t>
        </is>
      </c>
      <c r="O2050" t="n">
        <v>100</v>
      </c>
      <c r="P2050" t="n">
        <v>0.01683</v>
      </c>
      <c r="Q2050" t="n">
        <v>100</v>
      </c>
      <c r="R2050" t="n">
        <v>0.007324</v>
      </c>
      <c r="S2050">
        <f>IMAGE("https://mitra.stanford.edu/kundaje/oak/projects/neuro-variants/variant_position/credible/roussos_2024/variant_figures/roussos_2024.adolescence.GLU/rs2304206_count_position.png",4,220,900)</f>
        <v/>
      </c>
      <c r="T2050">
        <f>IMAGE("https://mitra.stanford.edu/kundaje/oak/projects/neuro-variants/variant_position/credible/roussos_2024/variant_figures/roussos_2024.adolescence.GLU/rs2304206_profile_position.png",4,220,900)</f>
        <v/>
      </c>
    </row>
    <row r="2051">
      <c r="A2051" t="inlineStr">
        <is>
          <t>chr19</t>
        </is>
      </c>
      <c r="B2051" t="n">
        <v>49665670</v>
      </c>
      <c r="C2051" t="inlineStr">
        <is>
          <t>A</t>
        </is>
      </c>
      <c r="D2051" t="inlineStr">
        <is>
          <t>C</t>
        </is>
      </c>
      <c r="E2051" t="inlineStr">
        <is>
          <t>rs2304205</t>
        </is>
      </c>
      <c r="F2051" t="n">
        <v>0.0141936225</v>
      </c>
      <c r="G2051" t="n">
        <v>0.3888564155960975</v>
      </c>
      <c r="H2051" t="n">
        <v>0.0187876545366633</v>
      </c>
      <c r="I2051" t="n">
        <v>0.0709962285400573</v>
      </c>
      <c r="J2051" t="n">
        <v>0.8741496452836659</v>
      </c>
      <c r="K2051" t="n">
        <v>0.0044875246636966</v>
      </c>
      <c r="L2051" t="b">
        <v>0</v>
      </c>
      <c r="M2051" t="b">
        <v>0</v>
      </c>
      <c r="N2051" t="inlineStr">
        <is>
          <t>alt</t>
        </is>
      </c>
      <c r="O2051" t="n">
        <v>100</v>
      </c>
      <c r="P2051" t="n">
        <v>0.03033</v>
      </c>
      <c r="Q2051" t="n">
        <v>50</v>
      </c>
      <c r="R2051" t="n">
        <v>0.1106</v>
      </c>
      <c r="S2051">
        <f>IMAGE("https://mitra.stanford.edu/kundaje/oak/projects/neuro-variants/variant_position/credible/roussos_2024/variant_figures/roussos_2024.adolescence.GLU/rs2304205_count_position.png",4,220,900)</f>
        <v/>
      </c>
      <c r="T2051">
        <f>IMAGE("https://mitra.stanford.edu/kundaje/oak/projects/neuro-variants/variant_position/credible/roussos_2024/variant_figures/roussos_2024.adolescence.GLU/rs2304205_profile_position.png",4,220,900)</f>
        <v/>
      </c>
    </row>
    <row r="2052">
      <c r="A2052" t="inlineStr">
        <is>
          <t>chr19</t>
        </is>
      </c>
      <c r="B2052" t="n">
        <v>50466719</v>
      </c>
      <c r="C2052" t="inlineStr">
        <is>
          <t>C</t>
        </is>
      </c>
      <c r="D2052" t="inlineStr">
        <is>
          <t>T</t>
        </is>
      </c>
      <c r="E2052" t="inlineStr">
        <is>
          <t>rs2278999</t>
        </is>
      </c>
      <c r="F2052" t="n">
        <v>0.0396053997999999</v>
      </c>
      <c r="G2052" t="n">
        <v>0.1040566389444273</v>
      </c>
      <c r="H2052" t="n">
        <v>0.0187192293380939</v>
      </c>
      <c r="I2052" t="n">
        <v>0.0758778917570653</v>
      </c>
      <c r="J2052" t="n">
        <v>0.6316979945845926</v>
      </c>
      <c r="K2052" t="n">
        <v>0.0278626900424506</v>
      </c>
      <c r="L2052" t="b">
        <v>0</v>
      </c>
      <c r="M2052" t="b">
        <v>0</v>
      </c>
      <c r="N2052" t="inlineStr">
        <is>
          <t>alt</t>
        </is>
      </c>
      <c r="O2052" t="n">
        <v>80</v>
      </c>
      <c r="P2052" t="n">
        <v>0.005344</v>
      </c>
      <c r="Q2052" t="n">
        <v>-70</v>
      </c>
      <c r="R2052" t="n">
        <v>0.1134</v>
      </c>
      <c r="S2052">
        <f>IMAGE("https://mitra.stanford.edu/kundaje/oak/projects/neuro-variants/variant_position/credible/roussos_2024/variant_figures/roussos_2024.adolescence.GLU/rs2278999_count_position.png",4,220,900)</f>
        <v/>
      </c>
      <c r="T2052">
        <f>IMAGE("https://mitra.stanford.edu/kundaje/oak/projects/neuro-variants/variant_position/credible/roussos_2024/variant_figures/roussos_2024.adolescence.GLU/rs2278999_profile_position.png",4,220,900)</f>
        <v/>
      </c>
    </row>
    <row r="2053">
      <c r="A2053" t="inlineStr">
        <is>
          <t>chr19</t>
        </is>
      </c>
      <c r="B2053" t="n">
        <v>56675761</v>
      </c>
      <c r="C2053" t="inlineStr">
        <is>
          <t>T</t>
        </is>
      </c>
      <c r="D2053" t="inlineStr">
        <is>
          <t>C</t>
        </is>
      </c>
      <c r="E2053" t="inlineStr">
        <is>
          <t>rs2052241</t>
        </is>
      </c>
      <c r="F2053" t="n">
        <v>0.07490382499999999</v>
      </c>
      <c r="G2053" t="n">
        <v>0.0177599169875153</v>
      </c>
      <c r="H2053" t="n">
        <v>0.0124089279962805</v>
      </c>
      <c r="I2053" t="n">
        <v>0.3071701570894629</v>
      </c>
      <c r="J2053" t="n">
        <v>0.2083503011338062</v>
      </c>
      <c r="K2053" t="n">
        <v>0.3889065912650623</v>
      </c>
      <c r="L2053" t="b">
        <v>1</v>
      </c>
      <c r="M2053" t="b">
        <v>0</v>
      </c>
      <c r="N2053" t="inlineStr">
        <is>
          <t>alt</t>
        </is>
      </c>
      <c r="O2053" t="n">
        <v>100</v>
      </c>
      <c r="P2053" t="n">
        <v>0.01921</v>
      </c>
      <c r="Q2053" t="n">
        <v>-100</v>
      </c>
      <c r="R2053" t="n">
        <v>0.08923</v>
      </c>
      <c r="S2053">
        <f>IMAGE("https://mitra.stanford.edu/kundaje/oak/projects/neuro-variants/variant_position/credible/roussos_2024/variant_figures/roussos_2024.adolescence.GLU/rs2052241_count_position.png",4,220,900)</f>
        <v/>
      </c>
      <c r="T2053">
        <f>IMAGE("https://mitra.stanford.edu/kundaje/oak/projects/neuro-variants/variant_position/credible/roussos_2024/variant_figures/roussos_2024.adolescence.GLU/rs2052241_profile_position.png",4,220,900)</f>
        <v/>
      </c>
    </row>
    <row r="2054">
      <c r="A2054" t="inlineStr">
        <is>
          <t>chr19</t>
        </is>
      </c>
      <c r="B2054" t="n">
        <v>56678350</v>
      </c>
      <c r="C2054" t="inlineStr">
        <is>
          <t>C</t>
        </is>
      </c>
      <c r="D2054" t="inlineStr">
        <is>
          <t>T</t>
        </is>
      </c>
      <c r="E2054" t="inlineStr">
        <is>
          <t>rs758749</t>
        </is>
      </c>
      <c r="F2054" t="n">
        <v>-0.0332827215999999</v>
      </c>
      <c r="G2054" t="n">
        <v>0.1556671188556455</v>
      </c>
      <c r="H2054" t="n">
        <v>0.009384694287730399</v>
      </c>
      <c r="I2054" t="n">
        <v>0.5962178464686522</v>
      </c>
      <c r="J2054" t="n">
        <v>0.3863971822734709</v>
      </c>
      <c r="K2054" t="n">
        <v>0.1795639557095364</v>
      </c>
      <c r="L2054" t="b">
        <v>0</v>
      </c>
      <c r="M2054" t="b">
        <v>0</v>
      </c>
      <c r="N2054" t="inlineStr">
        <is>
          <t>ref</t>
        </is>
      </c>
      <c r="O2054" t="n">
        <v>-65</v>
      </c>
      <c r="P2054" t="n">
        <v>0.00397</v>
      </c>
      <c r="Q2054" t="n">
        <v>-25</v>
      </c>
      <c r="R2054" t="n">
        <v>0.012695</v>
      </c>
      <c r="S2054">
        <f>IMAGE("https://mitra.stanford.edu/kundaje/oak/projects/neuro-variants/variant_position/credible/roussos_2024/variant_figures/roussos_2024.adolescence.GLU/rs758749_count_position.png",4,220,900)</f>
        <v/>
      </c>
      <c r="T2054">
        <f>IMAGE("https://mitra.stanford.edu/kundaje/oak/projects/neuro-variants/variant_position/credible/roussos_2024/variant_figures/roussos_2024.adolescence.GLU/rs758749_profile_position.png",4,220,900)</f>
        <v/>
      </c>
    </row>
    <row r="2055">
      <c r="A2055" t="inlineStr">
        <is>
          <t>chr2</t>
        </is>
      </c>
      <c r="B2055" t="n">
        <v>2312029</v>
      </c>
      <c r="C2055" t="inlineStr">
        <is>
          <t>A</t>
        </is>
      </c>
      <c r="D2055" t="inlineStr">
        <is>
          <t>G</t>
        </is>
      </c>
      <c r="E2055" t="inlineStr">
        <is>
          <t>rs17247190</t>
        </is>
      </c>
      <c r="F2055" t="n">
        <v>0.0033965189756</v>
      </c>
      <c r="G2055" t="n">
        <v>0.6427880164018134</v>
      </c>
      <c r="H2055" t="n">
        <v>0.0069684152033712</v>
      </c>
      <c r="I2055" t="n">
        <v>0.914333615291033</v>
      </c>
      <c r="J2055" t="n">
        <v>0.2317251430653492</v>
      </c>
      <c r="K2055" t="n">
        <v>0.3565000029138069</v>
      </c>
      <c r="L2055" t="b">
        <v>0</v>
      </c>
      <c r="M2055" t="b">
        <v>0</v>
      </c>
      <c r="N2055" t="inlineStr">
        <is>
          <t>alt</t>
        </is>
      </c>
      <c r="O2055" t="n">
        <v>-50</v>
      </c>
      <c r="P2055" t="n">
        <v>0.002417</v>
      </c>
      <c r="Q2055" t="n">
        <v>35</v>
      </c>
      <c r="R2055" t="n">
        <v>0.0731</v>
      </c>
      <c r="S2055">
        <f>IMAGE("https://mitra.stanford.edu/kundaje/oak/projects/neuro-variants/variant_position/credible/roussos_2024/variant_figures/roussos_2024.adolescence.GLU/rs17247190_count_position.png",4,220,900)</f>
        <v/>
      </c>
      <c r="T2055">
        <f>IMAGE("https://mitra.stanford.edu/kundaje/oak/projects/neuro-variants/variant_position/credible/roussos_2024/variant_figures/roussos_2024.adolescence.GLU/rs17247190_profile_position.png",4,220,900)</f>
        <v/>
      </c>
    </row>
    <row r="2056">
      <c r="A2056" t="inlineStr">
        <is>
          <t>chr2</t>
        </is>
      </c>
      <c r="B2056" t="n">
        <v>2322151</v>
      </c>
      <c r="C2056" t="inlineStr">
        <is>
          <t>T</t>
        </is>
      </c>
      <c r="D2056" t="inlineStr">
        <is>
          <t>C</t>
        </is>
      </c>
      <c r="E2056" t="inlineStr">
        <is>
          <t>rs10206268</t>
        </is>
      </c>
      <c r="F2056" t="n">
        <v>0.0081773748</v>
      </c>
      <c r="G2056" t="n">
        <v>0.5707511789351957</v>
      </c>
      <c r="H2056" t="n">
        <v>0.015482460317776</v>
      </c>
      <c r="I2056" t="n">
        <v>0.1620199158811292</v>
      </c>
      <c r="J2056" t="n">
        <v>0.1157496910074229</v>
      </c>
      <c r="K2056" t="n">
        <v>0.5398792814699798</v>
      </c>
      <c r="L2056" t="b">
        <v>0</v>
      </c>
      <c r="M2056" t="b">
        <v>0</v>
      </c>
      <c r="N2056" t="inlineStr">
        <is>
          <t>alt</t>
        </is>
      </c>
      <c r="O2056" t="n">
        <v>90</v>
      </c>
      <c r="P2056" t="n">
        <v>0.01367</v>
      </c>
      <c r="Q2056" t="n">
        <v>-25</v>
      </c>
      <c r="R2056" t="n">
        <v>0.0141</v>
      </c>
      <c r="S2056">
        <f>IMAGE("https://mitra.stanford.edu/kundaje/oak/projects/neuro-variants/variant_position/credible/roussos_2024/variant_figures/roussos_2024.adolescence.GLU/rs10206268_count_position.png",4,220,900)</f>
        <v/>
      </c>
      <c r="T2056">
        <f>IMAGE("https://mitra.stanford.edu/kundaje/oak/projects/neuro-variants/variant_position/credible/roussos_2024/variant_figures/roussos_2024.adolescence.GLU/rs10206268_profile_position.png",4,220,900)</f>
        <v/>
      </c>
    </row>
    <row r="2057">
      <c r="A2057" t="inlineStr">
        <is>
          <t>chr2</t>
        </is>
      </c>
      <c r="B2057" t="n">
        <v>17824042</v>
      </c>
      <c r="C2057" t="inlineStr">
        <is>
          <t>G</t>
        </is>
      </c>
      <c r="D2057" t="inlineStr">
        <is>
          <t>A</t>
        </is>
      </c>
      <c r="E2057" t="inlineStr">
        <is>
          <t>rs35983183</t>
        </is>
      </c>
      <c r="F2057" t="n">
        <v>-0.0060172418999999</v>
      </c>
      <c r="G2057" t="n">
        <v>0.6811702232191076</v>
      </c>
      <c r="H2057" t="n">
        <v>0.009607444190189</v>
      </c>
      <c r="I2057" t="n">
        <v>0.5649920142287784</v>
      </c>
      <c r="J2057" t="n">
        <v>0.1347793471504811</v>
      </c>
      <c r="K2057" t="n">
        <v>0.5165526895127104</v>
      </c>
      <c r="L2057" t="b">
        <v>0</v>
      </c>
      <c r="M2057" t="b">
        <v>0</v>
      </c>
      <c r="N2057" t="inlineStr">
        <is>
          <t>ref</t>
        </is>
      </c>
      <c r="O2057" t="n">
        <v>-5</v>
      </c>
      <c r="P2057" t="n">
        <v>3.05e-05</v>
      </c>
      <c r="Q2057" t="n">
        <v>-95</v>
      </c>
      <c r="R2057" t="n">
        <v>0.0166</v>
      </c>
      <c r="S2057">
        <f>IMAGE("https://mitra.stanford.edu/kundaje/oak/projects/neuro-variants/variant_position/credible/roussos_2024/variant_figures/roussos_2024.adolescence.GLU/rs35983183_count_position.png",4,220,900)</f>
        <v/>
      </c>
      <c r="T2057">
        <f>IMAGE("https://mitra.stanford.edu/kundaje/oak/projects/neuro-variants/variant_position/credible/roussos_2024/variant_figures/roussos_2024.adolescence.GLU/rs35983183_profile_position.png",4,220,900)</f>
        <v/>
      </c>
    </row>
    <row r="2058">
      <c r="A2058" t="inlineStr">
        <is>
          <t>chr2</t>
        </is>
      </c>
      <c r="B2058" t="n">
        <v>17826046</v>
      </c>
      <c r="C2058" t="inlineStr">
        <is>
          <t>T</t>
        </is>
      </c>
      <c r="D2058" t="inlineStr">
        <is>
          <t>C</t>
        </is>
      </c>
      <c r="E2058" t="inlineStr">
        <is>
          <t>rs35925486</t>
        </is>
      </c>
      <c r="F2058" t="n">
        <v>0.041912943</v>
      </c>
      <c r="G2058" t="n">
        <v>0.0916403085389869</v>
      </c>
      <c r="H2058" t="n">
        <v>0.0238990051535637</v>
      </c>
      <c r="I2058" t="n">
        <v>0.0305373350141246</v>
      </c>
      <c r="J2058" t="n">
        <v>0.1156496702888454</v>
      </c>
      <c r="K2058" t="n">
        <v>0.5426752501589971</v>
      </c>
      <c r="L2058" t="b">
        <v>0</v>
      </c>
      <c r="M2058" t="b">
        <v>0</v>
      </c>
      <c r="N2058" t="inlineStr">
        <is>
          <t>alt</t>
        </is>
      </c>
      <c r="O2058" t="n">
        <v>-70</v>
      </c>
      <c r="P2058" t="n">
        <v>0.001944</v>
      </c>
      <c r="Q2058" t="n">
        <v>-10</v>
      </c>
      <c r="R2058" t="n">
        <v>0.01456</v>
      </c>
      <c r="S2058">
        <f>IMAGE("https://mitra.stanford.edu/kundaje/oak/projects/neuro-variants/variant_position/credible/roussos_2024/variant_figures/roussos_2024.adolescence.GLU/rs35925486_count_position.png",4,220,900)</f>
        <v/>
      </c>
      <c r="T2058">
        <f>IMAGE("https://mitra.stanford.edu/kundaje/oak/projects/neuro-variants/variant_position/credible/roussos_2024/variant_figures/roussos_2024.adolescence.GLU/rs35925486_profile_position.png",4,220,900)</f>
        <v/>
      </c>
    </row>
    <row r="2059">
      <c r="A2059" t="inlineStr">
        <is>
          <t>chr2</t>
        </is>
      </c>
      <c r="B2059" t="n">
        <v>17872369</v>
      </c>
      <c r="C2059" t="inlineStr">
        <is>
          <t>A</t>
        </is>
      </c>
      <c r="D2059" t="inlineStr">
        <is>
          <t>T</t>
        </is>
      </c>
      <c r="E2059" t="inlineStr">
        <is>
          <t>rs6531063</t>
        </is>
      </c>
      <c r="F2059" t="n">
        <v>0.00482319354</v>
      </c>
      <c r="G2059" t="n">
        <v>0.7188394399852377</v>
      </c>
      <c r="H2059" t="n">
        <v>0.0176839107231105</v>
      </c>
      <c r="I2059" t="n">
        <v>0.0881808211708708</v>
      </c>
      <c r="J2059" t="n">
        <v>0.149822463224525</v>
      </c>
      <c r="K2059" t="n">
        <v>0.4869011360021388</v>
      </c>
      <c r="L2059" t="b">
        <v>0</v>
      </c>
      <c r="M2059" t="b">
        <v>0</v>
      </c>
      <c r="N2059" t="inlineStr">
        <is>
          <t>alt</t>
        </is>
      </c>
      <c r="O2059" t="n">
        <v>20</v>
      </c>
      <c r="P2059" t="n">
        <v>0.0009003</v>
      </c>
      <c r="Q2059" t="n">
        <v>80</v>
      </c>
      <c r="R2059" t="n">
        <v>0.02768</v>
      </c>
      <c r="S2059">
        <f>IMAGE("https://mitra.stanford.edu/kundaje/oak/projects/neuro-variants/variant_position/credible/roussos_2024/variant_figures/roussos_2024.adolescence.GLU/rs6531063_count_position.png",4,220,900)</f>
        <v/>
      </c>
      <c r="T2059">
        <f>IMAGE("https://mitra.stanford.edu/kundaje/oak/projects/neuro-variants/variant_position/credible/roussos_2024/variant_figures/roussos_2024.adolescence.GLU/rs6531063_profile_position.png",4,220,900)</f>
        <v/>
      </c>
    </row>
    <row r="2060">
      <c r="A2060" t="inlineStr">
        <is>
          <t>chr2</t>
        </is>
      </c>
      <c r="B2060" t="n">
        <v>17894785</v>
      </c>
      <c r="C2060" t="inlineStr">
        <is>
          <t>A</t>
        </is>
      </c>
      <c r="D2060" t="inlineStr">
        <is>
          <t>G</t>
        </is>
      </c>
      <c r="E2060" t="inlineStr">
        <is>
          <t>rs2061607</t>
        </is>
      </c>
      <c r="F2060" t="n">
        <v>0.1165764899999999</v>
      </c>
      <c r="G2060" t="n">
        <v>0.0048473759687896</v>
      </c>
      <c r="H2060" t="n">
        <v>0.0176320758268907</v>
      </c>
      <c r="I2060" t="n">
        <v>0.0960248107181751</v>
      </c>
      <c r="J2060" t="n">
        <v>0.2825985382686413</v>
      </c>
      <c r="K2060" t="n">
        <v>0.2866566781694539</v>
      </c>
      <c r="L2060" t="b">
        <v>1</v>
      </c>
      <c r="M2060" t="b">
        <v>1</v>
      </c>
      <c r="N2060" t="inlineStr">
        <is>
          <t>alt</t>
        </is>
      </c>
      <c r="O2060" t="n">
        <v>100</v>
      </c>
      <c r="P2060" t="n">
        <v>0.01675</v>
      </c>
      <c r="Q2060" t="n">
        <v>-30</v>
      </c>
      <c r="R2060" t="n">
        <v>0.007812</v>
      </c>
      <c r="S2060">
        <f>IMAGE("https://mitra.stanford.edu/kundaje/oak/projects/neuro-variants/variant_position/credible/roussos_2024/variant_figures/roussos_2024.adolescence.GLU/rs2061607_count_position.png",4,220,900)</f>
        <v/>
      </c>
      <c r="T2060">
        <f>IMAGE("https://mitra.stanford.edu/kundaje/oak/projects/neuro-variants/variant_position/credible/roussos_2024/variant_figures/roussos_2024.adolescence.GLU/rs2061607_profile_position.png",4,220,900)</f>
        <v/>
      </c>
    </row>
    <row r="2061">
      <c r="A2061" t="inlineStr">
        <is>
          <t>chr2</t>
        </is>
      </c>
      <c r="B2061" t="n">
        <v>22333905</v>
      </c>
      <c r="C2061" t="inlineStr">
        <is>
          <t>A</t>
        </is>
      </c>
      <c r="D2061" t="inlineStr">
        <is>
          <t>C</t>
        </is>
      </c>
      <c r="E2061" t="inlineStr">
        <is>
          <t>rs4552217</t>
        </is>
      </c>
      <c r="F2061" t="n">
        <v>0.0164798938999999</v>
      </c>
      <c r="G2061" t="n">
        <v>0.3377600983780734</v>
      </c>
      <c r="H2061" t="n">
        <v>0.0063918779684195</v>
      </c>
      <c r="I2061" t="n">
        <v>0.9583301539722612</v>
      </c>
      <c r="J2061" t="n">
        <v>0.0850290417300726</v>
      </c>
      <c r="K2061" t="n">
        <v>0.6041969873005802</v>
      </c>
      <c r="L2061" t="b">
        <v>0</v>
      </c>
      <c r="M2061" t="b">
        <v>0</v>
      </c>
      <c r="N2061" t="inlineStr">
        <is>
          <t>alt</t>
        </is>
      </c>
      <c r="O2061" t="n">
        <v>-100</v>
      </c>
      <c r="P2061" t="n">
        <v>0.002243</v>
      </c>
      <c r="Q2061" t="n">
        <v>60</v>
      </c>
      <c r="R2061" t="n">
        <v>0.06995</v>
      </c>
      <c r="S2061">
        <f>IMAGE("https://mitra.stanford.edu/kundaje/oak/projects/neuro-variants/variant_position/credible/roussos_2024/variant_figures/roussos_2024.adolescence.GLU/rs4552217_count_position.png",4,220,900)</f>
        <v/>
      </c>
      <c r="T2061">
        <f>IMAGE("https://mitra.stanford.edu/kundaje/oak/projects/neuro-variants/variant_position/credible/roussos_2024/variant_figures/roussos_2024.adolescence.GLU/rs4552217_profile_position.png",4,220,900)</f>
        <v/>
      </c>
    </row>
    <row r="2062">
      <c r="A2062" t="inlineStr">
        <is>
          <t>chr2</t>
        </is>
      </c>
      <c r="B2062" t="n">
        <v>22333932</v>
      </c>
      <c r="C2062" t="inlineStr">
        <is>
          <t>T</t>
        </is>
      </c>
      <c r="D2062" t="inlineStr">
        <is>
          <t>G</t>
        </is>
      </c>
      <c r="E2062" t="inlineStr">
        <is>
          <t>rs4277554</t>
        </is>
      </c>
      <c r="F2062" t="n">
        <v>0.0249726636</v>
      </c>
      <c r="G2062" t="n">
        <v>0.2114940642394604</v>
      </c>
      <c r="H2062" t="n">
        <v>0.0112019101542958</v>
      </c>
      <c r="I2062" t="n">
        <v>0.3899568456297181</v>
      </c>
      <c r="J2062" t="n">
        <v>0.0879267848340012</v>
      </c>
      <c r="K2062" t="n">
        <v>0.5972913171373418</v>
      </c>
      <c r="L2062" t="b">
        <v>0</v>
      </c>
      <c r="M2062" t="b">
        <v>0</v>
      </c>
      <c r="N2062" t="inlineStr">
        <is>
          <t>alt</t>
        </is>
      </c>
      <c r="O2062" t="n">
        <v>-75</v>
      </c>
      <c r="P2062" t="n">
        <v>0.00599</v>
      </c>
      <c r="Q2062" t="n">
        <v>30</v>
      </c>
      <c r="R2062" t="n">
        <v>0.01492</v>
      </c>
      <c r="S2062">
        <f>IMAGE("https://mitra.stanford.edu/kundaje/oak/projects/neuro-variants/variant_position/credible/roussos_2024/variant_figures/roussos_2024.adolescence.GLU/rs4277554_count_position.png",4,220,900)</f>
        <v/>
      </c>
      <c r="T2062">
        <f>IMAGE("https://mitra.stanford.edu/kundaje/oak/projects/neuro-variants/variant_position/credible/roussos_2024/variant_figures/roussos_2024.adolescence.GLU/rs4277554_profile_position.png",4,220,900)</f>
        <v/>
      </c>
    </row>
    <row r="2063">
      <c r="A2063" t="inlineStr">
        <is>
          <t>chr2</t>
        </is>
      </c>
      <c r="B2063" t="n">
        <v>22345778</v>
      </c>
      <c r="C2063" t="inlineStr">
        <is>
          <t>C</t>
        </is>
      </c>
      <c r="D2063" t="inlineStr">
        <is>
          <t>A</t>
        </is>
      </c>
      <c r="E2063" t="inlineStr">
        <is>
          <t>rs7608960</t>
        </is>
      </c>
      <c r="F2063" t="n">
        <v>-0.0114651048999999</v>
      </c>
      <c r="G2063" t="n">
        <v>0.4811314139681182</v>
      </c>
      <c r="H2063" t="n">
        <v>0.0183048804936363</v>
      </c>
      <c r="I2063" t="n">
        <v>0.08283502641038</v>
      </c>
      <c r="J2063" t="n">
        <v>0.0265583585171213</v>
      </c>
      <c r="K2063" t="n">
        <v>0.7865160403942641</v>
      </c>
      <c r="L2063" t="b">
        <v>0</v>
      </c>
      <c r="M2063" t="b">
        <v>0</v>
      </c>
      <c r="N2063" t="inlineStr">
        <is>
          <t>ref</t>
        </is>
      </c>
      <c r="O2063" t="n">
        <v>-40</v>
      </c>
      <c r="P2063" t="n">
        <v>0.0008545</v>
      </c>
      <c r="Q2063" t="n">
        <v>95</v>
      </c>
      <c r="R2063" t="n">
        <v>0.052</v>
      </c>
      <c r="S2063">
        <f>IMAGE("https://mitra.stanford.edu/kundaje/oak/projects/neuro-variants/variant_position/credible/roussos_2024/variant_figures/roussos_2024.adolescence.GLU/rs7608960_count_position.png",4,220,900)</f>
        <v/>
      </c>
      <c r="T2063">
        <f>IMAGE("https://mitra.stanford.edu/kundaje/oak/projects/neuro-variants/variant_position/credible/roussos_2024/variant_figures/roussos_2024.adolescence.GLU/rs7608960_profile_position.png",4,220,900)</f>
        <v/>
      </c>
    </row>
    <row r="2064">
      <c r="A2064" t="inlineStr">
        <is>
          <t>chr2</t>
        </is>
      </c>
      <c r="B2064" t="n">
        <v>22415696</v>
      </c>
      <c r="C2064" t="inlineStr">
        <is>
          <t>T</t>
        </is>
      </c>
      <c r="D2064" t="inlineStr">
        <is>
          <t>C</t>
        </is>
      </c>
      <c r="E2064" t="inlineStr">
        <is>
          <t>rs11895519</t>
        </is>
      </c>
      <c r="F2064" t="n">
        <v>0.0007507807399999001</v>
      </c>
      <c r="G2064" t="n">
        <v>0.8667039493121356</v>
      </c>
      <c r="H2064" t="n">
        <v>0.009680072807418999</v>
      </c>
      <c r="I2064" t="n">
        <v>0.5602406668376688</v>
      </c>
      <c r="J2064" t="n">
        <v>0.0272970829671859</v>
      </c>
      <c r="K2064" t="n">
        <v>0.7875328268838599</v>
      </c>
      <c r="L2064" t="b">
        <v>0</v>
      </c>
      <c r="M2064" t="b">
        <v>0</v>
      </c>
      <c r="N2064" t="inlineStr">
        <is>
          <t>alt</t>
        </is>
      </c>
      <c r="O2064" t="n">
        <v>-35</v>
      </c>
      <c r="P2064" t="n">
        <v>0.004322</v>
      </c>
      <c r="Q2064" t="n">
        <v>25</v>
      </c>
      <c r="R2064" t="n">
        <v>0.017</v>
      </c>
      <c r="S2064">
        <f>IMAGE("https://mitra.stanford.edu/kundaje/oak/projects/neuro-variants/variant_position/credible/roussos_2024/variant_figures/roussos_2024.adolescence.GLU/rs11895519_count_position.png",4,220,900)</f>
        <v/>
      </c>
      <c r="T2064">
        <f>IMAGE("https://mitra.stanford.edu/kundaje/oak/projects/neuro-variants/variant_position/credible/roussos_2024/variant_figures/roussos_2024.adolescence.GLU/rs11895519_profile_position.png",4,220,900)</f>
        <v/>
      </c>
    </row>
    <row r="2065">
      <c r="A2065" t="inlineStr">
        <is>
          <t>chr2</t>
        </is>
      </c>
      <c r="B2065" t="n">
        <v>22417579</v>
      </c>
      <c r="C2065" t="inlineStr">
        <is>
          <t>A</t>
        </is>
      </c>
      <c r="D2065" t="inlineStr">
        <is>
          <t>C</t>
        </is>
      </c>
      <c r="E2065" t="inlineStr">
        <is>
          <t>rs140227113</t>
        </is>
      </c>
      <c r="F2065" t="n">
        <v>-0.0008071969199999</v>
      </c>
      <c r="G2065" t="n">
        <v>0.9192523974974888</v>
      </c>
      <c r="H2065" t="n">
        <v>0.0334303859033009</v>
      </c>
      <c r="I2065" t="n">
        <v>0.0051817061117609</v>
      </c>
      <c r="J2065" t="n">
        <v>0.0439905408977573</v>
      </c>
      <c r="K2065" t="n">
        <v>0.7256801753499555</v>
      </c>
      <c r="L2065" t="b">
        <v>1</v>
      </c>
      <c r="M2065" t="b">
        <v>0</v>
      </c>
      <c r="N2065" t="inlineStr">
        <is>
          <t>ref</t>
        </is>
      </c>
      <c r="O2065" t="n">
        <v>-60</v>
      </c>
      <c r="P2065" t="n">
        <v>0.003082</v>
      </c>
      <c r="Q2065" t="n">
        <v>100</v>
      </c>
      <c r="R2065" t="n">
        <v>0.02693</v>
      </c>
      <c r="S2065">
        <f>IMAGE("https://mitra.stanford.edu/kundaje/oak/projects/neuro-variants/variant_position/credible/roussos_2024/variant_figures/roussos_2024.adolescence.GLU/rs140227113_count_position.png",4,220,900)</f>
        <v/>
      </c>
      <c r="T2065">
        <f>IMAGE("https://mitra.stanford.edu/kundaje/oak/projects/neuro-variants/variant_position/credible/roussos_2024/variant_figures/roussos_2024.adolescence.GLU/rs140227113_profile_position.png",4,220,900)</f>
        <v/>
      </c>
    </row>
    <row r="2066">
      <c r="A2066" t="inlineStr">
        <is>
          <t>chr2</t>
        </is>
      </c>
      <c r="B2066" t="n">
        <v>22509148</v>
      </c>
      <c r="C2066" t="inlineStr">
        <is>
          <t>T</t>
        </is>
      </c>
      <c r="D2066" t="inlineStr">
        <is>
          <t>C</t>
        </is>
      </c>
      <c r="E2066" t="inlineStr">
        <is>
          <t>rs1463977</t>
        </is>
      </c>
      <c r="F2066" t="n">
        <v>0.01657353406</v>
      </c>
      <c r="G2066" t="n">
        <v>0.371811065789752</v>
      </c>
      <c r="H2066" t="n">
        <v>0.0080386112972314</v>
      </c>
      <c r="I2066" t="n">
        <v>0.7560428108029538</v>
      </c>
      <c r="J2066" t="n">
        <v>0.2168363446713961</v>
      </c>
      <c r="K2066" t="n">
        <v>0.3669680738984619</v>
      </c>
      <c r="L2066" t="b">
        <v>0</v>
      </c>
      <c r="M2066" t="b">
        <v>0</v>
      </c>
      <c r="N2066" t="inlineStr">
        <is>
          <t>alt</t>
        </is>
      </c>
      <c r="O2066" t="n">
        <v>-20</v>
      </c>
      <c r="P2066" t="n">
        <v>0.005096</v>
      </c>
      <c r="Q2066" t="n">
        <v>25</v>
      </c>
      <c r="R2066" t="n">
        <v>0.02222</v>
      </c>
      <c r="S2066">
        <f>IMAGE("https://mitra.stanford.edu/kundaje/oak/projects/neuro-variants/variant_position/credible/roussos_2024/variant_figures/roussos_2024.adolescence.GLU/rs1463977_count_position.png",4,220,900)</f>
        <v/>
      </c>
      <c r="T2066">
        <f>IMAGE("https://mitra.stanford.edu/kundaje/oak/projects/neuro-variants/variant_position/credible/roussos_2024/variant_figures/roussos_2024.adolescence.GLU/rs1463977_profile_position.png",4,220,900)</f>
        <v/>
      </c>
    </row>
    <row r="2067">
      <c r="A2067" t="inlineStr">
        <is>
          <t>chr2</t>
        </is>
      </c>
      <c r="B2067" t="n">
        <v>26765143</v>
      </c>
      <c r="C2067" t="inlineStr">
        <is>
          <t>T</t>
        </is>
      </c>
      <c r="D2067" t="inlineStr">
        <is>
          <t>A</t>
        </is>
      </c>
      <c r="E2067" t="inlineStr">
        <is>
          <t>rs34995758</t>
        </is>
      </c>
      <c r="F2067" t="n">
        <v>-0.0110578123599999</v>
      </c>
      <c r="G2067" t="n">
        <v>0.4975365992755488</v>
      </c>
      <c r="H2067" t="n">
        <v>0.0068099834219647</v>
      </c>
      <c r="I2067" t="n">
        <v>0.9007098134294143</v>
      </c>
      <c r="J2067" t="n">
        <v>0.4996277800401511</v>
      </c>
      <c r="K2067" t="n">
        <v>0.0884757727123031</v>
      </c>
      <c r="L2067" t="b">
        <v>0</v>
      </c>
      <c r="M2067" t="b">
        <v>0</v>
      </c>
      <c r="N2067" t="inlineStr">
        <is>
          <t>ref</t>
        </is>
      </c>
      <c r="O2067" t="n">
        <v>-25</v>
      </c>
      <c r="P2067" t="n">
        <v>0.002972</v>
      </c>
      <c r="Q2067" t="n">
        <v>-100</v>
      </c>
      <c r="R2067" t="n">
        <v>0.0687</v>
      </c>
      <c r="S2067">
        <f>IMAGE("https://mitra.stanford.edu/kundaje/oak/projects/neuro-variants/variant_position/credible/roussos_2024/variant_figures/roussos_2024.adolescence.GLU/rs34995758_count_position.png",4,220,900)</f>
        <v/>
      </c>
      <c r="T2067">
        <f>IMAGE("https://mitra.stanford.edu/kundaje/oak/projects/neuro-variants/variant_position/credible/roussos_2024/variant_figures/roussos_2024.adolescence.GLU/rs34995758_profile_position.png",4,220,900)</f>
        <v/>
      </c>
    </row>
    <row r="2068">
      <c r="A2068" t="inlineStr">
        <is>
          <t>chr2</t>
        </is>
      </c>
      <c r="B2068" t="n">
        <v>26769202</v>
      </c>
      <c r="C2068" t="inlineStr">
        <is>
          <t>C</t>
        </is>
      </c>
      <c r="D2068" t="inlineStr">
        <is>
          <t>T</t>
        </is>
      </c>
      <c r="E2068" t="inlineStr">
        <is>
          <t>rs3769126</t>
        </is>
      </c>
      <c r="F2068" t="n">
        <v>-0.08033303560000001</v>
      </c>
      <c r="G2068" t="n">
        <v>0.0164129115074423</v>
      </c>
      <c r="H2068" t="n">
        <v>0.0207600922101599</v>
      </c>
      <c r="I2068" t="n">
        <v>0.043978676710348</v>
      </c>
      <c r="J2068" t="n">
        <v>0.4673911024426488</v>
      </c>
      <c r="K2068" t="n">
        <v>0.1118310272695467</v>
      </c>
      <c r="L2068" t="b">
        <v>1</v>
      </c>
      <c r="M2068" t="b">
        <v>0</v>
      </c>
      <c r="N2068" t="inlineStr">
        <is>
          <t>ref</t>
        </is>
      </c>
      <c r="O2068" t="n">
        <v>10</v>
      </c>
      <c r="P2068" t="n">
        <v>0.000763</v>
      </c>
      <c r="Q2068" t="n">
        <v>20</v>
      </c>
      <c r="R2068" t="n">
        <v>0.0315</v>
      </c>
      <c r="S2068">
        <f>IMAGE("https://mitra.stanford.edu/kundaje/oak/projects/neuro-variants/variant_position/credible/roussos_2024/variant_figures/roussos_2024.adolescence.GLU/rs3769126_count_position.png",4,220,900)</f>
        <v/>
      </c>
      <c r="T2068">
        <f>IMAGE("https://mitra.stanford.edu/kundaje/oak/projects/neuro-variants/variant_position/credible/roussos_2024/variant_figures/roussos_2024.adolescence.GLU/rs3769126_profile_position.png",4,220,900)</f>
        <v/>
      </c>
    </row>
    <row r="2069">
      <c r="A2069" t="inlineStr">
        <is>
          <t>chr2</t>
        </is>
      </c>
      <c r="B2069" t="n">
        <v>26774622</v>
      </c>
      <c r="C2069" t="inlineStr">
        <is>
          <t>A</t>
        </is>
      </c>
      <c r="D2069" t="inlineStr">
        <is>
          <t>C</t>
        </is>
      </c>
      <c r="E2069" t="inlineStr">
        <is>
          <t>rs4665905</t>
        </is>
      </c>
      <c r="F2069" t="n">
        <v>0.0318809367999999</v>
      </c>
      <c r="G2069" t="n">
        <v>0.1561008238863834</v>
      </c>
      <c r="H2069" t="n">
        <v>0.0085520503041651</v>
      </c>
      <c r="I2069" t="n">
        <v>0.722123955066739</v>
      </c>
      <c r="J2069" t="n">
        <v>0.3732930392724207</v>
      </c>
      <c r="K2069" t="n">
        <v>0.1923597325204451</v>
      </c>
      <c r="L2069" t="b">
        <v>0</v>
      </c>
      <c r="M2069" t="b">
        <v>0</v>
      </c>
      <c r="N2069" t="inlineStr">
        <is>
          <t>alt</t>
        </is>
      </c>
      <c r="O2069" t="n">
        <v>90</v>
      </c>
      <c r="P2069" t="n">
        <v>0.001626</v>
      </c>
      <c r="Q2069" t="n">
        <v>80</v>
      </c>
      <c r="R2069" t="n">
        <v>0.05048</v>
      </c>
      <c r="S2069">
        <f>IMAGE("https://mitra.stanford.edu/kundaje/oak/projects/neuro-variants/variant_position/credible/roussos_2024/variant_figures/roussos_2024.adolescence.GLU/rs4665905_count_position.png",4,220,900)</f>
        <v/>
      </c>
      <c r="T2069">
        <f>IMAGE("https://mitra.stanford.edu/kundaje/oak/projects/neuro-variants/variant_position/credible/roussos_2024/variant_figures/roussos_2024.adolescence.GLU/rs4665905_profile_position.png",4,220,900)</f>
        <v/>
      </c>
    </row>
    <row r="2070">
      <c r="A2070" t="inlineStr">
        <is>
          <t>chr2</t>
        </is>
      </c>
      <c r="B2070" t="n">
        <v>26808217</v>
      </c>
      <c r="C2070" t="inlineStr">
        <is>
          <t>C</t>
        </is>
      </c>
      <c r="D2070" t="inlineStr">
        <is>
          <t>T</t>
        </is>
      </c>
      <c r="E2070" t="inlineStr">
        <is>
          <t>rs34736994</t>
        </is>
      </c>
      <c r="F2070" t="n">
        <v>-0.0762954968</v>
      </c>
      <c r="G2070" t="n">
        <v>0.0185374000451957</v>
      </c>
      <c r="H2070" t="n">
        <v>0.0138749277768373</v>
      </c>
      <c r="I2070" t="n">
        <v>0.2134518597992838</v>
      </c>
      <c r="J2070" t="n">
        <v>0.3334176365104199</v>
      </c>
      <c r="K2070" t="n">
        <v>0.2334107029267623</v>
      </c>
      <c r="L2070" t="b">
        <v>1</v>
      </c>
      <c r="M2070" t="b">
        <v>0</v>
      </c>
      <c r="N2070" t="inlineStr">
        <is>
          <t>ref</t>
        </is>
      </c>
      <c r="O2070" t="n">
        <v>-100</v>
      </c>
      <c r="P2070" t="n">
        <v>0.06018</v>
      </c>
      <c r="Q2070" t="n">
        <v>-100</v>
      </c>
      <c r="R2070" t="n">
        <v>0.3904</v>
      </c>
      <c r="S2070">
        <f>IMAGE("https://mitra.stanford.edu/kundaje/oak/projects/neuro-variants/variant_position/credible/roussos_2024/variant_figures/roussos_2024.adolescence.GLU/rs34736994_count_position.png",4,220,900)</f>
        <v/>
      </c>
      <c r="T2070">
        <f>IMAGE("https://mitra.stanford.edu/kundaje/oak/projects/neuro-variants/variant_position/credible/roussos_2024/variant_figures/roussos_2024.adolescence.GLU/rs34736994_profile_position.png",4,220,900)</f>
        <v/>
      </c>
    </row>
    <row r="2071">
      <c r="A2071" t="inlineStr">
        <is>
          <t>chr2</t>
        </is>
      </c>
      <c r="B2071" t="n">
        <v>26810572</v>
      </c>
      <c r="C2071" t="inlineStr">
        <is>
          <t>G</t>
        </is>
      </c>
      <c r="D2071" t="inlineStr">
        <is>
          <t>A</t>
        </is>
      </c>
      <c r="E2071" t="inlineStr">
        <is>
          <t>rs2082610</t>
        </is>
      </c>
      <c r="F2071" t="n">
        <v>0.01209481788</v>
      </c>
      <c r="G2071" t="n">
        <v>0.4668025173113878</v>
      </c>
      <c r="H2071" t="n">
        <v>0.012480841539059</v>
      </c>
      <c r="I2071" t="n">
        <v>0.2944346026144913</v>
      </c>
      <c r="J2071" t="n">
        <v>0.2694786777261003</v>
      </c>
      <c r="K2071" t="n">
        <v>0.3086401512368752</v>
      </c>
      <c r="L2071" t="b">
        <v>0</v>
      </c>
      <c r="M2071" t="b">
        <v>0</v>
      </c>
      <c r="N2071" t="inlineStr">
        <is>
          <t>alt</t>
        </is>
      </c>
      <c r="O2071" t="n">
        <v>85</v>
      </c>
      <c r="P2071" t="n">
        <v>0.00214</v>
      </c>
      <c r="Q2071" t="n">
        <v>10</v>
      </c>
      <c r="R2071" t="n">
        <v>0.002197</v>
      </c>
      <c r="S2071">
        <f>IMAGE("https://mitra.stanford.edu/kundaje/oak/projects/neuro-variants/variant_position/credible/roussos_2024/variant_figures/roussos_2024.adolescence.GLU/rs2082610_count_position.png",4,220,900)</f>
        <v/>
      </c>
      <c r="T2071">
        <f>IMAGE("https://mitra.stanford.edu/kundaje/oak/projects/neuro-variants/variant_position/credible/roussos_2024/variant_figures/roussos_2024.adolescence.GLU/rs2082610_profile_position.png",4,220,900)</f>
        <v/>
      </c>
    </row>
    <row r="2072">
      <c r="A2072" t="inlineStr">
        <is>
          <t>chr2</t>
        </is>
      </c>
      <c r="B2072" t="n">
        <v>26813614</v>
      </c>
      <c r="C2072" t="inlineStr">
        <is>
          <t>T</t>
        </is>
      </c>
      <c r="D2072" t="inlineStr">
        <is>
          <t>C</t>
        </is>
      </c>
      <c r="E2072" t="inlineStr">
        <is>
          <t>rs11891133</t>
        </is>
      </c>
      <c r="F2072" t="n">
        <v>0.0201582004999999</v>
      </c>
      <c r="G2072" t="n">
        <v>0.2790801461843811</v>
      </c>
      <c r="H2072" t="n">
        <v>0.0098634567804583</v>
      </c>
      <c r="I2072" t="n">
        <v>0.5129716438493156</v>
      </c>
      <c r="J2072" t="n">
        <v>0.4687156625300955</v>
      </c>
      <c r="K2072" t="n">
        <v>0.1106565928836121</v>
      </c>
      <c r="L2072" t="b">
        <v>0</v>
      </c>
      <c r="M2072" t="b">
        <v>0</v>
      </c>
      <c r="N2072" t="inlineStr">
        <is>
          <t>alt</t>
        </is>
      </c>
      <c r="O2072" t="n">
        <v>90</v>
      </c>
      <c r="P2072" t="n">
        <v>0.002098</v>
      </c>
      <c r="Q2072" t="n">
        <v>-85</v>
      </c>
      <c r="R2072" t="n">
        <v>0.0825</v>
      </c>
      <c r="S2072">
        <f>IMAGE("https://mitra.stanford.edu/kundaje/oak/projects/neuro-variants/variant_position/credible/roussos_2024/variant_figures/roussos_2024.adolescence.GLU/rs11891133_count_position.png",4,220,900)</f>
        <v/>
      </c>
      <c r="T2072">
        <f>IMAGE("https://mitra.stanford.edu/kundaje/oak/projects/neuro-variants/variant_position/credible/roussos_2024/variant_figures/roussos_2024.adolescence.GLU/rs11891133_profile_position.png",4,220,900)</f>
        <v/>
      </c>
    </row>
    <row r="2073">
      <c r="A2073" t="inlineStr">
        <is>
          <t>chr2</t>
        </is>
      </c>
      <c r="B2073" t="n">
        <v>26814228</v>
      </c>
      <c r="C2073" t="inlineStr">
        <is>
          <t>C</t>
        </is>
      </c>
      <c r="D2073" t="inlineStr">
        <is>
          <t>G</t>
        </is>
      </c>
      <c r="E2073" t="inlineStr">
        <is>
          <t>rs2082611</t>
        </is>
      </c>
      <c r="F2073" t="n">
        <v>-0.0557253244</v>
      </c>
      <c r="G2073" t="n">
        <v>0.0534158002874436</v>
      </c>
      <c r="H2073" t="n">
        <v>0.01125788593147</v>
      </c>
      <c r="I2073" t="n">
        <v>0.3937728174930214</v>
      </c>
      <c r="J2073" t="n">
        <v>0.6779061376999522</v>
      </c>
      <c r="K2073" t="n">
        <v>0.0182523630587006</v>
      </c>
      <c r="L2073" t="b">
        <v>0</v>
      </c>
      <c r="M2073" t="b">
        <v>0</v>
      </c>
      <c r="N2073" t="inlineStr">
        <is>
          <t>ref</t>
        </is>
      </c>
      <c r="O2073" t="n">
        <v>-35</v>
      </c>
      <c r="P2073" t="n">
        <v>0.002625</v>
      </c>
      <c r="Q2073" t="n">
        <v>-100</v>
      </c>
      <c r="R2073" t="n">
        <v>0.0839</v>
      </c>
      <c r="S2073">
        <f>IMAGE("https://mitra.stanford.edu/kundaje/oak/projects/neuro-variants/variant_position/credible/roussos_2024/variant_figures/roussos_2024.adolescence.GLU/rs2082611_count_position.png",4,220,900)</f>
        <v/>
      </c>
      <c r="T2073">
        <f>IMAGE("https://mitra.stanford.edu/kundaje/oak/projects/neuro-variants/variant_position/credible/roussos_2024/variant_figures/roussos_2024.adolescence.GLU/rs2082611_profile_position.png",4,220,900)</f>
        <v/>
      </c>
    </row>
    <row r="2074">
      <c r="A2074" t="inlineStr">
        <is>
          <t>chr2</t>
        </is>
      </c>
      <c r="B2074" t="n">
        <v>26815782</v>
      </c>
      <c r="C2074" t="inlineStr">
        <is>
          <t>G</t>
        </is>
      </c>
      <c r="D2074" t="inlineStr">
        <is>
          <t>T</t>
        </is>
      </c>
      <c r="E2074" t="inlineStr">
        <is>
          <t>rs35610357</t>
        </is>
      </c>
      <c r="F2074" t="n">
        <v>-0.01039427512</v>
      </c>
      <c r="G2074" t="n">
        <v>0.4498024144476766</v>
      </c>
      <c r="H2074" t="n">
        <v>0.0174438516746729</v>
      </c>
      <c r="I2074" t="n">
        <v>0.0940694780297873</v>
      </c>
      <c r="J2074" t="n">
        <v>0.6139314572304263</v>
      </c>
      <c r="K2074" t="n">
        <v>0.0333279324158942</v>
      </c>
      <c r="L2074" t="b">
        <v>0</v>
      </c>
      <c r="M2074" t="b">
        <v>0</v>
      </c>
      <c r="N2074" t="inlineStr">
        <is>
          <t>ref</t>
        </is>
      </c>
      <c r="O2074" t="n">
        <v>-75</v>
      </c>
      <c r="P2074" t="n">
        <v>0.251</v>
      </c>
      <c r="Q2074" t="n">
        <v>0</v>
      </c>
      <c r="R2074" t="n">
        <v>0</v>
      </c>
      <c r="S2074">
        <f>IMAGE("https://mitra.stanford.edu/kundaje/oak/projects/neuro-variants/variant_position/credible/roussos_2024/variant_figures/roussos_2024.adolescence.GLU/rs35610357_count_position.png",4,220,900)</f>
        <v/>
      </c>
      <c r="T2074">
        <f>IMAGE("https://mitra.stanford.edu/kundaje/oak/projects/neuro-variants/variant_position/credible/roussos_2024/variant_figures/roussos_2024.adolescence.GLU/rs35610357_profile_position.png",4,220,900)</f>
        <v/>
      </c>
    </row>
    <row r="2075">
      <c r="A2075" t="inlineStr">
        <is>
          <t>chr2</t>
        </is>
      </c>
      <c r="B2075" t="n">
        <v>26816924</v>
      </c>
      <c r="C2075" t="inlineStr">
        <is>
          <t>G</t>
        </is>
      </c>
      <c r="D2075" t="inlineStr">
        <is>
          <t>A</t>
        </is>
      </c>
      <c r="E2075" t="inlineStr">
        <is>
          <t>rs12475388</t>
        </is>
      </c>
      <c r="F2075" t="n">
        <v>0.00141795792</v>
      </c>
      <c r="G2075" t="n">
        <v>0.6223027256459092</v>
      </c>
      <c r="H2075" t="n">
        <v>0.013546988843128</v>
      </c>
      <c r="I2075" t="n">
        <v>0.2248603124973739</v>
      </c>
      <c r="J2075" t="n">
        <v>0.4680783876660165</v>
      </c>
      <c r="K2075" t="n">
        <v>0.1120961130166943</v>
      </c>
      <c r="L2075" t="b">
        <v>0</v>
      </c>
      <c r="M2075" t="b">
        <v>0</v>
      </c>
      <c r="N2075" t="inlineStr">
        <is>
          <t>alt</t>
        </is>
      </c>
      <c r="O2075" t="n">
        <v>65</v>
      </c>
      <c r="P2075" t="n">
        <v>0.004364</v>
      </c>
      <c r="Q2075" t="n">
        <v>95</v>
      </c>
      <c r="R2075" t="n">
        <v>0.0901</v>
      </c>
      <c r="S2075">
        <f>IMAGE("https://mitra.stanford.edu/kundaje/oak/projects/neuro-variants/variant_position/credible/roussos_2024/variant_figures/roussos_2024.adolescence.GLU/rs12475388_count_position.png",4,220,900)</f>
        <v/>
      </c>
      <c r="T2075">
        <f>IMAGE("https://mitra.stanford.edu/kundaje/oak/projects/neuro-variants/variant_position/credible/roussos_2024/variant_figures/roussos_2024.adolescence.GLU/rs12475388_profile_position.png",4,220,900)</f>
        <v/>
      </c>
    </row>
    <row r="2076">
      <c r="A2076" t="inlineStr">
        <is>
          <t>chr2</t>
        </is>
      </c>
      <c r="B2076" t="n">
        <v>26843235</v>
      </c>
      <c r="C2076" t="inlineStr">
        <is>
          <t>G</t>
        </is>
      </c>
      <c r="D2076" t="inlineStr">
        <is>
          <t>T</t>
        </is>
      </c>
      <c r="E2076" t="inlineStr">
        <is>
          <t>rs2196150</t>
        </is>
      </c>
      <c r="F2076" t="n">
        <v>0.00172038026</v>
      </c>
      <c r="G2076" t="n">
        <v>0.7550577315764757</v>
      </c>
      <c r="H2076" t="n">
        <v>0.0225282520018723</v>
      </c>
      <c r="I2076" t="n">
        <v>0.033889738686713</v>
      </c>
      <c r="J2076" t="n">
        <v>0.1679390730937122</v>
      </c>
      <c r="K2076" t="n">
        <v>0.4522084070807408</v>
      </c>
      <c r="L2076" t="b">
        <v>0</v>
      </c>
      <c r="M2076" t="b">
        <v>0</v>
      </c>
      <c r="N2076" t="inlineStr">
        <is>
          <t>alt</t>
        </is>
      </c>
      <c r="O2076" t="n">
        <v>80</v>
      </c>
      <c r="P2076" t="n">
        <v>0.11224</v>
      </c>
      <c r="Q2076" t="n">
        <v>35</v>
      </c>
      <c r="R2076" t="n">
        <v>0.03857</v>
      </c>
      <c r="S2076">
        <f>IMAGE("https://mitra.stanford.edu/kundaje/oak/projects/neuro-variants/variant_position/credible/roussos_2024/variant_figures/roussos_2024.adolescence.GLU/rs2196150_count_position.png",4,220,900)</f>
        <v/>
      </c>
      <c r="T2076">
        <f>IMAGE("https://mitra.stanford.edu/kundaje/oak/projects/neuro-variants/variant_position/credible/roussos_2024/variant_figures/roussos_2024.adolescence.GLU/rs2196150_profile_position.png",4,220,900)</f>
        <v/>
      </c>
    </row>
    <row r="2077">
      <c r="A2077" t="inlineStr">
        <is>
          <t>chr2</t>
        </is>
      </c>
      <c r="B2077" t="n">
        <v>26870976</v>
      </c>
      <c r="C2077" t="inlineStr">
        <is>
          <t>A</t>
        </is>
      </c>
      <c r="D2077" t="inlineStr">
        <is>
          <t>C</t>
        </is>
      </c>
      <c r="E2077" t="inlineStr">
        <is>
          <t>rs1368889</t>
        </is>
      </c>
      <c r="F2077" t="n">
        <v>0.0027415562</v>
      </c>
      <c r="G2077" t="n">
        <v>0.7429598302156486</v>
      </c>
      <c r="H2077" t="n">
        <v>0.0267537249929846</v>
      </c>
      <c r="I2077" t="n">
        <v>0.015054901314632</v>
      </c>
      <c r="J2077" t="n">
        <v>0.0182452079359295</v>
      </c>
      <c r="K2077" t="n">
        <v>0.834260522811892</v>
      </c>
      <c r="L2077" t="b">
        <v>1</v>
      </c>
      <c r="M2077" t="b">
        <v>0</v>
      </c>
      <c r="N2077" t="inlineStr">
        <is>
          <t>alt</t>
        </is>
      </c>
      <c r="O2077" t="n">
        <v>25</v>
      </c>
      <c r="P2077" t="n">
        <v>0.001663</v>
      </c>
      <c r="Q2077" t="n">
        <v>-55</v>
      </c>
      <c r="R2077" t="n">
        <v>0.009995</v>
      </c>
      <c r="S2077">
        <f>IMAGE("https://mitra.stanford.edu/kundaje/oak/projects/neuro-variants/variant_position/credible/roussos_2024/variant_figures/roussos_2024.adolescence.GLU/rs1368889_count_position.png",4,220,900)</f>
        <v/>
      </c>
      <c r="T2077">
        <f>IMAGE("https://mitra.stanford.edu/kundaje/oak/projects/neuro-variants/variant_position/credible/roussos_2024/variant_figures/roussos_2024.adolescence.GLU/rs1368889_profile_position.png",4,220,900)</f>
        <v/>
      </c>
    </row>
    <row r="2078">
      <c r="A2078" t="inlineStr">
        <is>
          <t>chr2</t>
        </is>
      </c>
      <c r="B2078" t="n">
        <v>27712485</v>
      </c>
      <c r="C2078" t="inlineStr">
        <is>
          <t>C</t>
        </is>
      </c>
      <c r="D2078" t="inlineStr">
        <is>
          <t>A</t>
        </is>
      </c>
      <c r="E2078" t="inlineStr">
        <is>
          <t>rs4665386</t>
        </is>
      </c>
      <c r="F2078" t="n">
        <v>0.00665108494</v>
      </c>
      <c r="G2078" t="n">
        <v>0.6151515114809045</v>
      </c>
      <c r="H2078" t="n">
        <v>0.0138707703896207</v>
      </c>
      <c r="I2078" t="n">
        <v>0.2237007708216328</v>
      </c>
      <c r="J2078" t="n">
        <v>0.1725400261482735</v>
      </c>
      <c r="K2078" t="n">
        <v>0.4470022332589858</v>
      </c>
      <c r="L2078" t="b">
        <v>0</v>
      </c>
      <c r="M2078" t="b">
        <v>0</v>
      </c>
      <c r="N2078" t="inlineStr">
        <is>
          <t>alt</t>
        </is>
      </c>
      <c r="O2078" t="n">
        <v>70</v>
      </c>
      <c r="P2078" t="n">
        <v>0.006786</v>
      </c>
      <c r="Q2078" t="n">
        <v>-100</v>
      </c>
      <c r="R2078" t="n">
        <v>0.04138</v>
      </c>
      <c r="S2078">
        <f>IMAGE("https://mitra.stanford.edu/kundaje/oak/projects/neuro-variants/variant_position/credible/roussos_2024/variant_figures/roussos_2024.adolescence.GLU/rs4665386_count_position.png",4,220,900)</f>
        <v/>
      </c>
      <c r="T2078">
        <f>IMAGE("https://mitra.stanford.edu/kundaje/oak/projects/neuro-variants/variant_position/credible/roussos_2024/variant_figures/roussos_2024.adolescence.GLU/rs4665386_profile_position.png",4,220,900)</f>
        <v/>
      </c>
    </row>
    <row r="2079">
      <c r="A2079" t="inlineStr">
        <is>
          <t>chr2</t>
        </is>
      </c>
      <c r="B2079" t="n">
        <v>27796239</v>
      </c>
      <c r="C2079" t="inlineStr">
        <is>
          <t>C</t>
        </is>
      </c>
      <c r="D2079" t="inlineStr">
        <is>
          <t>T</t>
        </is>
      </c>
      <c r="E2079" t="inlineStr">
        <is>
          <t>rs4666013</t>
        </is>
      </c>
      <c r="F2079" t="n">
        <v>-0.0523710254</v>
      </c>
      <c r="G2079" t="n">
        <v>0.0595667712286141</v>
      </c>
      <c r="H2079" t="n">
        <v>0.0162600279965019</v>
      </c>
      <c r="I2079" t="n">
        <v>0.1264033552292998</v>
      </c>
      <c r="J2079" t="n">
        <v>0.2147201920397796</v>
      </c>
      <c r="K2079" t="n">
        <v>0.380668611654681</v>
      </c>
      <c r="L2079" t="b">
        <v>0</v>
      </c>
      <c r="M2079" t="b">
        <v>0</v>
      </c>
      <c r="N2079" t="inlineStr">
        <is>
          <t>ref</t>
        </is>
      </c>
      <c r="O2079" t="n">
        <v>50</v>
      </c>
      <c r="P2079" t="n">
        <v>0.01371</v>
      </c>
      <c r="Q2079" t="n">
        <v>-65</v>
      </c>
      <c r="R2079" t="n">
        <v>0.049</v>
      </c>
      <c r="S2079">
        <f>IMAGE("https://mitra.stanford.edu/kundaje/oak/projects/neuro-variants/variant_position/credible/roussos_2024/variant_figures/roussos_2024.adolescence.GLU/rs4666013_count_position.png",4,220,900)</f>
        <v/>
      </c>
      <c r="T2079">
        <f>IMAGE("https://mitra.stanford.edu/kundaje/oak/projects/neuro-variants/variant_position/credible/roussos_2024/variant_figures/roussos_2024.adolescence.GLU/rs4666013_profile_position.png",4,220,900)</f>
        <v/>
      </c>
    </row>
    <row r="2080">
      <c r="A2080" t="inlineStr">
        <is>
          <t>chr2</t>
        </is>
      </c>
      <c r="B2080" t="n">
        <v>27796500</v>
      </c>
      <c r="C2080" t="inlineStr">
        <is>
          <t>G</t>
        </is>
      </c>
      <c r="D2080" t="inlineStr">
        <is>
          <t>A</t>
        </is>
      </c>
      <c r="E2080" t="inlineStr">
        <is>
          <t>rs4666015</t>
        </is>
      </c>
      <c r="F2080" t="n">
        <v>-0.02023635154</v>
      </c>
      <c r="G2080" t="n">
        <v>0.3366519335849586</v>
      </c>
      <c r="H2080" t="n">
        <v>0.010044281599057</v>
      </c>
      <c r="I2080" t="n">
        <v>0.5308787919729373</v>
      </c>
      <c r="J2080" t="n">
        <v>0.276481556893928</v>
      </c>
      <c r="K2080" t="n">
        <v>0.3001075668252767</v>
      </c>
      <c r="L2080" t="b">
        <v>0</v>
      </c>
      <c r="M2080" t="b">
        <v>0</v>
      </c>
      <c r="N2080" t="inlineStr">
        <is>
          <t>ref</t>
        </is>
      </c>
      <c r="O2080" t="n">
        <v>-90</v>
      </c>
      <c r="P2080" t="n">
        <v>0.005466</v>
      </c>
      <c r="Q2080" t="n">
        <v>95</v>
      </c>
      <c r="R2080" t="n">
        <v>0.10474</v>
      </c>
      <c r="S2080">
        <f>IMAGE("https://mitra.stanford.edu/kundaje/oak/projects/neuro-variants/variant_position/credible/roussos_2024/variant_figures/roussos_2024.adolescence.GLU/rs4666015_count_position.png",4,220,900)</f>
        <v/>
      </c>
      <c r="T2080">
        <f>IMAGE("https://mitra.stanford.edu/kundaje/oak/projects/neuro-variants/variant_position/credible/roussos_2024/variant_figures/roussos_2024.adolescence.GLU/rs4666015_profile_position.png",4,220,900)</f>
        <v/>
      </c>
    </row>
    <row r="2081">
      <c r="A2081" t="inlineStr">
        <is>
          <t>chr2</t>
        </is>
      </c>
      <c r="B2081" t="n">
        <v>27799808</v>
      </c>
      <c r="C2081" t="inlineStr">
        <is>
          <t>G</t>
        </is>
      </c>
      <c r="D2081" t="inlineStr">
        <is>
          <t>A</t>
        </is>
      </c>
      <c r="E2081" t="inlineStr">
        <is>
          <t>rs7570730</t>
        </is>
      </c>
      <c r="F2081" t="n">
        <v>-0.0070593705199999</v>
      </c>
      <c r="G2081" t="n">
        <v>0.4240075874651404</v>
      </c>
      <c r="H2081" t="n">
        <v>0.0093241818304224</v>
      </c>
      <c r="I2081" t="n">
        <v>0.6119168992508472</v>
      </c>
      <c r="J2081" t="n">
        <v>0.3999014081488308</v>
      </c>
      <c r="K2081" t="n">
        <v>0.1669251001237487</v>
      </c>
      <c r="L2081" t="b">
        <v>0</v>
      </c>
      <c r="M2081" t="b">
        <v>0</v>
      </c>
      <c r="N2081" t="inlineStr">
        <is>
          <t>ref</t>
        </is>
      </c>
      <c r="O2081" t="n">
        <v>-100</v>
      </c>
      <c r="P2081" t="n">
        <v>0.03326</v>
      </c>
      <c r="Q2081" t="n">
        <v>5</v>
      </c>
      <c r="R2081" t="n">
        <v>0.0083</v>
      </c>
      <c r="S2081">
        <f>IMAGE("https://mitra.stanford.edu/kundaje/oak/projects/neuro-variants/variant_position/credible/roussos_2024/variant_figures/roussos_2024.adolescence.GLU/rs7570730_count_position.png",4,220,900)</f>
        <v/>
      </c>
      <c r="T2081">
        <f>IMAGE("https://mitra.stanford.edu/kundaje/oak/projects/neuro-variants/variant_position/credible/roussos_2024/variant_figures/roussos_2024.adolescence.GLU/rs7570730_profile_position.png",4,220,900)</f>
        <v/>
      </c>
    </row>
    <row r="2082">
      <c r="A2082" t="inlineStr">
        <is>
          <t>chr2</t>
        </is>
      </c>
      <c r="B2082" t="n">
        <v>27802713</v>
      </c>
      <c r="C2082" t="inlineStr">
        <is>
          <t>G</t>
        </is>
      </c>
      <c r="D2082" t="inlineStr">
        <is>
          <t>C</t>
        </is>
      </c>
      <c r="E2082" t="inlineStr">
        <is>
          <t>rs11891769</t>
        </is>
      </c>
      <c r="F2082" t="n">
        <v>-0.023950719</v>
      </c>
      <c r="G2082" t="n">
        <v>0.2490787737016849</v>
      </c>
      <c r="H2082" t="n">
        <v>0.0111643674373439</v>
      </c>
      <c r="I2082" t="n">
        <v>0.3903926829781508</v>
      </c>
      <c r="J2082" t="n">
        <v>0.2323709911338776</v>
      </c>
      <c r="K2082" t="n">
        <v>0.3535789491073985</v>
      </c>
      <c r="L2082" t="b">
        <v>0</v>
      </c>
      <c r="M2082" t="b">
        <v>0</v>
      </c>
      <c r="N2082" t="inlineStr">
        <is>
          <t>ref</t>
        </is>
      </c>
      <c r="O2082" t="n">
        <v>-75</v>
      </c>
      <c r="P2082" t="n">
        <v>0.02759</v>
      </c>
      <c r="Q2082" t="n">
        <v>90</v>
      </c>
      <c r="R2082" t="n">
        <v>0.0936</v>
      </c>
      <c r="S2082">
        <f>IMAGE("https://mitra.stanford.edu/kundaje/oak/projects/neuro-variants/variant_position/credible/roussos_2024/variant_figures/roussos_2024.adolescence.GLU/rs11891769_count_position.png",4,220,900)</f>
        <v/>
      </c>
      <c r="T2082">
        <f>IMAGE("https://mitra.stanford.edu/kundaje/oak/projects/neuro-variants/variant_position/credible/roussos_2024/variant_figures/roussos_2024.adolescence.GLU/rs11891769_profile_position.png",4,220,900)</f>
        <v/>
      </c>
    </row>
    <row r="2083">
      <c r="A2083" t="inlineStr">
        <is>
          <t>chr2</t>
        </is>
      </c>
      <c r="B2083" t="n">
        <v>27807570</v>
      </c>
      <c r="C2083" t="inlineStr">
        <is>
          <t>A</t>
        </is>
      </c>
      <c r="D2083" t="inlineStr">
        <is>
          <t>G</t>
        </is>
      </c>
      <c r="E2083" t="inlineStr">
        <is>
          <t>rs12986980</t>
        </is>
      </c>
      <c r="F2083" t="n">
        <v>-0.0053521086</v>
      </c>
      <c r="G2083" t="n">
        <v>0.6552474412930046</v>
      </c>
      <c r="H2083" t="n">
        <v>0.0120654581399588</v>
      </c>
      <c r="I2083" t="n">
        <v>0.3418548730147217</v>
      </c>
      <c r="J2083" t="n">
        <v>0.1509812746926148</v>
      </c>
      <c r="K2083" t="n">
        <v>0.4814325424357323</v>
      </c>
      <c r="L2083" t="b">
        <v>0</v>
      </c>
      <c r="M2083" t="b">
        <v>0</v>
      </c>
      <c r="N2083" t="inlineStr">
        <is>
          <t>ref</t>
        </is>
      </c>
      <c r="O2083" t="n">
        <v>100</v>
      </c>
      <c r="P2083" t="n">
        <v>0.012726</v>
      </c>
      <c r="Q2083" t="n">
        <v>10</v>
      </c>
      <c r="R2083" t="n">
        <v>0.002441</v>
      </c>
      <c r="S2083">
        <f>IMAGE("https://mitra.stanford.edu/kundaje/oak/projects/neuro-variants/variant_position/credible/roussos_2024/variant_figures/roussos_2024.adolescence.GLU/rs12986980_count_position.png",4,220,900)</f>
        <v/>
      </c>
      <c r="T2083">
        <f>IMAGE("https://mitra.stanford.edu/kundaje/oak/projects/neuro-variants/variant_position/credible/roussos_2024/variant_figures/roussos_2024.adolescence.GLU/rs12986980_profile_position.png",4,220,900)</f>
        <v/>
      </c>
    </row>
    <row r="2084">
      <c r="A2084" t="inlineStr">
        <is>
          <t>chr2</t>
        </is>
      </c>
      <c r="B2084" t="n">
        <v>27811517</v>
      </c>
      <c r="C2084" t="inlineStr">
        <is>
          <t>C</t>
        </is>
      </c>
      <c r="D2084" t="inlineStr">
        <is>
          <t>T</t>
        </is>
      </c>
      <c r="E2084" t="inlineStr">
        <is>
          <t>rs4233716</t>
        </is>
      </c>
      <c r="F2084" t="n">
        <v>-0.0494893172</v>
      </c>
      <c r="G2084" t="n">
        <v>0.0753461212217643</v>
      </c>
      <c r="H2084" t="n">
        <v>0.014668426258733</v>
      </c>
      <c r="I2084" t="n">
        <v>0.2212190578639592</v>
      </c>
      <c r="J2084" t="n">
        <v>0.2057740531967335</v>
      </c>
      <c r="K2084" t="n">
        <v>0.3882232443627432</v>
      </c>
      <c r="L2084" t="b">
        <v>0</v>
      </c>
      <c r="M2084" t="b">
        <v>0</v>
      </c>
      <c r="N2084" t="inlineStr">
        <is>
          <t>ref</t>
        </is>
      </c>
      <c r="O2084" t="n">
        <v>70</v>
      </c>
      <c r="P2084" t="n">
        <v>0.00773</v>
      </c>
      <c r="Q2084" t="n">
        <v>-100</v>
      </c>
      <c r="R2084" t="n">
        <v>0.02234</v>
      </c>
      <c r="S2084">
        <f>IMAGE("https://mitra.stanford.edu/kundaje/oak/projects/neuro-variants/variant_position/credible/roussos_2024/variant_figures/roussos_2024.adolescence.GLU/rs4233716_count_position.png",4,220,900)</f>
        <v/>
      </c>
      <c r="T2084">
        <f>IMAGE("https://mitra.stanford.edu/kundaje/oak/projects/neuro-variants/variant_position/credible/roussos_2024/variant_figures/roussos_2024.adolescence.GLU/rs4233716_profile_position.png",4,220,900)</f>
        <v/>
      </c>
    </row>
    <row r="2085">
      <c r="A2085" t="inlineStr">
        <is>
          <t>chr2</t>
        </is>
      </c>
      <c r="B2085" t="n">
        <v>27815932</v>
      </c>
      <c r="C2085" t="inlineStr">
        <is>
          <t>C</t>
        </is>
      </c>
      <c r="D2085" t="inlineStr">
        <is>
          <t>T</t>
        </is>
      </c>
      <c r="E2085" t="inlineStr">
        <is>
          <t>rs12617171</t>
        </is>
      </c>
      <c r="F2085" t="n">
        <v>-0.0004441784079999</v>
      </c>
      <c r="G2085" t="n">
        <v>0.7159156796209102</v>
      </c>
      <c r="H2085" t="n">
        <v>0.008224400072426899</v>
      </c>
      <c r="I2085" t="n">
        <v>0.7669731657926239</v>
      </c>
      <c r="J2085" t="n">
        <v>0.1675504211586685</v>
      </c>
      <c r="K2085" t="n">
        <v>0.4567056368489043</v>
      </c>
      <c r="L2085" t="b">
        <v>0</v>
      </c>
      <c r="M2085" t="b">
        <v>0</v>
      </c>
      <c r="N2085" t="inlineStr">
        <is>
          <t>ref</t>
        </is>
      </c>
      <c r="O2085" t="n">
        <v>-15</v>
      </c>
      <c r="P2085" t="n">
        <v>0.000538</v>
      </c>
      <c r="Q2085" t="n">
        <v>-80</v>
      </c>
      <c r="R2085" t="n">
        <v>0.06560000000000001</v>
      </c>
      <c r="S2085">
        <f>IMAGE("https://mitra.stanford.edu/kundaje/oak/projects/neuro-variants/variant_position/credible/roussos_2024/variant_figures/roussos_2024.adolescence.GLU/rs12617171_count_position.png",4,220,900)</f>
        <v/>
      </c>
      <c r="T2085">
        <f>IMAGE("https://mitra.stanford.edu/kundaje/oak/projects/neuro-variants/variant_position/credible/roussos_2024/variant_figures/roussos_2024.adolescence.GLU/rs12617171_profile_position.png",4,220,900)</f>
        <v/>
      </c>
    </row>
    <row r="2086">
      <c r="A2086" t="inlineStr">
        <is>
          <t>chr2</t>
        </is>
      </c>
      <c r="B2086" t="n">
        <v>27835359</v>
      </c>
      <c r="C2086" t="inlineStr">
        <is>
          <t>C</t>
        </is>
      </c>
      <c r="D2086" t="inlineStr">
        <is>
          <t>T</t>
        </is>
      </c>
      <c r="E2086" t="inlineStr">
        <is>
          <t>rs12464988</t>
        </is>
      </c>
      <c r="F2086" t="n">
        <v>-0.0291754007999999</v>
      </c>
      <c r="G2086" t="n">
        <v>0.1929219346673928</v>
      </c>
      <c r="H2086" t="n">
        <v>0.0095308952433397</v>
      </c>
      <c r="I2086" t="n">
        <v>0.5901731682424222</v>
      </c>
      <c r="J2086" t="n">
        <v>0.1439983996685027</v>
      </c>
      <c r="K2086" t="n">
        <v>0.4879211083664813</v>
      </c>
      <c r="L2086" t="b">
        <v>0</v>
      </c>
      <c r="M2086" t="b">
        <v>0</v>
      </c>
      <c r="N2086" t="inlineStr">
        <is>
          <t>ref</t>
        </is>
      </c>
      <c r="O2086" t="n">
        <v>-15</v>
      </c>
      <c r="P2086" t="n">
        <v>0.001404</v>
      </c>
      <c r="Q2086" t="n">
        <v>-40</v>
      </c>
      <c r="R2086" t="n">
        <v>0.01938</v>
      </c>
      <c r="S2086">
        <f>IMAGE("https://mitra.stanford.edu/kundaje/oak/projects/neuro-variants/variant_position/credible/roussos_2024/variant_figures/roussos_2024.adolescence.GLU/rs12464988_count_position.png",4,220,900)</f>
        <v/>
      </c>
      <c r="T2086">
        <f>IMAGE("https://mitra.stanford.edu/kundaje/oak/projects/neuro-variants/variant_position/credible/roussos_2024/variant_figures/roussos_2024.adolescence.GLU/rs12464988_profile_position.png",4,220,900)</f>
        <v/>
      </c>
    </row>
    <row r="2087">
      <c r="A2087" t="inlineStr">
        <is>
          <t>chr2</t>
        </is>
      </c>
      <c r="B2087" t="n">
        <v>27856477</v>
      </c>
      <c r="C2087" t="inlineStr">
        <is>
          <t>C</t>
        </is>
      </c>
      <c r="D2087" t="inlineStr">
        <is>
          <t>A</t>
        </is>
      </c>
      <c r="E2087" t="inlineStr">
        <is>
          <t>rs4233719</t>
        </is>
      </c>
      <c r="F2087" t="n">
        <v>-0.043380946</v>
      </c>
      <c r="G2087" t="n">
        <v>0.09300861735800291</v>
      </c>
      <c r="H2087" t="n">
        <v>0.0160653078331836</v>
      </c>
      <c r="I2087" t="n">
        <v>0.1383213839041861</v>
      </c>
      <c r="J2087" t="n">
        <v>0.0926191854026905</v>
      </c>
      <c r="K2087" t="n">
        <v>0.5914359980559024</v>
      </c>
      <c r="L2087" t="b">
        <v>0</v>
      </c>
      <c r="M2087" t="b">
        <v>0</v>
      </c>
      <c r="N2087" t="inlineStr">
        <is>
          <t>ref</t>
        </is>
      </c>
      <c r="O2087" t="n">
        <v>100</v>
      </c>
      <c r="P2087" t="n">
        <v>0.00444</v>
      </c>
      <c r="Q2087" t="n">
        <v>-100</v>
      </c>
      <c r="R2087" t="n">
        <v>0.0673</v>
      </c>
      <c r="S2087">
        <f>IMAGE("https://mitra.stanford.edu/kundaje/oak/projects/neuro-variants/variant_position/credible/roussos_2024/variant_figures/roussos_2024.adolescence.GLU/rs4233719_count_position.png",4,220,900)</f>
        <v/>
      </c>
      <c r="T2087">
        <f>IMAGE("https://mitra.stanford.edu/kundaje/oak/projects/neuro-variants/variant_position/credible/roussos_2024/variant_figures/roussos_2024.adolescence.GLU/rs4233719_profile_position.png",4,220,900)</f>
        <v/>
      </c>
    </row>
    <row r="2088">
      <c r="A2088" t="inlineStr">
        <is>
          <t>chr2</t>
        </is>
      </c>
      <c r="B2088" t="n">
        <v>27873925</v>
      </c>
      <c r="C2088" t="inlineStr">
        <is>
          <t>A</t>
        </is>
      </c>
      <c r="D2088" t="inlineStr">
        <is>
          <t>G</t>
        </is>
      </c>
      <c r="E2088" t="inlineStr">
        <is>
          <t>rs12466717</t>
        </is>
      </c>
      <c r="F2088" t="n">
        <v>0.0251496714</v>
      </c>
      <c r="G2088" t="n">
        <v>0.2183638261705294</v>
      </c>
      <c r="H2088" t="n">
        <v>0.0129806981562136</v>
      </c>
      <c r="I2088" t="n">
        <v>0.2506759398726957</v>
      </c>
      <c r="J2088" t="n">
        <v>0.0589722156732465</v>
      </c>
      <c r="K2088" t="n">
        <v>0.673788474115314</v>
      </c>
      <c r="L2088" t="b">
        <v>0</v>
      </c>
      <c r="M2088" t="b">
        <v>0</v>
      </c>
      <c r="N2088" t="inlineStr">
        <is>
          <t>alt</t>
        </is>
      </c>
      <c r="O2088" t="n">
        <v>-100</v>
      </c>
      <c r="P2088" t="n">
        <v>0.007736</v>
      </c>
      <c r="Q2088" t="n">
        <v>-80</v>
      </c>
      <c r="R2088" t="n">
        <v>0.03723</v>
      </c>
      <c r="S2088">
        <f>IMAGE("https://mitra.stanford.edu/kundaje/oak/projects/neuro-variants/variant_position/credible/roussos_2024/variant_figures/roussos_2024.adolescence.GLU/rs12466717_count_position.png",4,220,900)</f>
        <v/>
      </c>
      <c r="T2088">
        <f>IMAGE("https://mitra.stanford.edu/kundaje/oak/projects/neuro-variants/variant_position/credible/roussos_2024/variant_figures/roussos_2024.adolescence.GLU/rs12466717_profile_position.png",4,220,900)</f>
        <v/>
      </c>
    </row>
    <row r="2089">
      <c r="A2089" t="inlineStr">
        <is>
          <t>chr2</t>
        </is>
      </c>
      <c r="B2089" t="n">
        <v>27880131</v>
      </c>
      <c r="C2089" t="inlineStr">
        <is>
          <t>G</t>
        </is>
      </c>
      <c r="D2089" t="inlineStr">
        <is>
          <t>A</t>
        </is>
      </c>
      <c r="E2089" t="inlineStr">
        <is>
          <t>rs6547814</t>
        </is>
      </c>
      <c r="F2089" t="n">
        <v>-0.0340901948</v>
      </c>
      <c r="G2089" t="n">
        <v>0.1440417375334921</v>
      </c>
      <c r="H2089" t="n">
        <v>0.0115280907219764</v>
      </c>
      <c r="I2089" t="n">
        <v>0.3826182159093634</v>
      </c>
      <c r="J2089" t="n">
        <v>0.1019211122303905</v>
      </c>
      <c r="K2089" t="n">
        <v>0.5636850403329305</v>
      </c>
      <c r="L2089" t="b">
        <v>0</v>
      </c>
      <c r="M2089" t="b">
        <v>0</v>
      </c>
      <c r="N2089" t="inlineStr">
        <is>
          <t>ref</t>
        </is>
      </c>
      <c r="O2089" t="n">
        <v>15</v>
      </c>
      <c r="P2089" t="n">
        <v>0.001022</v>
      </c>
      <c r="Q2089" t="n">
        <v>95</v>
      </c>
      <c r="R2089" t="n">
        <v>0.05307</v>
      </c>
      <c r="S2089">
        <f>IMAGE("https://mitra.stanford.edu/kundaje/oak/projects/neuro-variants/variant_position/credible/roussos_2024/variant_figures/roussos_2024.adolescence.GLU/rs6547814_count_position.png",4,220,900)</f>
        <v/>
      </c>
      <c r="T2089">
        <f>IMAGE("https://mitra.stanford.edu/kundaje/oak/projects/neuro-variants/variant_position/credible/roussos_2024/variant_figures/roussos_2024.adolescence.GLU/rs6547814_profile_position.png",4,220,900)</f>
        <v/>
      </c>
    </row>
    <row r="2090">
      <c r="A2090" t="inlineStr">
        <is>
          <t>chr2</t>
        </is>
      </c>
      <c r="B2090" t="n">
        <v>27901304</v>
      </c>
      <c r="C2090" t="inlineStr">
        <is>
          <t>G</t>
        </is>
      </c>
      <c r="D2090" t="inlineStr">
        <is>
          <t>A</t>
        </is>
      </c>
      <c r="E2090" t="inlineStr">
        <is>
          <t>rs10177845</t>
        </is>
      </c>
      <c r="F2090" t="n">
        <v>-0.0048376647</v>
      </c>
      <c r="G2090" t="n">
        <v>0.5473144045048666</v>
      </c>
      <c r="H2090" t="n">
        <v>0.009873058227288799</v>
      </c>
      <c r="I2090" t="n">
        <v>0.5463854058101908</v>
      </c>
      <c r="J2090" t="n">
        <v>0.1363768209129033</v>
      </c>
      <c r="K2090" t="n">
        <v>0.4959281363643515</v>
      </c>
      <c r="L2090" t="b">
        <v>0</v>
      </c>
      <c r="M2090" t="b">
        <v>0</v>
      </c>
      <c r="N2090" t="inlineStr">
        <is>
          <t>ref</t>
        </is>
      </c>
      <c r="O2090" t="n">
        <v>45</v>
      </c>
      <c r="P2090" t="n">
        <v>0.00422</v>
      </c>
      <c r="Q2090" t="n">
        <v>45</v>
      </c>
      <c r="R2090" t="n">
        <v>0.06073</v>
      </c>
      <c r="S2090">
        <f>IMAGE("https://mitra.stanford.edu/kundaje/oak/projects/neuro-variants/variant_position/credible/roussos_2024/variant_figures/roussos_2024.adolescence.GLU/rs10177845_count_position.png",4,220,900)</f>
        <v/>
      </c>
      <c r="T2090">
        <f>IMAGE("https://mitra.stanford.edu/kundaje/oak/projects/neuro-variants/variant_position/credible/roussos_2024/variant_figures/roussos_2024.adolescence.GLU/rs10177845_profile_position.png",4,220,900)</f>
        <v/>
      </c>
    </row>
    <row r="2091">
      <c r="A2091" t="inlineStr">
        <is>
          <t>chr2</t>
        </is>
      </c>
      <c r="B2091" t="n">
        <v>27913484</v>
      </c>
      <c r="C2091" t="inlineStr">
        <is>
          <t>A</t>
        </is>
      </c>
      <c r="D2091" t="inlineStr">
        <is>
          <t>G</t>
        </is>
      </c>
      <c r="E2091" t="inlineStr">
        <is>
          <t>rs1458396</t>
        </is>
      </c>
      <c r="F2091" t="n">
        <v>0.00158154084</v>
      </c>
      <c r="G2091" t="n">
        <v>0.8001616592112178</v>
      </c>
      <c r="H2091" t="n">
        <v>0.0205545307930813</v>
      </c>
      <c r="I2091" t="n">
        <v>0.0526775783032986</v>
      </c>
      <c r="J2091" t="n">
        <v>0.0069985925656028</v>
      </c>
      <c r="K2091" t="n">
        <v>0.9052249554667484</v>
      </c>
      <c r="L2091" t="b">
        <v>0</v>
      </c>
      <c r="M2091" t="b">
        <v>0</v>
      </c>
      <c r="N2091" t="inlineStr">
        <is>
          <t>alt</t>
        </is>
      </c>
      <c r="O2091" t="n">
        <v>-55</v>
      </c>
      <c r="P2091" t="n">
        <v>0.00642</v>
      </c>
      <c r="Q2091" t="n">
        <v>100</v>
      </c>
      <c r="R2091" t="n">
        <v>0.05933</v>
      </c>
      <c r="S2091">
        <f>IMAGE("https://mitra.stanford.edu/kundaje/oak/projects/neuro-variants/variant_position/credible/roussos_2024/variant_figures/roussos_2024.adolescence.GLU/rs1458396_count_position.png",4,220,900)</f>
        <v/>
      </c>
      <c r="T2091">
        <f>IMAGE("https://mitra.stanford.edu/kundaje/oak/projects/neuro-variants/variant_position/credible/roussos_2024/variant_figures/roussos_2024.adolescence.GLU/rs1458396_profile_position.png",4,220,900)</f>
        <v/>
      </c>
    </row>
    <row r="2092">
      <c r="A2092" t="inlineStr">
        <is>
          <t>chr2</t>
        </is>
      </c>
      <c r="B2092" t="n">
        <v>27933773</v>
      </c>
      <c r="C2092" t="inlineStr">
        <is>
          <t>T</t>
        </is>
      </c>
      <c r="D2092" t="inlineStr">
        <is>
          <t>G</t>
        </is>
      </c>
      <c r="E2092" t="inlineStr">
        <is>
          <t>rs13012050</t>
        </is>
      </c>
      <c r="F2092" t="n">
        <v>-0.00419354338</v>
      </c>
      <c r="G2092" t="n">
        <v>0.6344241022812046</v>
      </c>
      <c r="H2092" t="n">
        <v>0.0408486644759514</v>
      </c>
      <c r="I2092" t="n">
        <v>0.0028424272315262</v>
      </c>
      <c r="J2092" t="n">
        <v>0.0062598681155381</v>
      </c>
      <c r="K2092" t="n">
        <v>0.9060648234637202</v>
      </c>
      <c r="L2092" t="b">
        <v>0</v>
      </c>
      <c r="M2092" t="b">
        <v>0</v>
      </c>
      <c r="N2092" t="inlineStr">
        <is>
          <t>ref</t>
        </is>
      </c>
      <c r="O2092" t="n">
        <v>100</v>
      </c>
      <c r="P2092" t="n">
        <v>0.0004272</v>
      </c>
      <c r="Q2092" t="n">
        <v>-50</v>
      </c>
      <c r="R2092" t="n">
        <v>0.05487</v>
      </c>
      <c r="S2092">
        <f>IMAGE("https://mitra.stanford.edu/kundaje/oak/projects/neuro-variants/variant_position/credible/roussos_2024/variant_figures/roussos_2024.adolescence.GLU/rs13012050_count_position.png",4,220,900)</f>
        <v/>
      </c>
      <c r="T2092">
        <f>IMAGE("https://mitra.stanford.edu/kundaje/oak/projects/neuro-variants/variant_position/credible/roussos_2024/variant_figures/roussos_2024.adolescence.GLU/rs13012050_profile_position.png",4,220,900)</f>
        <v/>
      </c>
    </row>
    <row r="2093">
      <c r="A2093" t="inlineStr">
        <is>
          <t>chr2</t>
        </is>
      </c>
      <c r="B2093" t="n">
        <v>27936777</v>
      </c>
      <c r="C2093" t="inlineStr">
        <is>
          <t>A</t>
        </is>
      </c>
      <c r="D2093" t="inlineStr">
        <is>
          <t>G</t>
        </is>
      </c>
      <c r="E2093" t="inlineStr">
        <is>
          <t>rs10184052</t>
        </is>
      </c>
      <c r="F2093" t="n">
        <v>0.0696305478</v>
      </c>
      <c r="G2093" t="n">
        <v>0.0276426232658411</v>
      </c>
      <c r="H2093" t="n">
        <v>0.0132426646588793</v>
      </c>
      <c r="I2093" t="n">
        <v>0.2693155910659657</v>
      </c>
      <c r="J2093" t="n">
        <v>0.0510305706181994</v>
      </c>
      <c r="K2093" t="n">
        <v>0.7036655344675714</v>
      </c>
      <c r="L2093" t="b">
        <v>0</v>
      </c>
      <c r="M2093" t="b">
        <v>0</v>
      </c>
      <c r="N2093" t="inlineStr">
        <is>
          <t>alt</t>
        </is>
      </c>
      <c r="O2093" t="n">
        <v>90</v>
      </c>
      <c r="P2093" t="n">
        <v>0.04208</v>
      </c>
      <c r="Q2093" t="n">
        <v>15</v>
      </c>
      <c r="R2093" t="n">
        <v>0.0002441</v>
      </c>
      <c r="S2093">
        <f>IMAGE("https://mitra.stanford.edu/kundaje/oak/projects/neuro-variants/variant_position/credible/roussos_2024/variant_figures/roussos_2024.adolescence.GLU/rs10184052_count_position.png",4,220,900)</f>
        <v/>
      </c>
      <c r="T2093">
        <f>IMAGE("https://mitra.stanford.edu/kundaje/oak/projects/neuro-variants/variant_position/credible/roussos_2024/variant_figures/roussos_2024.adolescence.GLU/rs10184052_profile_position.png",4,220,900)</f>
        <v/>
      </c>
    </row>
    <row r="2094">
      <c r="A2094" t="inlineStr">
        <is>
          <t>chr2</t>
        </is>
      </c>
      <c r="B2094" t="n">
        <v>28019441</v>
      </c>
      <c r="C2094" t="inlineStr">
        <is>
          <t>G</t>
        </is>
      </c>
      <c r="D2094" t="inlineStr">
        <is>
          <t>A</t>
        </is>
      </c>
      <c r="E2094" t="inlineStr">
        <is>
          <t>rs4616436</t>
        </is>
      </c>
      <c r="F2094" t="n">
        <v>-0.0228075695</v>
      </c>
      <c r="G2094" t="n">
        <v>0.3317447155958743</v>
      </c>
      <c r="H2094" t="n">
        <v>0.0131344661594374</v>
      </c>
      <c r="I2094" t="n">
        <v>0.3378903024666652</v>
      </c>
      <c r="J2094" t="n">
        <v>0.0564116852776646</v>
      </c>
      <c r="K2094" t="n">
        <v>0.6774659855568023</v>
      </c>
      <c r="L2094" t="b">
        <v>0</v>
      </c>
      <c r="M2094" t="b">
        <v>0</v>
      </c>
      <c r="N2094" t="inlineStr">
        <is>
          <t>ref</t>
        </is>
      </c>
      <c r="O2094" t="n">
        <v>-50</v>
      </c>
      <c r="P2094" t="n">
        <v>0.007934999999999999</v>
      </c>
      <c r="Q2094" t="n">
        <v>-85</v>
      </c>
      <c r="R2094" t="n">
        <v>0.07104000000000001</v>
      </c>
      <c r="S2094">
        <f>IMAGE("https://mitra.stanford.edu/kundaje/oak/projects/neuro-variants/variant_position/credible/roussos_2024/variant_figures/roussos_2024.adolescence.GLU/rs4616436_count_position.png",4,220,900)</f>
        <v/>
      </c>
      <c r="T2094">
        <f>IMAGE("https://mitra.stanford.edu/kundaje/oak/projects/neuro-variants/variant_position/credible/roussos_2024/variant_figures/roussos_2024.adolescence.GLU/rs4616436_profile_position.png",4,220,900)</f>
        <v/>
      </c>
    </row>
    <row r="2095">
      <c r="A2095" t="inlineStr">
        <is>
          <t>chr2</t>
        </is>
      </c>
      <c r="B2095" t="n">
        <v>36985060</v>
      </c>
      <c r="C2095" t="inlineStr">
        <is>
          <t>G</t>
        </is>
      </c>
      <c r="D2095" t="inlineStr">
        <is>
          <t>A</t>
        </is>
      </c>
      <c r="E2095" t="inlineStr">
        <is>
          <t>rs6712162</t>
        </is>
      </c>
      <c r="F2095" t="n">
        <v>-0.0413704366</v>
      </c>
      <c r="G2095" t="n">
        <v>0.1054591820546337</v>
      </c>
      <c r="H2095" t="n">
        <v>0.0089914097108567</v>
      </c>
      <c r="I2095" t="n">
        <v>0.6466813590236229</v>
      </c>
      <c r="J2095" t="n">
        <v>0.0134685041901536</v>
      </c>
      <c r="K2095" t="n">
        <v>0.8580582489720544</v>
      </c>
      <c r="L2095" t="b">
        <v>0</v>
      </c>
      <c r="M2095" t="b">
        <v>0</v>
      </c>
      <c r="N2095" t="inlineStr">
        <is>
          <t>ref</t>
        </is>
      </c>
      <c r="O2095" t="n">
        <v>-100</v>
      </c>
      <c r="P2095" t="n">
        <v>0.002592</v>
      </c>
      <c r="Q2095" t="n">
        <v>-35</v>
      </c>
      <c r="R2095" t="n">
        <v>0.02252</v>
      </c>
      <c r="S2095">
        <f>IMAGE("https://mitra.stanford.edu/kundaje/oak/projects/neuro-variants/variant_position/credible/roussos_2024/variant_figures/roussos_2024.adolescence.GLU/rs6712162_count_position.png",4,220,900)</f>
        <v/>
      </c>
      <c r="T2095">
        <f>IMAGE("https://mitra.stanford.edu/kundaje/oak/projects/neuro-variants/variant_position/credible/roussos_2024/variant_figures/roussos_2024.adolescence.GLU/rs6712162_profile_position.png",4,220,900)</f>
        <v/>
      </c>
    </row>
    <row r="2096">
      <c r="A2096" t="inlineStr">
        <is>
          <t>chr2</t>
        </is>
      </c>
      <c r="B2096" t="n">
        <v>37005187</v>
      </c>
      <c r="C2096" t="inlineStr">
        <is>
          <t>C</t>
        </is>
      </c>
      <c r="D2096" t="inlineStr">
        <is>
          <t>T</t>
        </is>
      </c>
      <c r="E2096" t="inlineStr">
        <is>
          <t>rs1123648</t>
        </is>
      </c>
      <c r="F2096" t="n">
        <v>-0.0858952231999999</v>
      </c>
      <c r="G2096" t="n">
        <v>0.0209324753393856</v>
      </c>
      <c r="H2096" t="n">
        <v>0.0329285447288181</v>
      </c>
      <c r="I2096" t="n">
        <v>0.009251224316071401</v>
      </c>
      <c r="J2096" t="n">
        <v>0.2768159118674582</v>
      </c>
      <c r="K2096" t="n">
        <v>0.2957696704920319</v>
      </c>
      <c r="L2096" t="b">
        <v>1</v>
      </c>
      <c r="M2096" t="b">
        <v>1</v>
      </c>
      <c r="N2096" t="inlineStr">
        <is>
          <t>ref</t>
        </is>
      </c>
      <c r="O2096" t="n">
        <v>100</v>
      </c>
      <c r="P2096" t="n">
        <v>0.01346</v>
      </c>
      <c r="Q2096" t="n">
        <v>100</v>
      </c>
      <c r="R2096" t="n">
        <v>0.1394</v>
      </c>
      <c r="S2096">
        <f>IMAGE("https://mitra.stanford.edu/kundaje/oak/projects/neuro-variants/variant_position/credible/roussos_2024/variant_figures/roussos_2024.adolescence.GLU/rs1123648_count_position.png",4,220,900)</f>
        <v/>
      </c>
      <c r="T2096">
        <f>IMAGE("https://mitra.stanford.edu/kundaje/oak/projects/neuro-variants/variant_position/credible/roussos_2024/variant_figures/roussos_2024.adolescence.GLU/rs1123648_profile_position.png",4,220,900)</f>
        <v/>
      </c>
    </row>
    <row r="2097">
      <c r="A2097" t="inlineStr">
        <is>
          <t>chr2</t>
        </is>
      </c>
      <c r="B2097" t="n">
        <v>37011373</v>
      </c>
      <c r="C2097" t="inlineStr">
        <is>
          <t>C</t>
        </is>
      </c>
      <c r="D2097" t="inlineStr">
        <is>
          <t>G</t>
        </is>
      </c>
      <c r="E2097" t="inlineStr">
        <is>
          <t>rs6753260</t>
        </is>
      </c>
      <c r="F2097" t="n">
        <v>-0.016939629</v>
      </c>
      <c r="G2097" t="n">
        <v>0.2751047884565334</v>
      </c>
      <c r="H2097" t="n">
        <v>0.0109433961425605</v>
      </c>
      <c r="I2097" t="n">
        <v>0.4189708776449912</v>
      </c>
      <c r="J2097" t="n">
        <v>0.0654635603089211</v>
      </c>
      <c r="K2097" t="n">
        <v>0.651368307312601</v>
      </c>
      <c r="L2097" t="b">
        <v>0</v>
      </c>
      <c r="M2097" t="b">
        <v>0</v>
      </c>
      <c r="N2097" t="inlineStr">
        <is>
          <t>ref</t>
        </is>
      </c>
      <c r="O2097" t="n">
        <v>95</v>
      </c>
      <c r="P2097" t="n">
        <v>0.00941</v>
      </c>
      <c r="Q2097" t="n">
        <v>-65</v>
      </c>
      <c r="R2097" t="n">
        <v>0.0595</v>
      </c>
      <c r="S2097">
        <f>IMAGE("https://mitra.stanford.edu/kundaje/oak/projects/neuro-variants/variant_position/credible/roussos_2024/variant_figures/roussos_2024.adolescence.GLU/rs6753260_count_position.png",4,220,900)</f>
        <v/>
      </c>
      <c r="T2097">
        <f>IMAGE("https://mitra.stanford.edu/kundaje/oak/projects/neuro-variants/variant_position/credible/roussos_2024/variant_figures/roussos_2024.adolescence.GLU/rs6753260_profile_position.png",4,220,900)</f>
        <v/>
      </c>
    </row>
    <row r="2098">
      <c r="A2098" t="inlineStr">
        <is>
          <t>chr2</t>
        </is>
      </c>
      <c r="B2098" t="n">
        <v>37020872</v>
      </c>
      <c r="C2098" t="inlineStr">
        <is>
          <t>T</t>
        </is>
      </c>
      <c r="D2098" t="inlineStr">
        <is>
          <t>C</t>
        </is>
      </c>
      <c r="E2098" t="inlineStr">
        <is>
          <t>rs17020136</t>
        </is>
      </c>
      <c r="F2098" t="n">
        <v>0.00145523096</v>
      </c>
      <c r="G2098" t="n">
        <v>0.8424766781351323</v>
      </c>
      <c r="H2098" t="n">
        <v>0.0168007593468654</v>
      </c>
      <c r="I2098" t="n">
        <v>0.1176590009730012</v>
      </c>
      <c r="J2098" t="n">
        <v>0.0989019153967606</v>
      </c>
      <c r="K2098" t="n">
        <v>0.5720821805339585</v>
      </c>
      <c r="L2098" t="b">
        <v>0</v>
      </c>
      <c r="M2098" t="b">
        <v>0</v>
      </c>
      <c r="N2098" t="inlineStr">
        <is>
          <t>alt</t>
        </is>
      </c>
      <c r="O2098" t="n">
        <v>100</v>
      </c>
      <c r="P2098" t="n">
        <v>0.002655</v>
      </c>
      <c r="Q2098" t="n">
        <v>-95</v>
      </c>
      <c r="R2098" t="n">
        <v>0.08154</v>
      </c>
      <c r="S2098">
        <f>IMAGE("https://mitra.stanford.edu/kundaje/oak/projects/neuro-variants/variant_position/credible/roussos_2024/variant_figures/roussos_2024.adolescence.GLU/rs17020136_count_position.png",4,220,900)</f>
        <v/>
      </c>
      <c r="T2098">
        <f>IMAGE("https://mitra.stanford.edu/kundaje/oak/projects/neuro-variants/variant_position/credible/roussos_2024/variant_figures/roussos_2024.adolescence.GLU/rs17020136_profile_position.png",4,220,900)</f>
        <v/>
      </c>
    </row>
    <row r="2099">
      <c r="A2099" t="inlineStr">
        <is>
          <t>chr2</t>
        </is>
      </c>
      <c r="B2099" t="n">
        <v>37179000</v>
      </c>
      <c r="C2099" t="inlineStr">
        <is>
          <t>C</t>
        </is>
      </c>
      <c r="D2099" t="inlineStr">
        <is>
          <t>T</t>
        </is>
      </c>
      <c r="E2099" t="inlineStr">
        <is>
          <t>rs28463756</t>
        </is>
      </c>
      <c r="F2099" t="n">
        <v>-0.01660865</v>
      </c>
      <c r="G2099" t="n">
        <v>0.3745996120262208</v>
      </c>
      <c r="H2099" t="n">
        <v>0.0148654079259633</v>
      </c>
      <c r="I2099" t="n">
        <v>0.1808644622088735</v>
      </c>
      <c r="J2099" t="n">
        <v>0.0533424780847461</v>
      </c>
      <c r="K2099" t="n">
        <v>0.6915898292108784</v>
      </c>
      <c r="L2099" t="b">
        <v>0</v>
      </c>
      <c r="M2099" t="b">
        <v>0</v>
      </c>
      <c r="N2099" t="inlineStr">
        <is>
          <t>ref</t>
        </is>
      </c>
      <c r="O2099" t="n">
        <v>-75</v>
      </c>
      <c r="P2099" t="n">
        <v>0.015434</v>
      </c>
      <c r="Q2099" t="n">
        <v>100</v>
      </c>
      <c r="R2099" t="n">
        <v>0.01094</v>
      </c>
      <c r="S2099">
        <f>IMAGE("https://mitra.stanford.edu/kundaje/oak/projects/neuro-variants/variant_position/credible/roussos_2024/variant_figures/roussos_2024.adolescence.GLU/rs28463756_count_position.png",4,220,900)</f>
        <v/>
      </c>
      <c r="T2099">
        <f>IMAGE("https://mitra.stanford.edu/kundaje/oak/projects/neuro-variants/variant_position/credible/roussos_2024/variant_figures/roussos_2024.adolescence.GLU/rs28463756_profile_position.png",4,220,900)</f>
        <v/>
      </c>
    </row>
    <row r="2100">
      <c r="A2100" t="inlineStr">
        <is>
          <t>chr2</t>
        </is>
      </c>
      <c r="B2100" t="n">
        <v>37180035</v>
      </c>
      <c r="C2100" t="inlineStr">
        <is>
          <t>A</t>
        </is>
      </c>
      <c r="D2100" t="inlineStr">
        <is>
          <t>G</t>
        </is>
      </c>
      <c r="E2100" t="inlineStr">
        <is>
          <t>rs4374352</t>
        </is>
      </c>
      <c r="F2100" t="n">
        <v>0.0673608696</v>
      </c>
      <c r="G2100" t="n">
        <v>0.0281099523950731</v>
      </c>
      <c r="H2100" t="n">
        <v>0.0132173749677944</v>
      </c>
      <c r="I2100" t="n">
        <v>0.2529843246326642</v>
      </c>
      <c r="J2100" t="n">
        <v>0.2400340070443163</v>
      </c>
      <c r="K2100" t="n">
        <v>0.3355929340936258</v>
      </c>
      <c r="L2100" t="b">
        <v>0</v>
      </c>
      <c r="M2100" t="b">
        <v>0</v>
      </c>
      <c r="N2100" t="inlineStr">
        <is>
          <t>alt</t>
        </is>
      </c>
      <c r="O2100" t="n">
        <v>-30</v>
      </c>
      <c r="P2100" t="n">
        <v>0.01143</v>
      </c>
      <c r="Q2100" t="n">
        <v>40</v>
      </c>
      <c r="R2100" t="n">
        <v>0.03586</v>
      </c>
      <c r="S2100">
        <f>IMAGE("https://mitra.stanford.edu/kundaje/oak/projects/neuro-variants/variant_position/credible/roussos_2024/variant_figures/roussos_2024.adolescence.GLU/rs4374352_count_position.png",4,220,900)</f>
        <v/>
      </c>
      <c r="T2100">
        <f>IMAGE("https://mitra.stanford.edu/kundaje/oak/projects/neuro-variants/variant_position/credible/roussos_2024/variant_figures/roussos_2024.adolescence.GLU/rs4374352_profile_position.png",4,220,900)</f>
        <v/>
      </c>
    </row>
    <row r="2101">
      <c r="A2101" t="inlineStr">
        <is>
          <t>chr2</t>
        </is>
      </c>
      <c r="B2101" t="n">
        <v>37181405</v>
      </c>
      <c r="C2101" t="inlineStr">
        <is>
          <t>C</t>
        </is>
      </c>
      <c r="D2101" t="inlineStr">
        <is>
          <t>T</t>
        </is>
      </c>
      <c r="E2101" t="inlineStr">
        <is>
          <t>rs6750763</t>
        </is>
      </c>
      <c r="F2101" t="n">
        <v>-0.0256682001999999</v>
      </c>
      <c r="G2101" t="n">
        <v>0.2239934219579089</v>
      </c>
      <c r="H2101" t="n">
        <v>0.0113142274006885</v>
      </c>
      <c r="I2101" t="n">
        <v>0.3722973315029426</v>
      </c>
      <c r="J2101" t="n">
        <v>0.1775410620771445</v>
      </c>
      <c r="K2101" t="n">
        <v>0.4389644519049835</v>
      </c>
      <c r="L2101" t="b">
        <v>0</v>
      </c>
      <c r="M2101" t="b">
        <v>0</v>
      </c>
      <c r="N2101" t="inlineStr">
        <is>
          <t>ref</t>
        </is>
      </c>
      <c r="O2101" t="n">
        <v>20</v>
      </c>
      <c r="P2101" t="n">
        <v>0.00467</v>
      </c>
      <c r="Q2101" t="n">
        <v>-85</v>
      </c>
      <c r="R2101" t="n">
        <v>0.03055</v>
      </c>
      <c r="S2101">
        <f>IMAGE("https://mitra.stanford.edu/kundaje/oak/projects/neuro-variants/variant_position/credible/roussos_2024/variant_figures/roussos_2024.adolescence.GLU/rs6750763_count_position.png",4,220,900)</f>
        <v/>
      </c>
      <c r="T2101">
        <f>IMAGE("https://mitra.stanford.edu/kundaje/oak/projects/neuro-variants/variant_position/credible/roussos_2024/variant_figures/roussos_2024.adolescence.GLU/rs6750763_profile_position.png",4,220,900)</f>
        <v/>
      </c>
    </row>
    <row r="2102">
      <c r="A2102" t="inlineStr">
        <is>
          <t>chr2</t>
        </is>
      </c>
      <c r="B2102" t="n">
        <v>37183173</v>
      </c>
      <c r="C2102" t="inlineStr">
        <is>
          <t>T</t>
        </is>
      </c>
      <c r="D2102" t="inlineStr">
        <is>
          <t>G</t>
        </is>
      </c>
      <c r="E2102" t="inlineStr">
        <is>
          <t>rs11124565</t>
        </is>
      </c>
      <c r="F2102" t="n">
        <v>-0.00357744214</v>
      </c>
      <c r="G2102" t="n">
        <v>0.5938175152262546</v>
      </c>
      <c r="H2102" t="n">
        <v>0.0212512739226587</v>
      </c>
      <c r="I2102" t="n">
        <v>0.0434929958835535</v>
      </c>
      <c r="J2102" t="n">
        <v>0.0242836016031891</v>
      </c>
      <c r="K2102" t="n">
        <v>0.7943935860815956</v>
      </c>
      <c r="L2102" t="b">
        <v>0</v>
      </c>
      <c r="M2102" t="b">
        <v>0</v>
      </c>
      <c r="N2102" t="inlineStr">
        <is>
          <t>ref</t>
        </is>
      </c>
      <c r="O2102" t="n">
        <v>-40</v>
      </c>
      <c r="P2102" t="n">
        <v>0.001129</v>
      </c>
      <c r="Q2102" t="n">
        <v>-60</v>
      </c>
      <c r="R2102" t="n">
        <v>0.02051</v>
      </c>
      <c r="S2102">
        <f>IMAGE("https://mitra.stanford.edu/kundaje/oak/projects/neuro-variants/variant_position/credible/roussos_2024/variant_figures/roussos_2024.adolescence.GLU/rs11124565_count_position.png",4,220,900)</f>
        <v/>
      </c>
      <c r="T2102">
        <f>IMAGE("https://mitra.stanford.edu/kundaje/oak/projects/neuro-variants/variant_position/credible/roussos_2024/variant_figures/roussos_2024.adolescence.GLU/rs11124565_profile_position.png",4,220,900)</f>
        <v/>
      </c>
    </row>
    <row r="2103">
      <c r="A2103" t="inlineStr">
        <is>
          <t>chr2</t>
        </is>
      </c>
      <c r="B2103" t="n">
        <v>37183820</v>
      </c>
      <c r="C2103" t="inlineStr">
        <is>
          <t>T</t>
        </is>
      </c>
      <c r="D2103" t="inlineStr">
        <is>
          <t>G</t>
        </is>
      </c>
      <c r="E2103" t="inlineStr">
        <is>
          <t>rs4670673</t>
        </is>
      </c>
      <c r="F2103" t="n">
        <v>4.469875079999996e-05</v>
      </c>
      <c r="G2103" t="n">
        <v>0.8710696944380334</v>
      </c>
      <c r="H2103" t="n">
        <v>0.026564942730675</v>
      </c>
      <c r="I2103" t="n">
        <v>0.0152098222680187</v>
      </c>
      <c r="J2103" t="n">
        <v>0.0320823599174114</v>
      </c>
      <c r="K2103" t="n">
        <v>0.761562848652959</v>
      </c>
      <c r="L2103" t="b">
        <v>1</v>
      </c>
      <c r="M2103" t="b">
        <v>0</v>
      </c>
      <c r="N2103" t="inlineStr">
        <is>
          <t>alt</t>
        </is>
      </c>
      <c r="O2103" t="n">
        <v>-100</v>
      </c>
      <c r="P2103" t="n">
        <v>0.01971</v>
      </c>
      <c r="Q2103" t="n">
        <v>-95</v>
      </c>
      <c r="R2103" t="n">
        <v>0.05493</v>
      </c>
      <c r="S2103">
        <f>IMAGE("https://mitra.stanford.edu/kundaje/oak/projects/neuro-variants/variant_position/credible/roussos_2024/variant_figures/roussos_2024.adolescence.GLU/rs4670673_count_position.png",4,220,900)</f>
        <v/>
      </c>
      <c r="T2103">
        <f>IMAGE("https://mitra.stanford.edu/kundaje/oak/projects/neuro-variants/variant_position/credible/roussos_2024/variant_figures/roussos_2024.adolescence.GLU/rs4670673_profile_position.png",4,220,900)</f>
        <v/>
      </c>
    </row>
    <row r="2104">
      <c r="A2104" t="inlineStr">
        <is>
          <t>chr2</t>
        </is>
      </c>
      <c r="B2104" t="n">
        <v>37198486</v>
      </c>
      <c r="C2104" t="inlineStr">
        <is>
          <t>A</t>
        </is>
      </c>
      <c r="D2104" t="inlineStr">
        <is>
          <t>G</t>
        </is>
      </c>
      <c r="E2104" t="inlineStr">
        <is>
          <t>rs2287093</t>
        </is>
      </c>
      <c r="F2104" t="n">
        <v>0.046890296</v>
      </c>
      <c r="G2104" t="n">
        <v>0.0723185663852154</v>
      </c>
      <c r="H2104" t="n">
        <v>0.0112136972946813</v>
      </c>
      <c r="I2104" t="n">
        <v>0.3952633663917991</v>
      </c>
      <c r="J2104" t="n">
        <v>0.2343156796765043</v>
      </c>
      <c r="K2104" t="n">
        <v>0.3561637388170331</v>
      </c>
      <c r="L2104" t="b">
        <v>0</v>
      </c>
      <c r="M2104" t="b">
        <v>0</v>
      </c>
      <c r="N2104" t="inlineStr">
        <is>
          <t>alt</t>
        </is>
      </c>
      <c r="O2104" t="n">
        <v>-85</v>
      </c>
      <c r="P2104" t="n">
        <v>0.0224</v>
      </c>
      <c r="Q2104" t="n">
        <v>40</v>
      </c>
      <c r="R2104" t="n">
        <v>0.02121</v>
      </c>
      <c r="S2104">
        <f>IMAGE("https://mitra.stanford.edu/kundaje/oak/projects/neuro-variants/variant_position/credible/roussos_2024/variant_figures/roussos_2024.adolescence.GLU/rs2287093_count_position.png",4,220,900)</f>
        <v/>
      </c>
      <c r="T2104">
        <f>IMAGE("https://mitra.stanford.edu/kundaje/oak/projects/neuro-variants/variant_position/credible/roussos_2024/variant_figures/roussos_2024.adolescence.GLU/rs2287093_profile_position.png",4,220,900)</f>
        <v/>
      </c>
    </row>
    <row r="2105">
      <c r="A2105" t="inlineStr">
        <is>
          <t>chr2</t>
        </is>
      </c>
      <c r="B2105" t="n">
        <v>37227075</v>
      </c>
      <c r="C2105" t="inlineStr">
        <is>
          <t>C</t>
        </is>
      </c>
      <c r="D2105" t="inlineStr">
        <is>
          <t>G</t>
        </is>
      </c>
      <c r="E2105" t="inlineStr">
        <is>
          <t>rs10182759</t>
        </is>
      </c>
      <c r="F2105" t="n">
        <v>0.0414326854</v>
      </c>
      <c r="G2105" t="n">
        <v>0.0958166974256895</v>
      </c>
      <c r="H2105" t="n">
        <v>0.0144584806090246</v>
      </c>
      <c r="I2105" t="n">
        <v>0.2021159021283349</v>
      </c>
      <c r="J2105" t="n">
        <v>0.2395539075951447</v>
      </c>
      <c r="K2105" t="n">
        <v>0.338850063312578</v>
      </c>
      <c r="L2105" t="b">
        <v>0</v>
      </c>
      <c r="M2105" t="b">
        <v>0</v>
      </c>
      <c r="N2105" t="inlineStr">
        <is>
          <t>alt</t>
        </is>
      </c>
      <c r="O2105" t="n">
        <v>-75</v>
      </c>
      <c r="P2105" t="n">
        <v>0.02727</v>
      </c>
      <c r="Q2105" t="n">
        <v>-15</v>
      </c>
      <c r="R2105" t="n">
        <v>0.01477</v>
      </c>
      <c r="S2105">
        <f>IMAGE("https://mitra.stanford.edu/kundaje/oak/projects/neuro-variants/variant_position/credible/roussos_2024/variant_figures/roussos_2024.adolescence.GLU/rs10182759_count_position.png",4,220,900)</f>
        <v/>
      </c>
      <c r="T2105">
        <f>IMAGE("https://mitra.stanford.edu/kundaje/oak/projects/neuro-variants/variant_position/credible/roussos_2024/variant_figures/roussos_2024.adolescence.GLU/rs10182759_profile_position.png",4,220,900)</f>
        <v/>
      </c>
    </row>
    <row r="2106">
      <c r="A2106" t="inlineStr">
        <is>
          <t>chr2</t>
        </is>
      </c>
      <c r="B2106" t="n">
        <v>37281990</v>
      </c>
      <c r="C2106" t="inlineStr">
        <is>
          <t>C</t>
        </is>
      </c>
      <c r="D2106" t="inlineStr">
        <is>
          <t>A</t>
        </is>
      </c>
      <c r="E2106" t="inlineStr">
        <is>
          <t>rs2041836</t>
        </is>
      </c>
      <c r="F2106" t="n">
        <v>0.00497801408</v>
      </c>
      <c r="G2106" t="n">
        <v>0.7284867325361267</v>
      </c>
      <c r="H2106" t="n">
        <v>0.0159838172611356</v>
      </c>
      <c r="I2106" t="n">
        <v>0.1399899899151569</v>
      </c>
      <c r="J2106" t="n">
        <v>0.2479327860771159</v>
      </c>
      <c r="K2106" t="n">
        <v>0.3253184077573264</v>
      </c>
      <c r="L2106" t="b">
        <v>0</v>
      </c>
      <c r="M2106" t="b">
        <v>0</v>
      </c>
      <c r="N2106" t="inlineStr">
        <is>
          <t>alt</t>
        </is>
      </c>
      <c r="O2106" t="n">
        <v>-40</v>
      </c>
      <c r="P2106" t="n">
        <v>0.01465</v>
      </c>
      <c r="Q2106" t="n">
        <v>-40</v>
      </c>
      <c r="R2106" t="n">
        <v>0.02808</v>
      </c>
      <c r="S2106">
        <f>IMAGE("https://mitra.stanford.edu/kundaje/oak/projects/neuro-variants/variant_position/credible/roussos_2024/variant_figures/roussos_2024.adolescence.GLU/rs2041836_count_position.png",4,220,900)</f>
        <v/>
      </c>
      <c r="T2106">
        <f>IMAGE("https://mitra.stanford.edu/kundaje/oak/projects/neuro-variants/variant_position/credible/roussos_2024/variant_figures/roussos_2024.adolescence.GLU/rs2041836_profile_position.png",4,220,900)</f>
        <v/>
      </c>
    </row>
    <row r="2107">
      <c r="A2107" t="inlineStr">
        <is>
          <t>chr2</t>
        </is>
      </c>
      <c r="B2107" t="n">
        <v>37292625</v>
      </c>
      <c r="C2107" t="inlineStr">
        <is>
          <t>C</t>
        </is>
      </c>
      <c r="D2107" t="inlineStr">
        <is>
          <t>T</t>
        </is>
      </c>
      <c r="E2107" t="inlineStr">
        <is>
          <t>rs11682607</t>
        </is>
      </c>
      <c r="F2107" t="n">
        <v>-0.0508897696</v>
      </c>
      <c r="G2107" t="n">
        <v>0.0659337669047879</v>
      </c>
      <c r="H2107" t="n">
        <v>0.0137885675277656</v>
      </c>
      <c r="I2107" t="n">
        <v>0.2182026055699262</v>
      </c>
      <c r="J2107" t="n">
        <v>0.1727300655135706</v>
      </c>
      <c r="K2107" t="n">
        <v>0.4458222261769622</v>
      </c>
      <c r="L2107" t="b">
        <v>0</v>
      </c>
      <c r="M2107" t="b">
        <v>0</v>
      </c>
      <c r="N2107" t="inlineStr">
        <is>
          <t>ref</t>
        </is>
      </c>
      <c r="O2107" t="n">
        <v>90</v>
      </c>
      <c r="P2107" t="n">
        <v>0.0221</v>
      </c>
      <c r="Q2107" t="n">
        <v>-60</v>
      </c>
      <c r="R2107" t="n">
        <v>0.04486</v>
      </c>
      <c r="S2107">
        <f>IMAGE("https://mitra.stanford.edu/kundaje/oak/projects/neuro-variants/variant_position/credible/roussos_2024/variant_figures/roussos_2024.adolescence.GLU/rs11682607_count_position.png",4,220,900)</f>
        <v/>
      </c>
      <c r="T2107">
        <f>IMAGE("https://mitra.stanford.edu/kundaje/oak/projects/neuro-variants/variant_position/credible/roussos_2024/variant_figures/roussos_2024.adolescence.GLU/rs11682607_profile_position.png",4,220,900)</f>
        <v/>
      </c>
    </row>
    <row r="2108">
      <c r="A2108" t="inlineStr">
        <is>
          <t>chr2</t>
        </is>
      </c>
      <c r="B2108" t="n">
        <v>37292826</v>
      </c>
      <c r="C2108" t="inlineStr">
        <is>
          <t>A</t>
        </is>
      </c>
      <c r="D2108" t="inlineStr">
        <is>
          <t>G</t>
        </is>
      </c>
      <c r="E2108" t="inlineStr">
        <is>
          <t>rs11693917</t>
        </is>
      </c>
      <c r="F2108" t="n">
        <v>-0.00175533874</v>
      </c>
      <c r="G2108" t="n">
        <v>0.8681342148059485</v>
      </c>
      <c r="H2108" t="n">
        <v>0.0327291538580634</v>
      </c>
      <c r="I2108" t="n">
        <v>0.0067148066885654</v>
      </c>
      <c r="J2108" t="n">
        <v>0.124960170320995</v>
      </c>
      <c r="K2108" t="n">
        <v>0.5276344036370114</v>
      </c>
      <c r="L2108" t="b">
        <v>1</v>
      </c>
      <c r="M2108" t="b">
        <v>1</v>
      </c>
      <c r="N2108" t="inlineStr">
        <is>
          <t>ref</t>
        </is>
      </c>
      <c r="O2108" t="n">
        <v>95</v>
      </c>
      <c r="P2108" t="n">
        <v>0.004837</v>
      </c>
      <c r="Q2108" t="n">
        <v>-100</v>
      </c>
      <c r="R2108" t="n">
        <v>0.121</v>
      </c>
      <c r="S2108">
        <f>IMAGE("https://mitra.stanford.edu/kundaje/oak/projects/neuro-variants/variant_position/credible/roussos_2024/variant_figures/roussos_2024.adolescence.GLU/rs11693917_count_position.png",4,220,900)</f>
        <v/>
      </c>
      <c r="T2108">
        <f>IMAGE("https://mitra.stanford.edu/kundaje/oak/projects/neuro-variants/variant_position/credible/roussos_2024/variant_figures/roussos_2024.adolescence.GLU/rs11693917_profile_position.png",4,220,900)</f>
        <v/>
      </c>
    </row>
    <row r="2109">
      <c r="A2109" t="inlineStr">
        <is>
          <t>chr2</t>
        </is>
      </c>
      <c r="B2109" t="n">
        <v>37299694</v>
      </c>
      <c r="C2109" t="inlineStr">
        <is>
          <t>A</t>
        </is>
      </c>
      <c r="D2109" t="inlineStr">
        <is>
          <t>C</t>
        </is>
      </c>
      <c r="E2109" t="inlineStr">
        <is>
          <t>rs74177070</t>
        </is>
      </c>
      <c r="F2109" t="n">
        <v>-0.00176148364</v>
      </c>
      <c r="G2109" t="n">
        <v>0.8202599766204121</v>
      </c>
      <c r="H2109" t="n">
        <v>0.0256275002932183</v>
      </c>
      <c r="I2109" t="n">
        <v>0.019151395147359</v>
      </c>
      <c r="J2109" t="n">
        <v>0.0614398696872923</v>
      </c>
      <c r="K2109" t="n">
        <v>0.6625038445301604</v>
      </c>
      <c r="L2109" t="b">
        <v>1</v>
      </c>
      <c r="M2109" t="b">
        <v>0</v>
      </c>
      <c r="N2109" t="inlineStr">
        <is>
          <t>ref</t>
        </is>
      </c>
      <c r="O2109" t="n">
        <v>100</v>
      </c>
      <c r="P2109" t="n">
        <v>0.03134</v>
      </c>
      <c r="Q2109" t="n">
        <v>-50</v>
      </c>
      <c r="R2109" t="n">
        <v>0.0711</v>
      </c>
      <c r="S2109">
        <f>IMAGE("https://mitra.stanford.edu/kundaje/oak/projects/neuro-variants/variant_position/credible/roussos_2024/variant_figures/roussos_2024.adolescence.GLU/rs74177070_count_position.png",4,220,900)</f>
        <v/>
      </c>
      <c r="T2109">
        <f>IMAGE("https://mitra.stanford.edu/kundaje/oak/projects/neuro-variants/variant_position/credible/roussos_2024/variant_figures/roussos_2024.adolescence.GLU/rs74177070_profile_position.png",4,220,900)</f>
        <v/>
      </c>
    </row>
    <row r="2110">
      <c r="A2110" t="inlineStr">
        <is>
          <t>chr2</t>
        </is>
      </c>
      <c r="B2110" t="n">
        <v>50826690</v>
      </c>
      <c r="C2110" t="inlineStr">
        <is>
          <t>C</t>
        </is>
      </c>
      <c r="D2110" t="inlineStr">
        <is>
          <t>T</t>
        </is>
      </c>
      <c r="E2110" t="inlineStr">
        <is>
          <t>rs67986063</t>
        </is>
      </c>
      <c r="F2110" t="n">
        <v>-0.00597878888</v>
      </c>
      <c r="G2110" t="n">
        <v>0.6953522399084802</v>
      </c>
      <c r="H2110" t="n">
        <v>0.0217398101519665</v>
      </c>
      <c r="I2110" t="n">
        <v>0.0376719537108981</v>
      </c>
      <c r="J2110" t="n">
        <v>0.0807295796986518</v>
      </c>
      <c r="K2110" t="n">
        <v>0.6203734692590713</v>
      </c>
      <c r="L2110" t="b">
        <v>0</v>
      </c>
      <c r="M2110" t="b">
        <v>0</v>
      </c>
      <c r="N2110" t="inlineStr">
        <is>
          <t>ref</t>
        </is>
      </c>
      <c r="O2110" t="n">
        <v>5</v>
      </c>
      <c r="P2110" t="n">
        <v>0.0002403</v>
      </c>
      <c r="Q2110" t="n">
        <v>-15</v>
      </c>
      <c r="R2110" t="n">
        <v>0.00728</v>
      </c>
      <c r="S2110">
        <f>IMAGE("https://mitra.stanford.edu/kundaje/oak/projects/neuro-variants/variant_position/credible/roussos_2024/variant_figures/roussos_2024.adolescence.GLU/rs67986063_count_position.png",4,220,900)</f>
        <v/>
      </c>
      <c r="T2110">
        <f>IMAGE("https://mitra.stanford.edu/kundaje/oak/projects/neuro-variants/variant_position/credible/roussos_2024/variant_figures/roussos_2024.adolescence.GLU/rs67986063_profile_position.png",4,220,900)</f>
        <v/>
      </c>
    </row>
    <row r="2111">
      <c r="A2111" t="inlineStr">
        <is>
          <t>chr2</t>
        </is>
      </c>
      <c r="B2111" t="n">
        <v>50834102</v>
      </c>
      <c r="C2111" t="inlineStr">
        <is>
          <t>T</t>
        </is>
      </c>
      <c r="D2111" t="inlineStr">
        <is>
          <t>C</t>
        </is>
      </c>
      <c r="E2111" t="inlineStr">
        <is>
          <t>rs17504263</t>
        </is>
      </c>
      <c r="F2111" t="n">
        <v>0.0267851597999999</v>
      </c>
      <c r="G2111" t="n">
        <v>0.1968071272714728</v>
      </c>
      <c r="H2111" t="n">
        <v>0.0095569310083696</v>
      </c>
      <c r="I2111" t="n">
        <v>0.5675853416440094</v>
      </c>
      <c r="J2111" t="n">
        <v>0.0034235663101641</v>
      </c>
      <c r="K2111" t="n">
        <v>0.9389389244684</v>
      </c>
      <c r="L2111" t="b">
        <v>0</v>
      </c>
      <c r="M2111" t="b">
        <v>0</v>
      </c>
      <c r="N2111" t="inlineStr">
        <is>
          <t>alt</t>
        </is>
      </c>
      <c r="O2111" t="n">
        <v>-5</v>
      </c>
      <c r="P2111" t="n">
        <v>0.001877</v>
      </c>
      <c r="Q2111" t="n">
        <v>30</v>
      </c>
      <c r="R2111" t="n">
        <v>0.01282</v>
      </c>
      <c r="S2111">
        <f>IMAGE("https://mitra.stanford.edu/kundaje/oak/projects/neuro-variants/variant_position/credible/roussos_2024/variant_figures/roussos_2024.adolescence.GLU/rs17504263_count_position.png",4,220,900)</f>
        <v/>
      </c>
      <c r="T2111">
        <f>IMAGE("https://mitra.stanford.edu/kundaje/oak/projects/neuro-variants/variant_position/credible/roussos_2024/variant_figures/roussos_2024.adolescence.GLU/rs17504263_profile_position.png",4,220,900)</f>
        <v/>
      </c>
    </row>
    <row r="2112">
      <c r="A2112" t="inlineStr">
        <is>
          <t>chr2</t>
        </is>
      </c>
      <c r="B2112" t="n">
        <v>50841977</v>
      </c>
      <c r="C2112" t="inlineStr">
        <is>
          <t>A</t>
        </is>
      </c>
      <c r="D2112" t="inlineStr">
        <is>
          <t>G</t>
        </is>
      </c>
      <c r="E2112" t="inlineStr">
        <is>
          <t>rs17041068</t>
        </is>
      </c>
      <c r="F2112" t="n">
        <v>-0.003075028406</v>
      </c>
      <c r="G2112" t="n">
        <v>0.8512882354046513</v>
      </c>
      <c r="H2112" t="n">
        <v>0.0220714365554845</v>
      </c>
      <c r="I2112" t="n">
        <v>0.0335005628400481</v>
      </c>
      <c r="J2112" t="n">
        <v>0.0154474855505782</v>
      </c>
      <c r="K2112" t="n">
        <v>0.8470016445858126</v>
      </c>
      <c r="L2112" t="b">
        <v>0</v>
      </c>
      <c r="M2112" t="b">
        <v>0</v>
      </c>
      <c r="N2112" t="inlineStr">
        <is>
          <t>ref</t>
        </is>
      </c>
      <c r="O2112" t="n">
        <v>-100</v>
      </c>
      <c r="P2112" t="n">
        <v>0.02362</v>
      </c>
      <c r="Q2112" t="n">
        <v>-100</v>
      </c>
      <c r="R2112" t="n">
        <v>0.07920000000000001</v>
      </c>
      <c r="S2112">
        <f>IMAGE("https://mitra.stanford.edu/kundaje/oak/projects/neuro-variants/variant_position/credible/roussos_2024/variant_figures/roussos_2024.adolescence.GLU/rs17041068_count_position.png",4,220,900)</f>
        <v/>
      </c>
      <c r="T2112">
        <f>IMAGE("https://mitra.stanford.edu/kundaje/oak/projects/neuro-variants/variant_position/credible/roussos_2024/variant_figures/roussos_2024.adolescence.GLU/rs17041068_profile_position.png",4,220,900)</f>
        <v/>
      </c>
    </row>
    <row r="2113">
      <c r="A2113" t="inlineStr">
        <is>
          <t>chr2</t>
        </is>
      </c>
      <c r="B2113" t="n">
        <v>50865054</v>
      </c>
      <c r="C2113" t="inlineStr">
        <is>
          <t>G</t>
        </is>
      </c>
      <c r="D2113" t="inlineStr">
        <is>
          <t>A</t>
        </is>
      </c>
      <c r="E2113" t="inlineStr">
        <is>
          <t>rs67206190</t>
        </is>
      </c>
      <c r="F2113" t="n">
        <v>-0.06610075979999989</v>
      </c>
      <c r="G2113" t="n">
        <v>0.0297205277638235</v>
      </c>
      <c r="H2113" t="n">
        <v>0.013261848386192</v>
      </c>
      <c r="I2113" t="n">
        <v>0.2466000982862435</v>
      </c>
      <c r="J2113" t="n">
        <v>0.1509284065985096</v>
      </c>
      <c r="K2113" t="n">
        <v>0.47709399757939</v>
      </c>
      <c r="L2113" t="b">
        <v>0</v>
      </c>
      <c r="M2113" t="b">
        <v>0</v>
      </c>
      <c r="N2113" t="inlineStr">
        <is>
          <t>ref</t>
        </is>
      </c>
      <c r="O2113" t="n">
        <v>65</v>
      </c>
      <c r="P2113" t="n">
        <v>0.001801</v>
      </c>
      <c r="Q2113" t="n">
        <v>-100</v>
      </c>
      <c r="R2113" t="n">
        <v>0.0789</v>
      </c>
      <c r="S2113">
        <f>IMAGE("https://mitra.stanford.edu/kundaje/oak/projects/neuro-variants/variant_position/credible/roussos_2024/variant_figures/roussos_2024.adolescence.GLU/rs67206190_count_position.png",4,220,900)</f>
        <v/>
      </c>
      <c r="T2113">
        <f>IMAGE("https://mitra.stanford.edu/kundaje/oak/projects/neuro-variants/variant_position/credible/roussos_2024/variant_figures/roussos_2024.adolescence.GLU/rs67206190_profile_position.png",4,220,900)</f>
        <v/>
      </c>
    </row>
    <row r="2114">
      <c r="A2114" t="inlineStr">
        <is>
          <t>chr2</t>
        </is>
      </c>
      <c r="B2114" t="n">
        <v>50865455</v>
      </c>
      <c r="C2114" t="inlineStr">
        <is>
          <t>T</t>
        </is>
      </c>
      <c r="D2114" t="inlineStr">
        <is>
          <t>C</t>
        </is>
      </c>
      <c r="E2114" t="inlineStr">
        <is>
          <t>rs66848903</t>
        </is>
      </c>
      <c r="F2114" t="n">
        <v>-0.0136423228399999</v>
      </c>
      <c r="G2114" t="n">
        <v>0.4368375103550445</v>
      </c>
      <c r="H2114" t="n">
        <v>0.0159114405466756</v>
      </c>
      <c r="I2114" t="n">
        <v>0.1329496823526265</v>
      </c>
      <c r="J2114" t="n">
        <v>0.0811668131255759</v>
      </c>
      <c r="K2114" t="n">
        <v>0.6140153717206954</v>
      </c>
      <c r="L2114" t="b">
        <v>0</v>
      </c>
      <c r="M2114" t="b">
        <v>0</v>
      </c>
      <c r="N2114" t="inlineStr">
        <is>
          <t>ref</t>
        </is>
      </c>
      <c r="O2114" t="n">
        <v>100</v>
      </c>
      <c r="P2114" t="n">
        <v>0.08484</v>
      </c>
      <c r="Q2114" t="n">
        <v>60</v>
      </c>
      <c r="R2114" t="n">
        <v>0.0194</v>
      </c>
      <c r="S2114">
        <f>IMAGE("https://mitra.stanford.edu/kundaje/oak/projects/neuro-variants/variant_position/credible/roussos_2024/variant_figures/roussos_2024.adolescence.GLU/rs66848903_count_position.png",4,220,900)</f>
        <v/>
      </c>
      <c r="T2114">
        <f>IMAGE("https://mitra.stanford.edu/kundaje/oak/projects/neuro-variants/variant_position/credible/roussos_2024/variant_figures/roussos_2024.adolescence.GLU/rs66848903_profile_position.png",4,220,900)</f>
        <v/>
      </c>
    </row>
    <row r="2115">
      <c r="A2115" t="inlineStr">
        <is>
          <t>chr2</t>
        </is>
      </c>
      <c r="B2115" t="n">
        <v>54640404</v>
      </c>
      <c r="C2115" t="inlineStr">
        <is>
          <t>C</t>
        </is>
      </c>
      <c r="D2115" t="inlineStr">
        <is>
          <t>A</t>
        </is>
      </c>
      <c r="E2115" t="inlineStr">
        <is>
          <t>rs2941582</t>
        </is>
      </c>
      <c r="F2115" t="n">
        <v>-0.04469152076</v>
      </c>
      <c r="G2115" t="n">
        <v>0.0981605032987341</v>
      </c>
      <c r="H2115" t="n">
        <v>0.0159109526198304</v>
      </c>
      <c r="I2115" t="n">
        <v>0.1472092096961702</v>
      </c>
      <c r="J2115" t="n">
        <v>0.1677676090047223</v>
      </c>
      <c r="K2115" t="n">
        <v>0.4549422850116988</v>
      </c>
      <c r="L2115" t="b">
        <v>0</v>
      </c>
      <c r="M2115" t="b">
        <v>0</v>
      </c>
      <c r="N2115" t="inlineStr">
        <is>
          <t>ref</t>
        </is>
      </c>
      <c r="O2115" t="n">
        <v>60</v>
      </c>
      <c r="P2115" t="n">
        <v>0.007034</v>
      </c>
      <c r="Q2115" t="n">
        <v>-20</v>
      </c>
      <c r="R2115" t="n">
        <v>0.02032</v>
      </c>
      <c r="S2115">
        <f>IMAGE("https://mitra.stanford.edu/kundaje/oak/projects/neuro-variants/variant_position/credible/roussos_2024/variant_figures/roussos_2024.adolescence.GLU/rs2941582_count_position.png",4,220,900)</f>
        <v/>
      </c>
      <c r="T2115">
        <f>IMAGE("https://mitra.stanford.edu/kundaje/oak/projects/neuro-variants/variant_position/credible/roussos_2024/variant_figures/roussos_2024.adolescence.GLU/rs2941582_profile_position.png",4,220,900)</f>
        <v/>
      </c>
    </row>
    <row r="2116">
      <c r="A2116" t="inlineStr">
        <is>
          <t>chr2</t>
        </is>
      </c>
      <c r="B2116" t="n">
        <v>54699238</v>
      </c>
      <c r="C2116" t="inlineStr">
        <is>
          <t>A</t>
        </is>
      </c>
      <c r="D2116" t="inlineStr">
        <is>
          <t>G</t>
        </is>
      </c>
      <c r="E2116" t="inlineStr">
        <is>
          <t>rs354216</t>
        </is>
      </c>
      <c r="F2116" t="n">
        <v>0.00416214348</v>
      </c>
      <c r="G2116" t="n">
        <v>0.6733050754592969</v>
      </c>
      <c r="H2116" t="n">
        <v>0.0153816762235368</v>
      </c>
      <c r="I2116" t="n">
        <v>0.1480982653648808</v>
      </c>
      <c r="J2116" t="n">
        <v>0.5587986082831444</v>
      </c>
      <c r="K2116" t="n">
        <v>0.0546354826984965</v>
      </c>
      <c r="L2116" t="b">
        <v>0</v>
      </c>
      <c r="M2116" t="b">
        <v>0</v>
      </c>
      <c r="N2116" t="inlineStr">
        <is>
          <t>alt</t>
        </is>
      </c>
      <c r="O2116" t="n">
        <v>-100</v>
      </c>
      <c r="P2116" t="n">
        <v>0.012146</v>
      </c>
      <c r="Q2116" t="n">
        <v>-100</v>
      </c>
      <c r="R2116" t="n">
        <v>0.0343</v>
      </c>
      <c r="S2116">
        <f>IMAGE("https://mitra.stanford.edu/kundaje/oak/projects/neuro-variants/variant_position/credible/roussos_2024/variant_figures/roussos_2024.adolescence.GLU/rs354216_count_position.png",4,220,900)</f>
        <v/>
      </c>
      <c r="T2116">
        <f>IMAGE("https://mitra.stanford.edu/kundaje/oak/projects/neuro-variants/variant_position/credible/roussos_2024/variant_figures/roussos_2024.adolescence.GLU/rs354216_profile_position.png",4,220,900)</f>
        <v/>
      </c>
    </row>
    <row r="2117">
      <c r="A2117" t="inlineStr">
        <is>
          <t>chr2</t>
        </is>
      </c>
      <c r="B2117" t="n">
        <v>54719299</v>
      </c>
      <c r="C2117" t="inlineStr">
        <is>
          <t>C</t>
        </is>
      </c>
      <c r="D2117" t="inlineStr">
        <is>
          <t>A</t>
        </is>
      </c>
      <c r="E2117" t="inlineStr">
        <is>
          <t>rs73934803</t>
        </is>
      </c>
      <c r="F2117" t="n">
        <v>-0.0118156709</v>
      </c>
      <c r="G2117" t="n">
        <v>0.5252813842619941</v>
      </c>
      <c r="H2117" t="n">
        <v>0.0101497072198864</v>
      </c>
      <c r="I2117" t="n">
        <v>0.5185322371731587</v>
      </c>
      <c r="J2117" t="n">
        <v>0.1676990233691264</v>
      </c>
      <c r="K2117" t="n">
        <v>0.4484672358080156</v>
      </c>
      <c r="L2117" t="b">
        <v>0</v>
      </c>
      <c r="M2117" t="b">
        <v>0</v>
      </c>
      <c r="N2117" t="inlineStr">
        <is>
          <t>ref</t>
        </is>
      </c>
      <c r="O2117" t="n">
        <v>-100</v>
      </c>
      <c r="P2117" t="n">
        <v>0.007267</v>
      </c>
      <c r="Q2117" t="n">
        <v>85</v>
      </c>
      <c r="R2117" t="n">
        <v>0.04364</v>
      </c>
      <c r="S2117">
        <f>IMAGE("https://mitra.stanford.edu/kundaje/oak/projects/neuro-variants/variant_position/credible/roussos_2024/variant_figures/roussos_2024.adolescence.GLU/rs73934803_count_position.png",4,220,900)</f>
        <v/>
      </c>
      <c r="T2117">
        <f>IMAGE("https://mitra.stanford.edu/kundaje/oak/projects/neuro-variants/variant_position/credible/roussos_2024/variant_figures/roussos_2024.adolescence.GLU/rs73934803_profile_position.png",4,220,900)</f>
        <v/>
      </c>
    </row>
    <row r="2118">
      <c r="A2118" t="inlineStr">
        <is>
          <t>chr2</t>
        </is>
      </c>
      <c r="B2118" t="n">
        <v>54745089</v>
      </c>
      <c r="C2118" t="inlineStr">
        <is>
          <t>C</t>
        </is>
      </c>
      <c r="D2118" t="inlineStr">
        <is>
          <t>T</t>
        </is>
      </c>
      <c r="E2118" t="inlineStr">
        <is>
          <t>rs148661029</t>
        </is>
      </c>
      <c r="F2118" t="n">
        <v>-0.0549877148</v>
      </c>
      <c r="G2118" t="n">
        <v>0.0528544160199215</v>
      </c>
      <c r="H2118" t="n">
        <v>0.013226094722686</v>
      </c>
      <c r="I2118" t="n">
        <v>0.26456652074523</v>
      </c>
      <c r="J2118" t="n">
        <v>0.2501103800072871</v>
      </c>
      <c r="K2118" t="n">
        <v>0.3353710068933286</v>
      </c>
      <c r="L2118" t="b">
        <v>0</v>
      </c>
      <c r="M2118" t="b">
        <v>0</v>
      </c>
      <c r="N2118" t="inlineStr">
        <is>
          <t>ref</t>
        </is>
      </c>
      <c r="O2118" t="n">
        <v>-65</v>
      </c>
      <c r="P2118" t="n">
        <v>0.0267</v>
      </c>
      <c r="Q2118" t="n">
        <v>-70</v>
      </c>
      <c r="R2118" t="n">
        <v>0.08749999999999999</v>
      </c>
      <c r="S2118">
        <f>IMAGE("https://mitra.stanford.edu/kundaje/oak/projects/neuro-variants/variant_position/credible/roussos_2024/variant_figures/roussos_2024.adolescence.GLU/rs148661029_count_position.png",4,220,900)</f>
        <v/>
      </c>
      <c r="T2118">
        <f>IMAGE("https://mitra.stanford.edu/kundaje/oak/projects/neuro-variants/variant_position/credible/roussos_2024/variant_figures/roussos_2024.adolescence.GLU/rs148661029_profile_position.png",4,220,900)</f>
        <v/>
      </c>
    </row>
    <row r="2119">
      <c r="A2119" t="inlineStr">
        <is>
          <t>chr2</t>
        </is>
      </c>
      <c r="B2119" t="n">
        <v>57722969</v>
      </c>
      <c r="C2119" t="inlineStr">
        <is>
          <t>G</t>
        </is>
      </c>
      <c r="D2119" t="inlineStr">
        <is>
          <t>A</t>
        </is>
      </c>
      <c r="E2119" t="inlineStr">
        <is>
          <t>rs10180540</t>
        </is>
      </c>
      <c r="F2119" t="n">
        <v>-0.0261268538</v>
      </c>
      <c r="G2119" t="n">
        <v>0.2208861358122471</v>
      </c>
      <c r="H2119" t="n">
        <v>0.0111581208052772</v>
      </c>
      <c r="I2119" t="n">
        <v>0.4173649940004987</v>
      </c>
      <c r="J2119" t="n">
        <v>0.0701259546620371</v>
      </c>
      <c r="K2119" t="n">
        <v>0.6396249623844019</v>
      </c>
      <c r="L2119" t="b">
        <v>0</v>
      </c>
      <c r="M2119" t="b">
        <v>0</v>
      </c>
      <c r="N2119" t="inlineStr">
        <is>
          <t>ref</t>
        </is>
      </c>
      <c r="O2119" t="n">
        <v>100</v>
      </c>
      <c r="P2119" t="n">
        <v>0.004765</v>
      </c>
      <c r="Q2119" t="n">
        <v>100</v>
      </c>
      <c r="R2119" t="n">
        <v>0.01709</v>
      </c>
      <c r="S2119">
        <f>IMAGE("https://mitra.stanford.edu/kundaje/oak/projects/neuro-variants/variant_position/credible/roussos_2024/variant_figures/roussos_2024.adolescence.GLU/rs10180540_count_position.png",4,220,900)</f>
        <v/>
      </c>
      <c r="T2119">
        <f>IMAGE("https://mitra.stanford.edu/kundaje/oak/projects/neuro-variants/variant_position/credible/roussos_2024/variant_figures/roussos_2024.adolescence.GLU/rs10180540_profile_position.png",4,220,900)</f>
        <v/>
      </c>
    </row>
    <row r="2120">
      <c r="A2120" t="inlineStr">
        <is>
          <t>chr2</t>
        </is>
      </c>
      <c r="B2120" t="n">
        <v>57734094</v>
      </c>
      <c r="C2120" t="inlineStr">
        <is>
          <t>C</t>
        </is>
      </c>
      <c r="D2120" t="inlineStr">
        <is>
          <t>T</t>
        </is>
      </c>
      <c r="E2120" t="inlineStr">
        <is>
          <t>rs41335055</t>
        </is>
      </c>
      <c r="F2120" t="n">
        <v>-0.00619106258</v>
      </c>
      <c r="G2120" t="n">
        <v>0.6817855960208433</v>
      </c>
      <c r="H2120" t="n">
        <v>0.0085564799142126</v>
      </c>
      <c r="I2120" t="n">
        <v>0.7061066442962055</v>
      </c>
      <c r="J2120" t="n">
        <v>0.1316172635760264</v>
      </c>
      <c r="K2120" t="n">
        <v>0.5101271468826524</v>
      </c>
      <c r="L2120" t="b">
        <v>0</v>
      </c>
      <c r="M2120" t="b">
        <v>0</v>
      </c>
      <c r="N2120" t="inlineStr">
        <is>
          <t>ref</t>
        </is>
      </c>
      <c r="O2120" t="n">
        <v>-100</v>
      </c>
      <c r="P2120" t="n">
        <v>0.02301</v>
      </c>
      <c r="Q2120" t="n">
        <v>-100</v>
      </c>
      <c r="R2120" t="n">
        <v>0.0823</v>
      </c>
      <c r="S2120">
        <f>IMAGE("https://mitra.stanford.edu/kundaje/oak/projects/neuro-variants/variant_position/credible/roussos_2024/variant_figures/roussos_2024.adolescence.GLU/rs41335055_count_position.png",4,220,900)</f>
        <v/>
      </c>
      <c r="T2120">
        <f>IMAGE("https://mitra.stanford.edu/kundaje/oak/projects/neuro-variants/variant_position/credible/roussos_2024/variant_figures/roussos_2024.adolescence.GLU/rs41335055_profile_position.png",4,220,900)</f>
        <v/>
      </c>
    </row>
    <row r="2121">
      <c r="A2121" t="inlineStr">
        <is>
          <t>chr2</t>
        </is>
      </c>
      <c r="B2121" t="n">
        <v>57837206</v>
      </c>
      <c r="C2121" t="inlineStr">
        <is>
          <t>A</t>
        </is>
      </c>
      <c r="D2121" t="inlineStr">
        <is>
          <t>G</t>
        </is>
      </c>
      <c r="E2121" t="inlineStr">
        <is>
          <t>rs77011057</t>
        </is>
      </c>
      <c r="F2121" t="n">
        <v>-0.00918085898</v>
      </c>
      <c r="G2121" t="n">
        <v>0.5790583947192512</v>
      </c>
      <c r="H2121" t="n">
        <v>0.0113635929710879</v>
      </c>
      <c r="I2121" t="n">
        <v>0.3813182496771361</v>
      </c>
      <c r="J2121" t="n">
        <v>0.0210343571168312</v>
      </c>
      <c r="K2121" t="n">
        <v>0.8142374255768923</v>
      </c>
      <c r="L2121" t="b">
        <v>0</v>
      </c>
      <c r="M2121" t="b">
        <v>0</v>
      </c>
      <c r="N2121" t="inlineStr">
        <is>
          <t>ref</t>
        </is>
      </c>
      <c r="O2121" t="n">
        <v>-95</v>
      </c>
      <c r="P2121" t="n">
        <v>0.07056</v>
      </c>
      <c r="Q2121" t="n">
        <v>-70</v>
      </c>
      <c r="R2121" t="n">
        <v>0.06320000000000001</v>
      </c>
      <c r="S2121">
        <f>IMAGE("https://mitra.stanford.edu/kundaje/oak/projects/neuro-variants/variant_position/credible/roussos_2024/variant_figures/roussos_2024.adolescence.GLU/rs77011057_count_position.png",4,220,900)</f>
        <v/>
      </c>
      <c r="T2121">
        <f>IMAGE("https://mitra.stanford.edu/kundaje/oak/projects/neuro-variants/variant_position/credible/roussos_2024/variant_figures/roussos_2024.adolescence.GLU/rs77011057_profile_position.png",4,220,900)</f>
        <v/>
      </c>
    </row>
    <row r="2122">
      <c r="A2122" t="inlineStr">
        <is>
          <t>chr2</t>
        </is>
      </c>
      <c r="B2122" t="n">
        <v>57844611</v>
      </c>
      <c r="C2122" t="inlineStr">
        <is>
          <t>C</t>
        </is>
      </c>
      <c r="D2122" t="inlineStr">
        <is>
          <t>T</t>
        </is>
      </c>
      <c r="E2122" t="inlineStr">
        <is>
          <t>rs79017955</t>
        </is>
      </c>
      <c r="F2122" t="n">
        <v>-0.0059946555799999</v>
      </c>
      <c r="G2122" t="n">
        <v>0.676915815918163</v>
      </c>
      <c r="H2122" t="n">
        <v>0.0268302370302619</v>
      </c>
      <c r="I2122" t="n">
        <v>0.0139069671521951</v>
      </c>
      <c r="J2122" t="n">
        <v>0.0120610697930285</v>
      </c>
      <c r="K2122" t="n">
        <v>0.872622287204143</v>
      </c>
      <c r="L2122" t="b">
        <v>1</v>
      </c>
      <c r="M2122" t="b">
        <v>0</v>
      </c>
      <c r="N2122" t="inlineStr">
        <is>
          <t>ref</t>
        </is>
      </c>
      <c r="O2122" t="n">
        <v>5</v>
      </c>
      <c r="P2122" t="n">
        <v>0.0002785</v>
      </c>
      <c r="Q2122" t="n">
        <v>-95</v>
      </c>
      <c r="R2122" t="n">
        <v>0.04126</v>
      </c>
      <c r="S2122">
        <f>IMAGE("https://mitra.stanford.edu/kundaje/oak/projects/neuro-variants/variant_position/credible/roussos_2024/variant_figures/roussos_2024.adolescence.GLU/rs79017955_count_position.png",4,220,900)</f>
        <v/>
      </c>
      <c r="T2122">
        <f>IMAGE("https://mitra.stanford.edu/kundaje/oak/projects/neuro-variants/variant_position/credible/roussos_2024/variant_figures/roussos_2024.adolescence.GLU/rs79017955_profile_position.png",4,220,900)</f>
        <v/>
      </c>
    </row>
    <row r="2123">
      <c r="A2123" t="inlineStr">
        <is>
          <t>chr2</t>
        </is>
      </c>
      <c r="B2123" t="n">
        <v>57874972</v>
      </c>
      <c r="C2123" t="inlineStr">
        <is>
          <t>T</t>
        </is>
      </c>
      <c r="D2123" t="inlineStr">
        <is>
          <t>A</t>
        </is>
      </c>
      <c r="E2123" t="inlineStr">
        <is>
          <t>rs59159185</t>
        </is>
      </c>
      <c r="F2123" t="n">
        <v>-0.0007271509188</v>
      </c>
      <c r="G2123" t="n">
        <v>0.9236640369107676</v>
      </c>
      <c r="H2123" t="n">
        <v>0.0160128314591589</v>
      </c>
      <c r="I2123" t="n">
        <v>0.1329614069186659</v>
      </c>
      <c r="J2123" t="n">
        <v>0.0104893156439548</v>
      </c>
      <c r="K2123" t="n">
        <v>0.8717688782288113</v>
      </c>
      <c r="L2123" t="b">
        <v>0</v>
      </c>
      <c r="M2123" t="b">
        <v>0</v>
      </c>
      <c r="N2123" t="inlineStr">
        <is>
          <t>ref</t>
        </is>
      </c>
      <c r="O2123" t="n">
        <v>95</v>
      </c>
      <c r="P2123" t="n">
        <v>0.02655</v>
      </c>
      <c r="Q2123" t="n">
        <v>45</v>
      </c>
      <c r="R2123" t="n">
        <v>0.0316</v>
      </c>
      <c r="S2123">
        <f>IMAGE("https://mitra.stanford.edu/kundaje/oak/projects/neuro-variants/variant_position/credible/roussos_2024/variant_figures/roussos_2024.adolescence.GLU/rs59159185_count_position.png",4,220,900)</f>
        <v/>
      </c>
      <c r="T2123">
        <f>IMAGE("https://mitra.stanford.edu/kundaje/oak/projects/neuro-variants/variant_position/credible/roussos_2024/variant_figures/roussos_2024.adolescence.GLU/rs59159185_profile_position.png",4,220,900)</f>
        <v/>
      </c>
    </row>
    <row r="2124">
      <c r="A2124" t="inlineStr">
        <is>
          <t>chr2</t>
        </is>
      </c>
      <c r="B2124" t="n">
        <v>57883101</v>
      </c>
      <c r="C2124" t="inlineStr">
        <is>
          <t>G</t>
        </is>
      </c>
      <c r="D2124" t="inlineStr">
        <is>
          <t>A</t>
        </is>
      </c>
      <c r="E2124" t="inlineStr">
        <is>
          <t>rs17828225</t>
        </is>
      </c>
      <c r="F2124" t="n">
        <v>-0.0515653766</v>
      </c>
      <c r="G2124" t="n">
        <v>0.0605988189640954</v>
      </c>
      <c r="H2124" t="n">
        <v>0.0095977311384107</v>
      </c>
      <c r="I2124" t="n">
        <v>0.5581836775432975</v>
      </c>
      <c r="J2124" t="n">
        <v>0.1980153031699423</v>
      </c>
      <c r="K2124" t="n">
        <v>0.4017429525088414</v>
      </c>
      <c r="L2124" t="b">
        <v>0</v>
      </c>
      <c r="M2124" t="b">
        <v>0</v>
      </c>
      <c r="N2124" t="inlineStr">
        <is>
          <t>ref</t>
        </is>
      </c>
      <c r="O2124" t="n">
        <v>65</v>
      </c>
      <c r="P2124" t="n">
        <v>0.0162</v>
      </c>
      <c r="Q2124" t="n">
        <v>75</v>
      </c>
      <c r="R2124" t="n">
        <v>0.199</v>
      </c>
      <c r="S2124">
        <f>IMAGE("https://mitra.stanford.edu/kundaje/oak/projects/neuro-variants/variant_position/credible/roussos_2024/variant_figures/roussos_2024.adolescence.GLU/rs17828225_count_position.png",4,220,900)</f>
        <v/>
      </c>
      <c r="T2124">
        <f>IMAGE("https://mitra.stanford.edu/kundaje/oak/projects/neuro-variants/variant_position/credible/roussos_2024/variant_figures/roussos_2024.adolescence.GLU/rs17828225_profile_position.png",4,220,900)</f>
        <v/>
      </c>
    </row>
    <row r="2125">
      <c r="A2125" t="inlineStr">
        <is>
          <t>chr2</t>
        </is>
      </c>
      <c r="B2125" t="n">
        <v>57892439</v>
      </c>
      <c r="C2125" t="inlineStr">
        <is>
          <t>C</t>
        </is>
      </c>
      <c r="D2125" t="inlineStr">
        <is>
          <t>T</t>
        </is>
      </c>
      <c r="E2125" t="inlineStr">
        <is>
          <t>rs2678915</t>
        </is>
      </c>
      <c r="F2125" t="n">
        <v>0.0204609014</v>
      </c>
      <c r="G2125" t="n">
        <v>0.2927901618349091</v>
      </c>
      <c r="H2125" t="n">
        <v>0.0097968807876667</v>
      </c>
      <c r="I2125" t="n">
        <v>0.5454343203629738</v>
      </c>
      <c r="J2125" t="n">
        <v>0.0574204656678883</v>
      </c>
      <c r="K2125" t="n">
        <v>0.6734582204305845</v>
      </c>
      <c r="L2125" t="b">
        <v>0</v>
      </c>
      <c r="M2125" t="b">
        <v>0</v>
      </c>
      <c r="N2125" t="inlineStr">
        <is>
          <t>alt</t>
        </is>
      </c>
      <c r="O2125" t="n">
        <v>75</v>
      </c>
      <c r="P2125" t="n">
        <v>0.007523</v>
      </c>
      <c r="Q2125" t="n">
        <v>-90</v>
      </c>
      <c r="R2125" t="n">
        <v>0.0581</v>
      </c>
      <c r="S2125">
        <f>IMAGE("https://mitra.stanford.edu/kundaje/oak/projects/neuro-variants/variant_position/credible/roussos_2024/variant_figures/roussos_2024.adolescence.GLU/rs2678915_count_position.png",4,220,900)</f>
        <v/>
      </c>
      <c r="T2125">
        <f>IMAGE("https://mitra.stanford.edu/kundaje/oak/projects/neuro-variants/variant_position/credible/roussos_2024/variant_figures/roussos_2024.adolescence.GLU/rs2678915_profile_position.png",4,220,900)</f>
        <v/>
      </c>
    </row>
    <row r="2126">
      <c r="A2126" t="inlineStr">
        <is>
          <t>chr2</t>
        </is>
      </c>
      <c r="B2126" t="n">
        <v>57892828</v>
      </c>
      <c r="C2126" t="inlineStr">
        <is>
          <t>G</t>
        </is>
      </c>
      <c r="D2126" t="inlineStr">
        <is>
          <t>A</t>
        </is>
      </c>
      <c r="E2126" t="inlineStr">
        <is>
          <t>rs77843640</t>
        </is>
      </c>
      <c r="F2126" t="n">
        <v>0.0098011898</v>
      </c>
      <c r="G2126" t="n">
        <v>0.476367726185768</v>
      </c>
      <c r="H2126" t="n">
        <v>0.0099578784727287</v>
      </c>
      <c r="I2126" t="n">
        <v>0.5249256972418577</v>
      </c>
      <c r="J2126" t="n">
        <v>0.0687999657071821</v>
      </c>
      <c r="K2126" t="n">
        <v>0.6401887229568357</v>
      </c>
      <c r="L2126" t="b">
        <v>0</v>
      </c>
      <c r="M2126" t="b">
        <v>0</v>
      </c>
      <c r="N2126" t="inlineStr">
        <is>
          <t>alt</t>
        </is>
      </c>
      <c r="O2126" t="n">
        <v>55</v>
      </c>
      <c r="P2126" t="n">
        <v>0.003021</v>
      </c>
      <c r="Q2126" t="n">
        <v>20</v>
      </c>
      <c r="R2126" t="n">
        <v>0.01888</v>
      </c>
      <c r="S2126">
        <f>IMAGE("https://mitra.stanford.edu/kundaje/oak/projects/neuro-variants/variant_position/credible/roussos_2024/variant_figures/roussos_2024.adolescence.GLU/rs77843640_count_position.png",4,220,900)</f>
        <v/>
      </c>
      <c r="T2126">
        <f>IMAGE("https://mitra.stanford.edu/kundaje/oak/projects/neuro-variants/variant_position/credible/roussos_2024/variant_figures/roussos_2024.adolescence.GLU/rs77843640_profile_position.png",4,220,900)</f>
        <v/>
      </c>
    </row>
    <row r="2127">
      <c r="A2127" t="inlineStr">
        <is>
          <t>chr2</t>
        </is>
      </c>
      <c r="B2127" t="n">
        <v>57921981</v>
      </c>
      <c r="C2127" t="inlineStr">
        <is>
          <t>G</t>
        </is>
      </c>
      <c r="D2127" t="inlineStr">
        <is>
          <t>A</t>
        </is>
      </c>
      <c r="E2127" t="inlineStr">
        <is>
          <t>rs2717007</t>
        </is>
      </c>
      <c r="F2127" t="n">
        <v>-0.0365193002</v>
      </c>
      <c r="G2127" t="n">
        <v>0.1325253779702289</v>
      </c>
      <c r="H2127" t="n">
        <v>0.0101032714973356</v>
      </c>
      <c r="I2127" t="n">
        <v>0.5210382367842629</v>
      </c>
      <c r="J2127" t="n">
        <v>0.0941523601317415</v>
      </c>
      <c r="K2127" t="n">
        <v>0.581184494368657</v>
      </c>
      <c r="L2127" t="b">
        <v>0</v>
      </c>
      <c r="M2127" t="b">
        <v>0</v>
      </c>
      <c r="N2127" t="inlineStr">
        <is>
          <t>ref</t>
        </is>
      </c>
      <c r="O2127" t="n">
        <v>-100</v>
      </c>
      <c r="P2127" t="n">
        <v>0.008059999999999999</v>
      </c>
      <c r="Q2127" t="n">
        <v>-100</v>
      </c>
      <c r="R2127" t="n">
        <v>0.08154</v>
      </c>
      <c r="S2127">
        <f>IMAGE("https://mitra.stanford.edu/kundaje/oak/projects/neuro-variants/variant_position/credible/roussos_2024/variant_figures/roussos_2024.adolescence.GLU/rs2717007_count_position.png",4,220,900)</f>
        <v/>
      </c>
      <c r="T2127">
        <f>IMAGE("https://mitra.stanford.edu/kundaje/oak/projects/neuro-variants/variant_position/credible/roussos_2024/variant_figures/roussos_2024.adolescence.GLU/rs2717007_profile_position.png",4,220,900)</f>
        <v/>
      </c>
    </row>
    <row r="2128">
      <c r="A2128" t="inlineStr">
        <is>
          <t>chr2</t>
        </is>
      </c>
      <c r="B2128" t="n">
        <v>57932338</v>
      </c>
      <c r="C2128" t="inlineStr">
        <is>
          <t>T</t>
        </is>
      </c>
      <c r="D2128" t="inlineStr">
        <is>
          <t>G</t>
        </is>
      </c>
      <c r="E2128" t="inlineStr">
        <is>
          <t>rs2717019</t>
        </is>
      </c>
      <c r="F2128" t="n">
        <v>-0.0071047859899999</v>
      </c>
      <c r="G2128" t="n">
        <v>0.6254168454301028</v>
      </c>
      <c r="H2128" t="n">
        <v>0.0211732344763879</v>
      </c>
      <c r="I2128" t="n">
        <v>0.0424203791332611</v>
      </c>
      <c r="J2128" t="n">
        <v>0.0062498660436804</v>
      </c>
      <c r="K2128" t="n">
        <v>0.9049593169870116</v>
      </c>
      <c r="L2128" t="b">
        <v>0</v>
      </c>
      <c r="M2128" t="b">
        <v>0</v>
      </c>
      <c r="N2128" t="inlineStr">
        <is>
          <t>ref</t>
        </is>
      </c>
      <c r="O2128" t="n">
        <v>0</v>
      </c>
      <c r="P2128" t="n">
        <v>0</v>
      </c>
      <c r="Q2128" t="n">
        <v>-80</v>
      </c>
      <c r="R2128" t="n">
        <v>0.06274</v>
      </c>
      <c r="S2128">
        <f>IMAGE("https://mitra.stanford.edu/kundaje/oak/projects/neuro-variants/variant_position/credible/roussos_2024/variant_figures/roussos_2024.adolescence.GLU/rs2717019_count_position.png",4,220,900)</f>
        <v/>
      </c>
      <c r="T2128">
        <f>IMAGE("https://mitra.stanford.edu/kundaje/oak/projects/neuro-variants/variant_position/credible/roussos_2024/variant_figures/roussos_2024.adolescence.GLU/rs2717019_profile_position.png",4,220,900)</f>
        <v/>
      </c>
    </row>
    <row r="2129">
      <c r="A2129" t="inlineStr">
        <is>
          <t>chr2</t>
        </is>
      </c>
      <c r="B2129" t="n">
        <v>57935056</v>
      </c>
      <c r="C2129" t="inlineStr">
        <is>
          <t>A</t>
        </is>
      </c>
      <c r="D2129" t="inlineStr">
        <is>
          <t>G</t>
        </is>
      </c>
      <c r="E2129" t="inlineStr">
        <is>
          <t>rs2678888</t>
        </is>
      </c>
      <c r="F2129" t="n">
        <v>0.0232104146</v>
      </c>
      <c r="G2129" t="n">
        <v>0.2369279253481016</v>
      </c>
      <c r="H2129" t="n">
        <v>0.0106775685221539</v>
      </c>
      <c r="I2129" t="n">
        <v>0.4342928281031832</v>
      </c>
      <c r="J2129" t="n">
        <v>0.0469368654935664</v>
      </c>
      <c r="K2129" t="n">
        <v>0.7144712128639487</v>
      </c>
      <c r="L2129" t="b">
        <v>0</v>
      </c>
      <c r="M2129" t="b">
        <v>0</v>
      </c>
      <c r="N2129" t="inlineStr">
        <is>
          <t>alt</t>
        </is>
      </c>
      <c r="O2129" t="n">
        <v>100</v>
      </c>
      <c r="P2129" t="n">
        <v>0.02951</v>
      </c>
      <c r="Q2129" t="n">
        <v>100</v>
      </c>
      <c r="R2129" t="n">
        <v>0.1584</v>
      </c>
      <c r="S2129">
        <f>IMAGE("https://mitra.stanford.edu/kundaje/oak/projects/neuro-variants/variant_position/credible/roussos_2024/variant_figures/roussos_2024.adolescence.GLU/rs2678888_count_position.png",4,220,900)</f>
        <v/>
      </c>
      <c r="T2129">
        <f>IMAGE("https://mitra.stanford.edu/kundaje/oak/projects/neuro-variants/variant_position/credible/roussos_2024/variant_figures/roussos_2024.adolescence.GLU/rs2678888_profile_position.png",4,220,900)</f>
        <v/>
      </c>
    </row>
    <row r="2130">
      <c r="A2130" t="inlineStr">
        <is>
          <t>chr2</t>
        </is>
      </c>
      <c r="B2130" t="n">
        <v>57939046</v>
      </c>
      <c r="C2130" t="inlineStr">
        <is>
          <t>G</t>
        </is>
      </c>
      <c r="D2130" t="inlineStr">
        <is>
          <t>A</t>
        </is>
      </c>
      <c r="E2130" t="inlineStr">
        <is>
          <t>rs970941</t>
        </is>
      </c>
      <c r="F2130" t="n">
        <v>-0.00349342204</v>
      </c>
      <c r="G2130" t="n">
        <v>0.6712857373332368</v>
      </c>
      <c r="H2130" t="n">
        <v>0.009086170560660699</v>
      </c>
      <c r="I2130" t="n">
        <v>0.658991502714517</v>
      </c>
      <c r="J2130" t="n">
        <v>0.0123268391309627</v>
      </c>
      <c r="K2130" t="n">
        <v>0.8646028217818638</v>
      </c>
      <c r="L2130" t="b">
        <v>0</v>
      </c>
      <c r="M2130" t="b">
        <v>0</v>
      </c>
      <c r="N2130" t="inlineStr">
        <is>
          <t>ref</t>
        </is>
      </c>
      <c r="O2130" t="n">
        <v>-100</v>
      </c>
      <c r="P2130" t="n">
        <v>0.005882</v>
      </c>
      <c r="Q2130" t="n">
        <v>-50</v>
      </c>
      <c r="R2130" t="n">
        <v>0.03165</v>
      </c>
      <c r="S2130">
        <f>IMAGE("https://mitra.stanford.edu/kundaje/oak/projects/neuro-variants/variant_position/credible/roussos_2024/variant_figures/roussos_2024.adolescence.GLU/rs970941_count_position.png",4,220,900)</f>
        <v/>
      </c>
      <c r="T2130">
        <f>IMAGE("https://mitra.stanford.edu/kundaje/oak/projects/neuro-variants/variant_position/credible/roussos_2024/variant_figures/roussos_2024.adolescence.GLU/rs970941_profile_position.png",4,220,900)</f>
        <v/>
      </c>
    </row>
    <row r="2131">
      <c r="A2131" t="inlineStr">
        <is>
          <t>chr2</t>
        </is>
      </c>
      <c r="B2131" t="n">
        <v>57939508</v>
      </c>
      <c r="C2131" t="inlineStr">
        <is>
          <t>T</t>
        </is>
      </c>
      <c r="D2131" t="inlineStr">
        <is>
          <t>G</t>
        </is>
      </c>
      <c r="E2131" t="inlineStr">
        <is>
          <t>rs2678891</t>
        </is>
      </c>
      <c r="F2131" t="n">
        <v>0.0015960627299999</v>
      </c>
      <c r="G2131" t="n">
        <v>0.8817166931197108</v>
      </c>
      <c r="H2131" t="n">
        <v>0.0225531453611384</v>
      </c>
      <c r="I2131" t="n">
        <v>0.0329373032831843</v>
      </c>
      <c r="J2131" t="n">
        <v>0.0024219302569817</v>
      </c>
      <c r="K2131" t="n">
        <v>0.9490852790763316</v>
      </c>
      <c r="L2131" t="b">
        <v>0</v>
      </c>
      <c r="M2131" t="b">
        <v>0</v>
      </c>
      <c r="N2131" t="inlineStr">
        <is>
          <t>alt</t>
        </is>
      </c>
      <c r="O2131" t="n">
        <v>-100</v>
      </c>
      <c r="P2131" t="n">
        <v>0.00869</v>
      </c>
      <c r="Q2131" t="n">
        <v>-45</v>
      </c>
      <c r="R2131" t="n">
        <v>0.0381</v>
      </c>
      <c r="S2131">
        <f>IMAGE("https://mitra.stanford.edu/kundaje/oak/projects/neuro-variants/variant_position/credible/roussos_2024/variant_figures/roussos_2024.adolescence.GLU/rs2678891_count_position.png",4,220,900)</f>
        <v/>
      </c>
      <c r="T2131">
        <f>IMAGE("https://mitra.stanford.edu/kundaje/oak/projects/neuro-variants/variant_position/credible/roussos_2024/variant_figures/roussos_2024.adolescence.GLU/rs2678891_profile_position.png",4,220,900)</f>
        <v/>
      </c>
    </row>
    <row r="2132">
      <c r="A2132" t="inlineStr">
        <is>
          <t>chr2</t>
        </is>
      </c>
      <c r="B2132" t="n">
        <v>57943026</v>
      </c>
      <c r="C2132" t="inlineStr">
        <is>
          <t>C</t>
        </is>
      </c>
      <c r="D2132" t="inlineStr">
        <is>
          <t>A</t>
        </is>
      </c>
      <c r="E2132" t="inlineStr">
        <is>
          <t>rs1568254</t>
        </is>
      </c>
      <c r="F2132" t="n">
        <v>-0.0107379839999999</v>
      </c>
      <c r="G2132" t="n">
        <v>0.512482249509383</v>
      </c>
      <c r="H2132" t="n">
        <v>0.0181824333299762</v>
      </c>
      <c r="I2132" t="n">
        <v>0.0815597906561005</v>
      </c>
      <c r="J2132" t="n">
        <v>0.0157775539218837</v>
      </c>
      <c r="K2132" t="n">
        <v>0.8478119723015554</v>
      </c>
      <c r="L2132" t="b">
        <v>0</v>
      </c>
      <c r="M2132" t="b">
        <v>0</v>
      </c>
      <c r="N2132" t="inlineStr">
        <is>
          <t>ref</t>
        </is>
      </c>
      <c r="O2132" t="n">
        <v>-100</v>
      </c>
      <c r="P2132" t="n">
        <v>0.008095</v>
      </c>
      <c r="Q2132" t="n">
        <v>-100</v>
      </c>
      <c r="R2132" t="n">
        <v>0.02754</v>
      </c>
      <c r="S2132">
        <f>IMAGE("https://mitra.stanford.edu/kundaje/oak/projects/neuro-variants/variant_position/credible/roussos_2024/variant_figures/roussos_2024.adolescence.GLU/rs1568254_count_position.png",4,220,900)</f>
        <v/>
      </c>
      <c r="T2132">
        <f>IMAGE("https://mitra.stanford.edu/kundaje/oak/projects/neuro-variants/variant_position/credible/roussos_2024/variant_figures/roussos_2024.adolescence.GLU/rs1568254_profile_position.png",4,220,900)</f>
        <v/>
      </c>
    </row>
    <row r="2133">
      <c r="A2133" t="inlineStr">
        <is>
          <t>chr2</t>
        </is>
      </c>
      <c r="B2133" t="n">
        <v>57944085</v>
      </c>
      <c r="C2133" t="inlineStr">
        <is>
          <t>A</t>
        </is>
      </c>
      <c r="D2133" t="inlineStr">
        <is>
          <t>C</t>
        </is>
      </c>
      <c r="E2133" t="inlineStr">
        <is>
          <t>rs1518393</t>
        </is>
      </c>
      <c r="F2133" t="n">
        <v>-0.008651539894000001</v>
      </c>
      <c r="G2133" t="n">
        <v>0.6020054211743985</v>
      </c>
      <c r="H2133" t="n">
        <v>0.0281064746260346</v>
      </c>
      <c r="I2133" t="n">
        <v>0.0128499995331265</v>
      </c>
      <c r="J2133" t="n">
        <v>0.104731694422416</v>
      </c>
      <c r="K2133" t="n">
        <v>0.5666873029569747</v>
      </c>
      <c r="L2133" t="b">
        <v>1</v>
      </c>
      <c r="M2133" t="b">
        <v>0</v>
      </c>
      <c r="N2133" t="inlineStr">
        <is>
          <t>ref</t>
        </is>
      </c>
      <c r="O2133" t="n">
        <v>25</v>
      </c>
      <c r="P2133" t="n">
        <v>0.002316</v>
      </c>
      <c r="Q2133" t="n">
        <v>-100</v>
      </c>
      <c r="R2133" t="n">
        <v>0.0336</v>
      </c>
      <c r="S2133">
        <f>IMAGE("https://mitra.stanford.edu/kundaje/oak/projects/neuro-variants/variant_position/credible/roussos_2024/variant_figures/roussos_2024.adolescence.GLU/rs1518393_count_position.png",4,220,900)</f>
        <v/>
      </c>
      <c r="T2133">
        <f>IMAGE("https://mitra.stanford.edu/kundaje/oak/projects/neuro-variants/variant_position/credible/roussos_2024/variant_figures/roussos_2024.adolescence.GLU/rs1518393_profile_position.png",4,220,900)</f>
        <v/>
      </c>
    </row>
    <row r="2134">
      <c r="A2134" t="inlineStr">
        <is>
          <t>chr2</t>
        </is>
      </c>
      <c r="B2134" t="n">
        <v>57946820</v>
      </c>
      <c r="C2134" t="inlineStr">
        <is>
          <t>G</t>
        </is>
      </c>
      <c r="D2134" t="inlineStr">
        <is>
          <t>C</t>
        </is>
      </c>
      <c r="E2134" t="inlineStr">
        <is>
          <t>rs59913344</t>
        </is>
      </c>
      <c r="F2134" t="n">
        <v>-0.0062629404999999</v>
      </c>
      <c r="G2134" t="n">
        <v>0.6777938660756802</v>
      </c>
      <c r="H2134" t="n">
        <v>0.009919942026724299</v>
      </c>
      <c r="I2134" t="n">
        <v>0.494709545702952</v>
      </c>
      <c r="J2134" t="n">
        <v>0.0091133163298111</v>
      </c>
      <c r="K2134" t="n">
        <v>0.8908617082371041</v>
      </c>
      <c r="L2134" t="b">
        <v>0</v>
      </c>
      <c r="M2134" t="b">
        <v>0</v>
      </c>
      <c r="N2134" t="inlineStr">
        <is>
          <t>ref</t>
        </is>
      </c>
      <c r="O2134" t="n">
        <v>100</v>
      </c>
      <c r="P2134" t="n">
        <v>0.02771</v>
      </c>
      <c r="Q2134" t="n">
        <v>65</v>
      </c>
      <c r="R2134" t="n">
        <v>0.052</v>
      </c>
      <c r="S2134">
        <f>IMAGE("https://mitra.stanford.edu/kundaje/oak/projects/neuro-variants/variant_position/credible/roussos_2024/variant_figures/roussos_2024.adolescence.GLU/rs59913344_count_position.png",4,220,900)</f>
        <v/>
      </c>
      <c r="T2134">
        <f>IMAGE("https://mitra.stanford.edu/kundaje/oak/projects/neuro-variants/variant_position/credible/roussos_2024/variant_figures/roussos_2024.adolescence.GLU/rs59913344_profile_position.png",4,220,900)</f>
        <v/>
      </c>
    </row>
    <row r="2135">
      <c r="A2135" t="inlineStr">
        <is>
          <t>chr2</t>
        </is>
      </c>
      <c r="B2135" t="n">
        <v>57983104</v>
      </c>
      <c r="C2135" t="inlineStr">
        <is>
          <t>T</t>
        </is>
      </c>
      <c r="D2135" t="inlineStr">
        <is>
          <t>C</t>
        </is>
      </c>
      <c r="E2135" t="inlineStr">
        <is>
          <t>rs6732310</t>
        </is>
      </c>
      <c r="F2135" t="n">
        <v>0.00258514716</v>
      </c>
      <c r="G2135" t="n">
        <v>0.764943135093301</v>
      </c>
      <c r="H2135" t="n">
        <v>0.0104547227859789</v>
      </c>
      <c r="I2135" t="n">
        <v>0.4641961073383587</v>
      </c>
      <c r="J2135" t="n">
        <v>0.1736945510141386</v>
      </c>
      <c r="K2135" t="n">
        <v>0.4456186555183106</v>
      </c>
      <c r="L2135" t="b">
        <v>0</v>
      </c>
      <c r="M2135" t="b">
        <v>0</v>
      </c>
      <c r="N2135" t="inlineStr">
        <is>
          <t>alt</t>
        </is>
      </c>
      <c r="O2135" t="n">
        <v>100</v>
      </c>
      <c r="P2135" t="n">
        <v>0.004112</v>
      </c>
      <c r="Q2135" t="n">
        <v>-100</v>
      </c>
      <c r="R2135" t="n">
        <v>0.03091</v>
      </c>
      <c r="S2135">
        <f>IMAGE("https://mitra.stanford.edu/kundaje/oak/projects/neuro-variants/variant_position/credible/roussos_2024/variant_figures/roussos_2024.adolescence.GLU/rs6732310_count_position.png",4,220,900)</f>
        <v/>
      </c>
      <c r="T2135">
        <f>IMAGE("https://mitra.stanford.edu/kundaje/oak/projects/neuro-variants/variant_position/credible/roussos_2024/variant_figures/roussos_2024.adolescence.GLU/rs6732310_profile_position.png",4,220,900)</f>
        <v/>
      </c>
    </row>
    <row r="2136">
      <c r="A2136" t="inlineStr">
        <is>
          <t>chr2</t>
        </is>
      </c>
      <c r="B2136" t="n">
        <v>58011459</v>
      </c>
      <c r="C2136" t="inlineStr">
        <is>
          <t>T</t>
        </is>
      </c>
      <c r="D2136" t="inlineStr">
        <is>
          <t>C</t>
        </is>
      </c>
      <c r="E2136" t="inlineStr">
        <is>
          <t>rs17049298</t>
        </is>
      </c>
      <c r="F2136" t="n">
        <v>-0.01614557348</v>
      </c>
      <c r="G2136" t="n">
        <v>0.427761998706399</v>
      </c>
      <c r="H2136" t="n">
        <v>0.0130698903029004</v>
      </c>
      <c r="I2136" t="n">
        <v>0.2881587277878292</v>
      </c>
      <c r="J2136" t="n">
        <v>0.0348957998442534</v>
      </c>
      <c r="K2136" t="n">
        <v>0.7496994449518596</v>
      </c>
      <c r="L2136" t="b">
        <v>0</v>
      </c>
      <c r="M2136" t="b">
        <v>0</v>
      </c>
      <c r="N2136" t="inlineStr">
        <is>
          <t>ref</t>
        </is>
      </c>
      <c r="O2136" t="n">
        <v>90</v>
      </c>
      <c r="P2136" t="n">
        <v>0.004677</v>
      </c>
      <c r="Q2136" t="n">
        <v>-100</v>
      </c>
      <c r="R2136" t="n">
        <v>0.05292</v>
      </c>
      <c r="S2136">
        <f>IMAGE("https://mitra.stanford.edu/kundaje/oak/projects/neuro-variants/variant_position/credible/roussos_2024/variant_figures/roussos_2024.adolescence.GLU/rs17049298_count_position.png",4,220,900)</f>
        <v/>
      </c>
      <c r="T2136">
        <f>IMAGE("https://mitra.stanford.edu/kundaje/oak/projects/neuro-variants/variant_position/credible/roussos_2024/variant_figures/roussos_2024.adolescence.GLU/rs17049298_profile_position.png",4,220,900)</f>
        <v/>
      </c>
    </row>
    <row r="2137">
      <c r="A2137" t="inlineStr">
        <is>
          <t>chr2</t>
        </is>
      </c>
      <c r="B2137" t="n">
        <v>58053663</v>
      </c>
      <c r="C2137" t="inlineStr">
        <is>
          <t>A</t>
        </is>
      </c>
      <c r="D2137" t="inlineStr">
        <is>
          <t>C</t>
        </is>
      </c>
      <c r="E2137" t="inlineStr">
        <is>
          <t>rs3771204</t>
        </is>
      </c>
      <c r="F2137" t="n">
        <v>0.0399297762</v>
      </c>
      <c r="G2137" t="n">
        <v>0.1022371989344949</v>
      </c>
      <c r="H2137" t="n">
        <v>0.012140800497504</v>
      </c>
      <c r="I2137" t="n">
        <v>0.3227013485717979</v>
      </c>
      <c r="J2137" t="n">
        <v>0.0129784026691242</v>
      </c>
      <c r="K2137" t="n">
        <v>0.8644238029018801</v>
      </c>
      <c r="L2137" t="b">
        <v>0</v>
      </c>
      <c r="M2137" t="b">
        <v>0</v>
      </c>
      <c r="N2137" t="inlineStr">
        <is>
          <t>alt</t>
        </is>
      </c>
      <c r="O2137" t="n">
        <v>-100</v>
      </c>
      <c r="P2137" t="n">
        <v>0.005997</v>
      </c>
      <c r="Q2137" t="n">
        <v>85</v>
      </c>
      <c r="R2137" t="n">
        <v>0.09155000000000001</v>
      </c>
      <c r="S2137">
        <f>IMAGE("https://mitra.stanford.edu/kundaje/oak/projects/neuro-variants/variant_position/credible/roussos_2024/variant_figures/roussos_2024.adolescence.GLU/rs3771204_count_position.png",4,220,900)</f>
        <v/>
      </c>
      <c r="T2137">
        <f>IMAGE("https://mitra.stanford.edu/kundaje/oak/projects/neuro-variants/variant_position/credible/roussos_2024/variant_figures/roussos_2024.adolescence.GLU/rs3771204_profile_position.png",4,220,900)</f>
        <v/>
      </c>
    </row>
    <row r="2138">
      <c r="A2138" t="inlineStr">
        <is>
          <t>chr2</t>
        </is>
      </c>
      <c r="B2138" t="n">
        <v>58084549</v>
      </c>
      <c r="C2138" t="inlineStr">
        <is>
          <t>T</t>
        </is>
      </c>
      <c r="D2138" t="inlineStr">
        <is>
          <t>C</t>
        </is>
      </c>
      <c r="E2138" t="inlineStr">
        <is>
          <t>rs12620940</t>
        </is>
      </c>
      <c r="F2138" t="n">
        <v>0.080760186</v>
      </c>
      <c r="G2138" t="n">
        <v>0.0198417068443431</v>
      </c>
      <c r="H2138" t="n">
        <v>0.0219686423090147</v>
      </c>
      <c r="I2138" t="n">
        <v>0.0466180503033333</v>
      </c>
      <c r="J2138" t="n">
        <v>0.0160061727072035</v>
      </c>
      <c r="K2138" t="n">
        <v>0.8385010429618711</v>
      </c>
      <c r="L2138" t="b">
        <v>0</v>
      </c>
      <c r="M2138" t="b">
        <v>0</v>
      </c>
      <c r="N2138" t="inlineStr">
        <is>
          <t>alt</t>
        </is>
      </c>
      <c r="O2138" t="n">
        <v>-10</v>
      </c>
      <c r="P2138" t="n">
        <v>0.00341</v>
      </c>
      <c r="Q2138" t="n">
        <v>95</v>
      </c>
      <c r="R2138" t="n">
        <v>0.03442</v>
      </c>
      <c r="S2138">
        <f>IMAGE("https://mitra.stanford.edu/kundaje/oak/projects/neuro-variants/variant_position/credible/roussos_2024/variant_figures/roussos_2024.adolescence.GLU/rs12620940_count_position.png",4,220,900)</f>
        <v/>
      </c>
      <c r="T2138">
        <f>IMAGE("https://mitra.stanford.edu/kundaje/oak/projects/neuro-variants/variant_position/credible/roussos_2024/variant_figures/roussos_2024.adolescence.GLU/rs12620940_profile_position.png",4,220,900)</f>
        <v/>
      </c>
    </row>
    <row r="2139">
      <c r="A2139" t="inlineStr">
        <is>
          <t>chr2</t>
        </is>
      </c>
      <c r="B2139" t="n">
        <v>58095091</v>
      </c>
      <c r="C2139" t="inlineStr">
        <is>
          <t>A</t>
        </is>
      </c>
      <c r="D2139" t="inlineStr">
        <is>
          <t>C</t>
        </is>
      </c>
      <c r="E2139" t="inlineStr">
        <is>
          <t>rs2118899</t>
        </is>
      </c>
      <c r="F2139" t="n">
        <v>0.00624101786</v>
      </c>
      <c r="G2139" t="n">
        <v>0.6416831138004251</v>
      </c>
      <c r="H2139" t="n">
        <v>0.0221460187621259</v>
      </c>
      <c r="I2139" t="n">
        <v>0.0332853924680233</v>
      </c>
      <c r="J2139" t="n">
        <v>0.0190010787948931</v>
      </c>
      <c r="K2139" t="n">
        <v>0.8251467364056462</v>
      </c>
      <c r="L2139" t="b">
        <v>0</v>
      </c>
      <c r="M2139" t="b">
        <v>0</v>
      </c>
      <c r="N2139" t="inlineStr">
        <is>
          <t>alt</t>
        </is>
      </c>
      <c r="O2139" t="n">
        <v>100</v>
      </c>
      <c r="P2139" t="n">
        <v>0.0912</v>
      </c>
      <c r="Q2139" t="n">
        <v>65</v>
      </c>
      <c r="R2139" t="n">
        <v>0.1198</v>
      </c>
      <c r="S2139">
        <f>IMAGE("https://mitra.stanford.edu/kundaje/oak/projects/neuro-variants/variant_position/credible/roussos_2024/variant_figures/roussos_2024.adolescence.GLU/rs2118899_count_position.png",4,220,900)</f>
        <v/>
      </c>
      <c r="T2139">
        <f>IMAGE("https://mitra.stanford.edu/kundaje/oak/projects/neuro-variants/variant_position/credible/roussos_2024/variant_figures/roussos_2024.adolescence.GLU/rs2118899_profile_position.png",4,220,900)</f>
        <v/>
      </c>
    </row>
    <row r="2140">
      <c r="A2140" t="inlineStr">
        <is>
          <t>chr2</t>
        </is>
      </c>
      <c r="B2140" t="n">
        <v>58136314</v>
      </c>
      <c r="C2140" t="inlineStr">
        <is>
          <t>A</t>
        </is>
      </c>
      <c r="D2140" t="inlineStr">
        <is>
          <t>C</t>
        </is>
      </c>
      <c r="E2140" t="inlineStr">
        <is>
          <t>rs17049366</t>
        </is>
      </c>
      <c r="F2140" t="n">
        <v>-0.007481387848</v>
      </c>
      <c r="G2140" t="n">
        <v>0.6109566194955653</v>
      </c>
      <c r="H2140" t="n">
        <v>0.0305346858288784</v>
      </c>
      <c r="I2140" t="n">
        <v>0.0075872598610843</v>
      </c>
      <c r="J2140" t="n">
        <v>0.0215630380578833</v>
      </c>
      <c r="K2140" t="n">
        <v>0.8216350575110826</v>
      </c>
      <c r="L2140" t="b">
        <v>1</v>
      </c>
      <c r="M2140" t="b">
        <v>0</v>
      </c>
      <c r="N2140" t="inlineStr">
        <is>
          <t>ref</t>
        </is>
      </c>
      <c r="O2140" t="n">
        <v>-45</v>
      </c>
      <c r="P2140" t="n">
        <v>0.01729</v>
      </c>
      <c r="Q2140" t="n">
        <v>-75</v>
      </c>
      <c r="R2140" t="n">
        <v>0.03903</v>
      </c>
      <c r="S2140">
        <f>IMAGE("https://mitra.stanford.edu/kundaje/oak/projects/neuro-variants/variant_position/credible/roussos_2024/variant_figures/roussos_2024.adolescence.GLU/rs17049366_count_position.png",4,220,900)</f>
        <v/>
      </c>
      <c r="T2140">
        <f>IMAGE("https://mitra.stanford.edu/kundaje/oak/projects/neuro-variants/variant_position/credible/roussos_2024/variant_figures/roussos_2024.adolescence.GLU/rs17049366_profile_position.png",4,220,900)</f>
        <v/>
      </c>
    </row>
    <row r="2141">
      <c r="A2141" t="inlineStr">
        <is>
          <t>chr2</t>
        </is>
      </c>
      <c r="B2141" t="n">
        <v>58155355</v>
      </c>
      <c r="C2141" t="inlineStr">
        <is>
          <t>G</t>
        </is>
      </c>
      <c r="D2141" t="inlineStr">
        <is>
          <t>A</t>
        </is>
      </c>
      <c r="E2141" t="inlineStr">
        <is>
          <t>rs848293</t>
        </is>
      </c>
      <c r="F2141" t="n">
        <v>-0.0059897486</v>
      </c>
      <c r="G2141" t="n">
        <v>0.70274945145764</v>
      </c>
      <c r="H2141" t="n">
        <v>0.0110441658125557</v>
      </c>
      <c r="I2141" t="n">
        <v>0.4042760782740521</v>
      </c>
      <c r="J2141" t="n">
        <v>0.1731158597137977</v>
      </c>
      <c r="K2141" t="n">
        <v>0.4455693519541227</v>
      </c>
      <c r="L2141" t="b">
        <v>0</v>
      </c>
      <c r="M2141" t="b">
        <v>0</v>
      </c>
      <c r="N2141" t="inlineStr">
        <is>
          <t>ref</t>
        </is>
      </c>
      <c r="O2141" t="n">
        <v>-60</v>
      </c>
      <c r="P2141" t="n">
        <v>0.00585</v>
      </c>
      <c r="Q2141" t="n">
        <v>-10</v>
      </c>
      <c r="R2141" t="n">
        <v>0.00354</v>
      </c>
      <c r="S2141">
        <f>IMAGE("https://mitra.stanford.edu/kundaje/oak/projects/neuro-variants/variant_position/credible/roussos_2024/variant_figures/roussos_2024.adolescence.GLU/rs848293_count_position.png",4,220,900)</f>
        <v/>
      </c>
      <c r="T2141">
        <f>IMAGE("https://mitra.stanford.edu/kundaje/oak/projects/neuro-variants/variant_position/credible/roussos_2024/variant_figures/roussos_2024.adolescence.GLU/rs848293_profile_position.png",4,220,900)</f>
        <v/>
      </c>
    </row>
    <row r="2142">
      <c r="A2142" t="inlineStr">
        <is>
          <t>chr2</t>
        </is>
      </c>
      <c r="B2142" t="n">
        <v>58211263</v>
      </c>
      <c r="C2142" t="inlineStr">
        <is>
          <t>T</t>
        </is>
      </c>
      <c r="D2142" t="inlineStr">
        <is>
          <t>C</t>
        </is>
      </c>
      <c r="E2142" t="inlineStr">
        <is>
          <t>rs113506287</t>
        </is>
      </c>
      <c r="F2142" t="n">
        <v>0.054780642</v>
      </c>
      <c r="G2142" t="n">
        <v>0.0486572464693622</v>
      </c>
      <c r="H2142" t="n">
        <v>0.009885160731937201</v>
      </c>
      <c r="I2142" t="n">
        <v>0.5362214409212556</v>
      </c>
      <c r="J2142" t="n">
        <v>0.3789299211979623</v>
      </c>
      <c r="K2142" t="n">
        <v>0.1873640203776662</v>
      </c>
      <c r="L2142" t="b">
        <v>0</v>
      </c>
      <c r="M2142" t="b">
        <v>0</v>
      </c>
      <c r="N2142" t="inlineStr">
        <is>
          <t>alt</t>
        </is>
      </c>
      <c r="O2142" t="n">
        <v>0</v>
      </c>
      <c r="P2142" t="n">
        <v>0</v>
      </c>
      <c r="Q2142" t="n">
        <v>-85</v>
      </c>
      <c r="R2142" t="n">
        <v>0.1302</v>
      </c>
      <c r="S2142">
        <f>IMAGE("https://mitra.stanford.edu/kundaje/oak/projects/neuro-variants/variant_position/credible/roussos_2024/variant_figures/roussos_2024.adolescence.GLU/rs113506287_count_position.png",4,220,900)</f>
        <v/>
      </c>
      <c r="T2142">
        <f>IMAGE("https://mitra.stanford.edu/kundaje/oak/projects/neuro-variants/variant_position/credible/roussos_2024/variant_figures/roussos_2024.adolescence.GLU/rs113506287_profile_position.png",4,220,900)</f>
        <v/>
      </c>
    </row>
    <row r="2143">
      <c r="A2143" t="inlineStr">
        <is>
          <t>chr2</t>
        </is>
      </c>
      <c r="B2143" t="n">
        <v>58225396</v>
      </c>
      <c r="C2143" t="inlineStr">
        <is>
          <t>G</t>
        </is>
      </c>
      <c r="D2143" t="inlineStr">
        <is>
          <t>A</t>
        </is>
      </c>
      <c r="E2143" t="inlineStr">
        <is>
          <t>rs79064653</t>
        </is>
      </c>
      <c r="F2143" t="n">
        <v>0.00238385454</v>
      </c>
      <c r="G2143" t="n">
        <v>0.8105372065766447</v>
      </c>
      <c r="H2143" t="n">
        <v>0.0245335535249389</v>
      </c>
      <c r="I2143" t="n">
        <v>0.023682308503169</v>
      </c>
      <c r="J2143" t="n">
        <v>0.0023047631295053</v>
      </c>
      <c r="K2143" t="n">
        <v>0.9529340315955782</v>
      </c>
      <c r="L2143" t="b">
        <v>0</v>
      </c>
      <c r="M2143" t="b">
        <v>0</v>
      </c>
      <c r="N2143" t="inlineStr">
        <is>
          <t>alt</t>
        </is>
      </c>
      <c r="O2143" t="n">
        <v>-100</v>
      </c>
      <c r="P2143" t="n">
        <v>0.039</v>
      </c>
      <c r="Q2143" t="n">
        <v>-40</v>
      </c>
      <c r="R2143" t="n">
        <v>0.02179</v>
      </c>
      <c r="S2143">
        <f>IMAGE("https://mitra.stanford.edu/kundaje/oak/projects/neuro-variants/variant_position/credible/roussos_2024/variant_figures/roussos_2024.adolescence.GLU/rs79064653_count_position.png",4,220,900)</f>
        <v/>
      </c>
      <c r="T2143">
        <f>IMAGE("https://mitra.stanford.edu/kundaje/oak/projects/neuro-variants/variant_position/credible/roussos_2024/variant_figures/roussos_2024.adolescence.GLU/rs79064653_profile_position.png",4,220,900)</f>
        <v/>
      </c>
    </row>
    <row r="2144">
      <c r="A2144" t="inlineStr">
        <is>
          <t>chr2</t>
        </is>
      </c>
      <c r="B2144" t="n">
        <v>58226795</v>
      </c>
      <c r="C2144" t="inlineStr">
        <is>
          <t>A</t>
        </is>
      </c>
      <c r="D2144" t="inlineStr">
        <is>
          <t>G</t>
        </is>
      </c>
      <c r="E2144" t="inlineStr">
        <is>
          <t>rs79588315</t>
        </is>
      </c>
      <c r="F2144" t="n">
        <v>-0.00324843048</v>
      </c>
      <c r="G2144" t="n">
        <v>0.7733084488755553</v>
      </c>
      <c r="H2144" t="n">
        <v>0.0248842771516166</v>
      </c>
      <c r="I2144" t="n">
        <v>0.0212480055704886</v>
      </c>
      <c r="J2144" t="n">
        <v>0.0681183959534474</v>
      </c>
      <c r="K2144" t="n">
        <v>0.6449145811273188</v>
      </c>
      <c r="L2144" t="b">
        <v>0</v>
      </c>
      <c r="M2144" t="b">
        <v>0</v>
      </c>
      <c r="N2144" t="inlineStr">
        <is>
          <t>ref</t>
        </is>
      </c>
      <c r="O2144" t="n">
        <v>-40</v>
      </c>
      <c r="P2144" t="n">
        <v>0.005554</v>
      </c>
      <c r="Q2144" t="n">
        <v>-90</v>
      </c>
      <c r="R2144" t="n">
        <v>0.01733</v>
      </c>
      <c r="S2144">
        <f>IMAGE("https://mitra.stanford.edu/kundaje/oak/projects/neuro-variants/variant_position/credible/roussos_2024/variant_figures/roussos_2024.adolescence.GLU/rs79588315_count_position.png",4,220,900)</f>
        <v/>
      </c>
      <c r="T2144">
        <f>IMAGE("https://mitra.stanford.edu/kundaje/oak/projects/neuro-variants/variant_position/credible/roussos_2024/variant_figures/roussos_2024.adolescence.GLU/rs79588315_profile_position.png",4,220,900)</f>
        <v/>
      </c>
    </row>
    <row r="2145">
      <c r="A2145" t="inlineStr">
        <is>
          <t>chr2</t>
        </is>
      </c>
      <c r="B2145" t="n">
        <v>58235134</v>
      </c>
      <c r="C2145" t="inlineStr">
        <is>
          <t>G</t>
        </is>
      </c>
      <c r="D2145" t="inlineStr">
        <is>
          <t>A</t>
        </is>
      </c>
      <c r="E2145" t="inlineStr">
        <is>
          <t>rs80099621</t>
        </is>
      </c>
      <c r="F2145" t="n">
        <v>-0.0462657082</v>
      </c>
      <c r="G2145" t="n">
        <v>0.0833552177465124</v>
      </c>
      <c r="H2145" t="n">
        <v>0.01233741021082</v>
      </c>
      <c r="I2145" t="n">
        <v>0.3021320895525548</v>
      </c>
      <c r="J2145" t="n">
        <v>0.0587736031034999</v>
      </c>
      <c r="K2145" t="n">
        <v>0.6734386871253232</v>
      </c>
      <c r="L2145" t="b">
        <v>0</v>
      </c>
      <c r="M2145" t="b">
        <v>0</v>
      </c>
      <c r="N2145" t="inlineStr">
        <is>
          <t>ref</t>
        </is>
      </c>
      <c r="O2145" t="n">
        <v>100</v>
      </c>
      <c r="P2145" t="n">
        <v>0.002113</v>
      </c>
      <c r="Q2145" t="n">
        <v>90</v>
      </c>
      <c r="R2145" t="n">
        <v>0.01123</v>
      </c>
      <c r="S2145">
        <f>IMAGE("https://mitra.stanford.edu/kundaje/oak/projects/neuro-variants/variant_position/credible/roussos_2024/variant_figures/roussos_2024.adolescence.GLU/rs80099621_count_position.png",4,220,900)</f>
        <v/>
      </c>
      <c r="T2145">
        <f>IMAGE("https://mitra.stanford.edu/kundaje/oak/projects/neuro-variants/variant_position/credible/roussos_2024/variant_figures/roussos_2024.adolescence.GLU/rs80099621_profile_position.png",4,220,900)</f>
        <v/>
      </c>
    </row>
    <row r="2146">
      <c r="A2146" t="inlineStr">
        <is>
          <t>chr2</t>
        </is>
      </c>
      <c r="B2146" t="n">
        <v>58275544</v>
      </c>
      <c r="C2146" t="inlineStr">
        <is>
          <t>T</t>
        </is>
      </c>
      <c r="D2146" t="inlineStr">
        <is>
          <t>C</t>
        </is>
      </c>
      <c r="E2146" t="inlineStr">
        <is>
          <t>rs112144830</t>
        </is>
      </c>
      <c r="F2146" t="n">
        <v>0.027062707</v>
      </c>
      <c r="G2146" t="n">
        <v>0.1972746325733558</v>
      </c>
      <c r="H2146" t="n">
        <v>0.015699749772617</v>
      </c>
      <c r="I2146" t="n">
        <v>0.1428238186207699</v>
      </c>
      <c r="J2146" t="n">
        <v>0.49530402726279</v>
      </c>
      <c r="K2146" t="n">
        <v>0.0922099890203979</v>
      </c>
      <c r="L2146" t="b">
        <v>0</v>
      </c>
      <c r="M2146" t="b">
        <v>0</v>
      </c>
      <c r="N2146" t="inlineStr">
        <is>
          <t>alt</t>
        </is>
      </c>
      <c r="O2146" t="n">
        <v>75</v>
      </c>
      <c r="P2146" t="n">
        <v>0.003693</v>
      </c>
      <c r="Q2146" t="n">
        <v>75</v>
      </c>
      <c r="R2146" t="n">
        <v>0.03906</v>
      </c>
      <c r="S2146">
        <f>IMAGE("https://mitra.stanford.edu/kundaje/oak/projects/neuro-variants/variant_position/credible/roussos_2024/variant_figures/roussos_2024.adolescence.GLU/rs112144830_count_position.png",4,220,900)</f>
        <v/>
      </c>
      <c r="T2146">
        <f>IMAGE("https://mitra.stanford.edu/kundaje/oak/projects/neuro-variants/variant_position/credible/roussos_2024/variant_figures/roussos_2024.adolescence.GLU/rs112144830_profile_position.png",4,220,900)</f>
        <v/>
      </c>
    </row>
    <row r="2147">
      <c r="A2147" t="inlineStr">
        <is>
          <t>chr2</t>
        </is>
      </c>
      <c r="B2147" t="n">
        <v>58316524</v>
      </c>
      <c r="C2147" t="inlineStr">
        <is>
          <t>G</t>
        </is>
      </c>
      <c r="D2147" t="inlineStr">
        <is>
          <t>A</t>
        </is>
      </c>
      <c r="E2147" t="inlineStr">
        <is>
          <t>rs184071680</t>
        </is>
      </c>
      <c r="F2147" t="n">
        <v>-0.0793097928</v>
      </c>
      <c r="G2147" t="n">
        <v>0.0161868821436092</v>
      </c>
      <c r="H2147" t="n">
        <v>0.0116781893910374</v>
      </c>
      <c r="I2147" t="n">
        <v>0.3644750195830156</v>
      </c>
      <c r="J2147" t="n">
        <v>0.4119253273892448</v>
      </c>
      <c r="K2147" t="n">
        <v>0.1525306882609291</v>
      </c>
      <c r="L2147" t="b">
        <v>1</v>
      </c>
      <c r="M2147" t="b">
        <v>0</v>
      </c>
      <c r="N2147" t="inlineStr">
        <is>
          <t>ref</t>
        </is>
      </c>
      <c r="O2147" t="n">
        <v>25</v>
      </c>
      <c r="P2147" t="n">
        <v>0.002043</v>
      </c>
      <c r="Q2147" t="n">
        <v>-25</v>
      </c>
      <c r="R2147" t="n">
        <v>0.01424</v>
      </c>
      <c r="S2147">
        <f>IMAGE("https://mitra.stanford.edu/kundaje/oak/projects/neuro-variants/variant_position/credible/roussos_2024/variant_figures/roussos_2024.adolescence.GLU/rs184071680_count_position.png",4,220,900)</f>
        <v/>
      </c>
      <c r="T2147">
        <f>IMAGE("https://mitra.stanford.edu/kundaje/oak/projects/neuro-variants/variant_position/credible/roussos_2024/variant_figures/roussos_2024.adolescence.GLU/rs184071680_profile_position.png",4,220,900)</f>
        <v/>
      </c>
    </row>
    <row r="2148">
      <c r="A2148" t="inlineStr">
        <is>
          <t>chr2</t>
        </is>
      </c>
      <c r="B2148" t="n">
        <v>60075401</v>
      </c>
      <c r="C2148" t="inlineStr">
        <is>
          <t>G</t>
        </is>
      </c>
      <c r="D2148" t="inlineStr">
        <is>
          <t>A</t>
        </is>
      </c>
      <c r="E2148" t="inlineStr">
        <is>
          <t>rs10199158</t>
        </is>
      </c>
      <c r="F2148" t="n">
        <v>0.0280597107</v>
      </c>
      <c r="G2148" t="n">
        <v>0.189557642863491</v>
      </c>
      <c r="H2148" t="n">
        <v>0.0190701606543467</v>
      </c>
      <c r="I2148" t="n">
        <v>0.0748492456785462</v>
      </c>
      <c r="J2148" t="n">
        <v>0.2626358317079966</v>
      </c>
      <c r="K2148" t="n">
        <v>0.3185611667184886</v>
      </c>
      <c r="L2148" t="b">
        <v>0</v>
      </c>
      <c r="M2148" t="b">
        <v>0</v>
      </c>
      <c r="N2148" t="inlineStr">
        <is>
          <t>alt</t>
        </is>
      </c>
      <c r="O2148" t="n">
        <v>50</v>
      </c>
      <c r="P2148" t="n">
        <v>0.003262</v>
      </c>
      <c r="Q2148" t="n">
        <v>30</v>
      </c>
      <c r="R2148" t="n">
        <v>0.02115</v>
      </c>
      <c r="S2148">
        <f>IMAGE("https://mitra.stanford.edu/kundaje/oak/projects/neuro-variants/variant_position/credible/roussos_2024/variant_figures/roussos_2024.adolescence.GLU/rs10199158_count_position.png",4,220,900)</f>
        <v/>
      </c>
      <c r="T2148">
        <f>IMAGE("https://mitra.stanford.edu/kundaje/oak/projects/neuro-variants/variant_position/credible/roussos_2024/variant_figures/roussos_2024.adolescence.GLU/rs10199158_profile_position.png",4,220,900)</f>
        <v/>
      </c>
    </row>
    <row r="2149">
      <c r="A2149" t="inlineStr">
        <is>
          <t>chr2</t>
        </is>
      </c>
      <c r="B2149" t="n">
        <v>60076419</v>
      </c>
      <c r="C2149" t="inlineStr">
        <is>
          <t>C</t>
        </is>
      </c>
      <c r="D2149" t="inlineStr">
        <is>
          <t>A</t>
        </is>
      </c>
      <c r="E2149" t="inlineStr">
        <is>
          <t>rs11691553</t>
        </is>
      </c>
      <c r="F2149" t="n">
        <v>-0.001073023461</v>
      </c>
      <c r="G2149" t="n">
        <v>0.7776956751406141</v>
      </c>
      <c r="H2149" t="n">
        <v>0.0304994186046852</v>
      </c>
      <c r="I2149" t="n">
        <v>0.0085356127152467</v>
      </c>
      <c r="J2149" t="n">
        <v>0.2177922569675146</v>
      </c>
      <c r="K2149" t="n">
        <v>0.377730793744044</v>
      </c>
      <c r="L2149" t="b">
        <v>1</v>
      </c>
      <c r="M2149" t="b">
        <v>1</v>
      </c>
      <c r="N2149" t="inlineStr">
        <is>
          <t>ref</t>
        </is>
      </c>
      <c r="O2149" t="n">
        <v>35</v>
      </c>
      <c r="P2149" t="n">
        <v>0.001465</v>
      </c>
      <c r="Q2149" t="n">
        <v>-20</v>
      </c>
      <c r="R2149" t="n">
        <v>0.03062</v>
      </c>
      <c r="S2149">
        <f>IMAGE("https://mitra.stanford.edu/kundaje/oak/projects/neuro-variants/variant_position/credible/roussos_2024/variant_figures/roussos_2024.adolescence.GLU/rs11691553_count_position.png",4,220,900)</f>
        <v/>
      </c>
      <c r="T2149">
        <f>IMAGE("https://mitra.stanford.edu/kundaje/oak/projects/neuro-variants/variant_position/credible/roussos_2024/variant_figures/roussos_2024.adolescence.GLU/rs11691553_profile_position.png",4,220,900)</f>
        <v/>
      </c>
    </row>
    <row r="2150">
      <c r="A2150" t="inlineStr">
        <is>
          <t>chr2</t>
        </is>
      </c>
      <c r="B2150" t="n">
        <v>60096992</v>
      </c>
      <c r="C2150" t="inlineStr">
        <is>
          <t>A</t>
        </is>
      </c>
      <c r="D2150" t="inlineStr">
        <is>
          <t>G</t>
        </is>
      </c>
      <c r="E2150" t="inlineStr">
        <is>
          <t>rs13415334</t>
        </is>
      </c>
      <c r="F2150" t="n">
        <v>-0.0266627081999999</v>
      </c>
      <c r="G2150" t="n">
        <v>0.2256755190262104</v>
      </c>
      <c r="H2150" t="n">
        <v>0.0148414846149323</v>
      </c>
      <c r="I2150" t="n">
        <v>0.1842308807413878</v>
      </c>
      <c r="J2150" t="n">
        <v>0.3081552607325802</v>
      </c>
      <c r="K2150" t="n">
        <v>0.2617253352440498</v>
      </c>
      <c r="L2150" t="b">
        <v>0</v>
      </c>
      <c r="M2150" t="b">
        <v>0</v>
      </c>
      <c r="N2150" t="inlineStr">
        <is>
          <t>ref</t>
        </is>
      </c>
      <c r="O2150" t="n">
        <v>5</v>
      </c>
      <c r="P2150" t="n">
        <v>0.002075</v>
      </c>
      <c r="Q2150" t="n">
        <v>-95</v>
      </c>
      <c r="R2150" t="n">
        <v>0.0857</v>
      </c>
      <c r="S2150">
        <f>IMAGE("https://mitra.stanford.edu/kundaje/oak/projects/neuro-variants/variant_position/credible/roussos_2024/variant_figures/roussos_2024.adolescence.GLU/rs13415334_count_position.png",4,220,900)</f>
        <v/>
      </c>
      <c r="T2150">
        <f>IMAGE("https://mitra.stanford.edu/kundaje/oak/projects/neuro-variants/variant_position/credible/roussos_2024/variant_figures/roussos_2024.adolescence.GLU/rs13415334_profile_position.png",4,220,900)</f>
        <v/>
      </c>
    </row>
    <row r="2151">
      <c r="A2151" t="inlineStr">
        <is>
          <t>chr2</t>
        </is>
      </c>
      <c r="B2151" t="n">
        <v>60105895</v>
      </c>
      <c r="C2151" t="inlineStr">
        <is>
          <t>C</t>
        </is>
      </c>
      <c r="D2151" t="inlineStr">
        <is>
          <t>T</t>
        </is>
      </c>
      <c r="E2151" t="inlineStr">
        <is>
          <t>rs974135</t>
        </is>
      </c>
      <c r="F2151" t="n">
        <v>-0.01118086322</v>
      </c>
      <c r="G2151" t="n">
        <v>0.5150873698847658</v>
      </c>
      <c r="H2151" t="n">
        <v>0.0157430301318218</v>
      </c>
      <c r="I2151" t="n">
        <v>0.1372888375792502</v>
      </c>
      <c r="J2151" t="n">
        <v>0.4221445870930407</v>
      </c>
      <c r="K2151" t="n">
        <v>0.1473208446871777</v>
      </c>
      <c r="L2151" t="b">
        <v>0</v>
      </c>
      <c r="M2151" t="b">
        <v>0</v>
      </c>
      <c r="N2151" t="inlineStr">
        <is>
          <t>ref</t>
        </is>
      </c>
      <c r="O2151" t="n">
        <v>-85</v>
      </c>
      <c r="P2151" t="n">
        <v>0.001661</v>
      </c>
      <c r="Q2151" t="n">
        <v>95</v>
      </c>
      <c r="R2151" t="n">
        <v>0.1355</v>
      </c>
      <c r="S2151">
        <f>IMAGE("https://mitra.stanford.edu/kundaje/oak/projects/neuro-variants/variant_position/credible/roussos_2024/variant_figures/roussos_2024.adolescence.GLU/rs974135_count_position.png",4,220,900)</f>
        <v/>
      </c>
      <c r="T2151">
        <f>IMAGE("https://mitra.stanford.edu/kundaje/oak/projects/neuro-variants/variant_position/credible/roussos_2024/variant_figures/roussos_2024.adolescence.GLU/rs974135_profile_position.png",4,220,900)</f>
        <v/>
      </c>
    </row>
    <row r="2152">
      <c r="A2152" t="inlineStr">
        <is>
          <t>chr2</t>
        </is>
      </c>
      <c r="B2152" t="n">
        <v>60455312</v>
      </c>
      <c r="C2152" t="inlineStr">
        <is>
          <t>A</t>
        </is>
      </c>
      <c r="D2152" t="inlineStr">
        <is>
          <t>G</t>
        </is>
      </c>
      <c r="E2152" t="inlineStr">
        <is>
          <t>rs12621957</t>
        </is>
      </c>
      <c r="F2152" t="n">
        <v>0.00013394578</v>
      </c>
      <c r="G2152" t="n">
        <v>0.8714627930610673</v>
      </c>
      <c r="H2152" t="n">
        <v>0.0143419683315452</v>
      </c>
      <c r="I2152" t="n">
        <v>0.1832611086092613</v>
      </c>
      <c r="J2152" t="n">
        <v>0.0557844124854433</v>
      </c>
      <c r="K2152" t="n">
        <v>0.6837791433425214</v>
      </c>
      <c r="L2152" t="b">
        <v>0</v>
      </c>
      <c r="M2152" t="b">
        <v>0</v>
      </c>
      <c r="N2152" t="inlineStr">
        <is>
          <t>alt</t>
        </is>
      </c>
      <c r="O2152" t="n">
        <v>-80</v>
      </c>
      <c r="P2152" t="n">
        <v>0.00551</v>
      </c>
      <c r="Q2152" t="n">
        <v>-100</v>
      </c>
      <c r="R2152" t="n">
        <v>0.0921</v>
      </c>
      <c r="S2152">
        <f>IMAGE("https://mitra.stanford.edu/kundaje/oak/projects/neuro-variants/variant_position/credible/roussos_2024/variant_figures/roussos_2024.adolescence.GLU/rs12621957_count_position.png",4,220,900)</f>
        <v/>
      </c>
      <c r="T2152">
        <f>IMAGE("https://mitra.stanford.edu/kundaje/oak/projects/neuro-variants/variant_position/credible/roussos_2024/variant_figures/roussos_2024.adolescence.GLU/rs12621957_profile_position.png",4,220,900)</f>
        <v/>
      </c>
    </row>
    <row r="2153">
      <c r="A2153" t="inlineStr">
        <is>
          <t>chr2</t>
        </is>
      </c>
      <c r="B2153" t="n">
        <v>60456238</v>
      </c>
      <c r="C2153" t="inlineStr">
        <is>
          <t>A</t>
        </is>
      </c>
      <c r="D2153" t="inlineStr">
        <is>
          <t>G</t>
        </is>
      </c>
      <c r="E2153" t="inlineStr">
        <is>
          <t>rs17028290</t>
        </is>
      </c>
      <c r="F2153" t="n">
        <v>0.0041791869399999</v>
      </c>
      <c r="G2153" t="n">
        <v>0.655079791591225</v>
      </c>
      <c r="H2153" t="n">
        <v>0.0248873573495947</v>
      </c>
      <c r="I2153" t="n">
        <v>0.0221014717016194</v>
      </c>
      <c r="J2153" t="n">
        <v>0.1981981981981981</v>
      </c>
      <c r="K2153" t="n">
        <v>0.3993304154799556</v>
      </c>
      <c r="L2153" t="b">
        <v>0</v>
      </c>
      <c r="M2153" t="b">
        <v>0</v>
      </c>
      <c r="N2153" t="inlineStr">
        <is>
          <t>alt</t>
        </is>
      </c>
      <c r="O2153" t="n">
        <v>-70</v>
      </c>
      <c r="P2153" t="n">
        <v>0.005196</v>
      </c>
      <c r="Q2153" t="n">
        <v>65</v>
      </c>
      <c r="R2153" t="n">
        <v>0.04742</v>
      </c>
      <c r="S2153">
        <f>IMAGE("https://mitra.stanford.edu/kundaje/oak/projects/neuro-variants/variant_position/credible/roussos_2024/variant_figures/roussos_2024.adolescence.GLU/rs17028290_count_position.png",4,220,900)</f>
        <v/>
      </c>
      <c r="T2153">
        <f>IMAGE("https://mitra.stanford.edu/kundaje/oak/projects/neuro-variants/variant_position/credible/roussos_2024/variant_figures/roussos_2024.adolescence.GLU/rs17028290_profile_position.png",4,220,900)</f>
        <v/>
      </c>
    </row>
    <row r="2154">
      <c r="A2154" t="inlineStr">
        <is>
          <t>chr2</t>
        </is>
      </c>
      <c r="B2154" t="n">
        <v>60474200</v>
      </c>
      <c r="C2154" t="inlineStr">
        <is>
          <t>T</t>
        </is>
      </c>
      <c r="D2154" t="inlineStr">
        <is>
          <t>C</t>
        </is>
      </c>
      <c r="E2154" t="inlineStr">
        <is>
          <t>rs58469620</t>
        </is>
      </c>
      <c r="F2154" t="n">
        <v>0.0617184217999999</v>
      </c>
      <c r="G2154" t="n">
        <v>0.0336029266910402</v>
      </c>
      <c r="H2154" t="n">
        <v>0.0127664730264986</v>
      </c>
      <c r="I2154" t="n">
        <v>0.2844410788651288</v>
      </c>
      <c r="J2154" t="n">
        <v>0.2093619392588464</v>
      </c>
      <c r="K2154" t="n">
        <v>0.3855829729687136</v>
      </c>
      <c r="L2154" t="b">
        <v>0</v>
      </c>
      <c r="M2154" t="b">
        <v>0</v>
      </c>
      <c r="N2154" t="inlineStr">
        <is>
          <t>alt</t>
        </is>
      </c>
      <c r="O2154" t="n">
        <v>25</v>
      </c>
      <c r="P2154" t="n">
        <v>0.0108</v>
      </c>
      <c r="Q2154" t="n">
        <v>85</v>
      </c>
      <c r="R2154" t="n">
        <v>0.0509</v>
      </c>
      <c r="S2154">
        <f>IMAGE("https://mitra.stanford.edu/kundaje/oak/projects/neuro-variants/variant_position/credible/roussos_2024/variant_figures/roussos_2024.adolescence.GLU/rs58469620_count_position.png",4,220,900)</f>
        <v/>
      </c>
      <c r="T2154">
        <f>IMAGE("https://mitra.stanford.edu/kundaje/oak/projects/neuro-variants/variant_position/credible/roussos_2024/variant_figures/roussos_2024.adolescence.GLU/rs58469620_profile_position.png",4,220,900)</f>
        <v/>
      </c>
    </row>
    <row r="2155">
      <c r="A2155" t="inlineStr">
        <is>
          <t>chr2</t>
        </is>
      </c>
      <c r="B2155" t="n">
        <v>60491212</v>
      </c>
      <c r="C2155" t="inlineStr">
        <is>
          <t>C</t>
        </is>
      </c>
      <c r="D2155" t="inlineStr">
        <is>
          <t>T</t>
        </is>
      </c>
      <c r="E2155" t="inlineStr">
        <is>
          <t>rs7599488</t>
        </is>
      </c>
      <c r="F2155" t="n">
        <v>-0.150147131</v>
      </c>
      <c r="G2155" t="n">
        <v>0.0028641972522114</v>
      </c>
      <c r="H2155" t="n">
        <v>0.0322245210743056</v>
      </c>
      <c r="I2155" t="n">
        <v>0.0150729015563236</v>
      </c>
      <c r="J2155" t="n">
        <v>0.2236234648605782</v>
      </c>
      <c r="K2155" t="n">
        <v>0.3645917992202787</v>
      </c>
      <c r="L2155" t="b">
        <v>1</v>
      </c>
      <c r="M2155" t="b">
        <v>1</v>
      </c>
      <c r="N2155" t="inlineStr">
        <is>
          <t>ref</t>
        </is>
      </c>
      <c r="O2155" t="n">
        <v>45</v>
      </c>
      <c r="P2155" t="n">
        <v>0.001949</v>
      </c>
      <c r="Q2155" t="n">
        <v>-70</v>
      </c>
      <c r="R2155" t="n">
        <v>0.06647</v>
      </c>
      <c r="S2155">
        <f>IMAGE("https://mitra.stanford.edu/kundaje/oak/projects/neuro-variants/variant_position/credible/roussos_2024/variant_figures/roussos_2024.adolescence.GLU/rs7599488_count_position.png",4,220,900)</f>
        <v/>
      </c>
      <c r="T2155">
        <f>IMAGE("https://mitra.stanford.edu/kundaje/oak/projects/neuro-variants/variant_position/credible/roussos_2024/variant_figures/roussos_2024.adolescence.GLU/rs7599488_profile_position.png",4,220,900)</f>
        <v/>
      </c>
    </row>
    <row r="2156">
      <c r="A2156" t="inlineStr">
        <is>
          <t>chr2</t>
        </is>
      </c>
      <c r="B2156" t="n">
        <v>60492835</v>
      </c>
      <c r="C2156" t="inlineStr">
        <is>
          <t>C</t>
        </is>
      </c>
      <c r="D2156" t="inlineStr">
        <is>
          <t>A</t>
        </is>
      </c>
      <c r="E2156" t="inlineStr">
        <is>
          <t>rs766432</t>
        </is>
      </c>
      <c r="F2156" t="n">
        <v>-0.002198936172</v>
      </c>
      <c r="G2156" t="n">
        <v>0.8817321812135477</v>
      </c>
      <c r="H2156" t="n">
        <v>0.0198391452189915</v>
      </c>
      <c r="I2156" t="n">
        <v>0.056920309233004</v>
      </c>
      <c r="J2156" t="n">
        <v>0.1987368812111079</v>
      </c>
      <c r="K2156" t="n">
        <v>0.4057384801436672</v>
      </c>
      <c r="L2156" t="b">
        <v>0</v>
      </c>
      <c r="M2156" t="b">
        <v>0</v>
      </c>
      <c r="N2156" t="inlineStr">
        <is>
          <t>ref</t>
        </is>
      </c>
      <c r="O2156" t="n">
        <v>100</v>
      </c>
      <c r="P2156" t="n">
        <v>0.003597</v>
      </c>
      <c r="Q2156" t="n">
        <v>25</v>
      </c>
      <c r="R2156" t="n">
        <v>0.01389</v>
      </c>
      <c r="S2156">
        <f>IMAGE("https://mitra.stanford.edu/kundaje/oak/projects/neuro-variants/variant_position/credible/roussos_2024/variant_figures/roussos_2024.adolescence.GLU/rs766432_count_position.png",4,220,900)</f>
        <v/>
      </c>
      <c r="T2156">
        <f>IMAGE("https://mitra.stanford.edu/kundaje/oak/projects/neuro-variants/variant_position/credible/roussos_2024/variant_figures/roussos_2024.adolescence.GLU/rs766432_profile_position.png",4,220,900)</f>
        <v/>
      </c>
    </row>
    <row r="2157">
      <c r="A2157" t="inlineStr">
        <is>
          <t>chr2</t>
        </is>
      </c>
      <c r="B2157" t="n">
        <v>60558802</v>
      </c>
      <c r="C2157" t="inlineStr">
        <is>
          <t>A</t>
        </is>
      </c>
      <c r="D2157" t="inlineStr">
        <is>
          <t>G</t>
        </is>
      </c>
      <c r="E2157" t="inlineStr">
        <is>
          <t>rs12328348</t>
        </is>
      </c>
      <c r="F2157" t="n">
        <v>0.0576986601999999</v>
      </c>
      <c r="G2157" t="n">
        <v>0.0443345469258888</v>
      </c>
      <c r="H2157" t="n">
        <v>0.018943266059128</v>
      </c>
      <c r="I2157" t="n">
        <v>0.07405594274045001</v>
      </c>
      <c r="J2157" t="n">
        <v>0.1416536282515663</v>
      </c>
      <c r="K2157" t="n">
        <v>0.4981506603512081</v>
      </c>
      <c r="L2157" t="b">
        <v>0</v>
      </c>
      <c r="M2157" t="b">
        <v>0</v>
      </c>
      <c r="N2157" t="inlineStr">
        <is>
          <t>alt</t>
        </is>
      </c>
      <c r="O2157" t="n">
        <v>-5</v>
      </c>
      <c r="P2157" t="n">
        <v>0.000599</v>
      </c>
      <c r="Q2157" t="n">
        <v>-50</v>
      </c>
      <c r="R2157" t="n">
        <v>0.0426</v>
      </c>
      <c r="S2157">
        <f>IMAGE("https://mitra.stanford.edu/kundaje/oak/projects/neuro-variants/variant_position/credible/roussos_2024/variant_figures/roussos_2024.adolescence.GLU/rs12328348_count_position.png",4,220,900)</f>
        <v/>
      </c>
      <c r="T2157">
        <f>IMAGE("https://mitra.stanford.edu/kundaje/oak/projects/neuro-variants/variant_position/credible/roussos_2024/variant_figures/roussos_2024.adolescence.GLU/rs12328348_profile_position.png",4,220,900)</f>
        <v/>
      </c>
    </row>
    <row r="2158">
      <c r="A2158" t="inlineStr">
        <is>
          <t>chr2</t>
        </is>
      </c>
      <c r="B2158" t="n">
        <v>60584584</v>
      </c>
      <c r="C2158" t="inlineStr">
        <is>
          <t>G</t>
        </is>
      </c>
      <c r="D2158" t="inlineStr">
        <is>
          <t>A</t>
        </is>
      </c>
      <c r="E2158" t="inlineStr">
        <is>
          <t>rs356998</t>
        </is>
      </c>
      <c r="F2158" t="n">
        <v>-0.0218556556</v>
      </c>
      <c r="G2158" t="n">
        <v>0.2744256118042239</v>
      </c>
      <c r="H2158" t="n">
        <v>0.006875435941556</v>
      </c>
      <c r="I2158" t="n">
        <v>0.899075505796138</v>
      </c>
      <c r="J2158" t="n">
        <v>0.3829078880625272</v>
      </c>
      <c r="K2158" t="n">
        <v>0.18054405697444</v>
      </c>
      <c r="L2158" t="b">
        <v>0</v>
      </c>
      <c r="M2158" t="b">
        <v>0</v>
      </c>
      <c r="N2158" t="inlineStr">
        <is>
          <t>ref</t>
        </is>
      </c>
      <c r="O2158" t="n">
        <v>55</v>
      </c>
      <c r="P2158" t="n">
        <v>0.005333</v>
      </c>
      <c r="Q2158" t="n">
        <v>80</v>
      </c>
      <c r="R2158" t="n">
        <v>0.0433</v>
      </c>
      <c r="S2158">
        <f>IMAGE("https://mitra.stanford.edu/kundaje/oak/projects/neuro-variants/variant_position/credible/roussos_2024/variant_figures/roussos_2024.adolescence.GLU/rs356998_count_position.png",4,220,900)</f>
        <v/>
      </c>
      <c r="T2158">
        <f>IMAGE("https://mitra.stanford.edu/kundaje/oak/projects/neuro-variants/variant_position/credible/roussos_2024/variant_figures/roussos_2024.adolescence.GLU/rs356998_profile_position.png",4,220,900)</f>
        <v/>
      </c>
    </row>
    <row r="2159">
      <c r="A2159" t="inlineStr">
        <is>
          <t>chr2</t>
        </is>
      </c>
      <c r="B2159" t="n">
        <v>60712744</v>
      </c>
      <c r="C2159" t="inlineStr">
        <is>
          <t>C</t>
        </is>
      </c>
      <c r="D2159" t="inlineStr">
        <is>
          <t>T</t>
        </is>
      </c>
      <c r="E2159" t="inlineStr">
        <is>
          <t>rs55710238</t>
        </is>
      </c>
      <c r="F2159" t="n">
        <v>-0.0509044018</v>
      </c>
      <c r="G2159" t="n">
        <v>0.0684381842073252</v>
      </c>
      <c r="H2159" t="n">
        <v>0.0203307049792521</v>
      </c>
      <c r="I2159" t="n">
        <v>0.058032868396481</v>
      </c>
      <c r="J2159" t="n">
        <v>0.342961041930114</v>
      </c>
      <c r="K2159" t="n">
        <v>0.2222558229611142</v>
      </c>
      <c r="L2159" t="b">
        <v>0</v>
      </c>
      <c r="M2159" t="b">
        <v>0</v>
      </c>
      <c r="N2159" t="inlineStr">
        <is>
          <t>ref</t>
        </is>
      </c>
      <c r="O2159" t="n">
        <v>-100</v>
      </c>
      <c r="P2159" t="n">
        <v>0.0243</v>
      </c>
      <c r="Q2159" t="n">
        <v>-30</v>
      </c>
      <c r="R2159" t="n">
        <v>0.02393</v>
      </c>
      <c r="S2159">
        <f>IMAGE("https://mitra.stanford.edu/kundaje/oak/projects/neuro-variants/variant_position/credible/roussos_2024/variant_figures/roussos_2024.adolescence.GLU/rs55710238_count_position.png",4,220,900)</f>
        <v/>
      </c>
      <c r="T2159">
        <f>IMAGE("https://mitra.stanford.edu/kundaje/oak/projects/neuro-variants/variant_position/credible/roussos_2024/variant_figures/roussos_2024.adolescence.GLU/rs55710238_profile_position.png",4,220,900)</f>
        <v/>
      </c>
    </row>
    <row r="2160">
      <c r="A2160" t="inlineStr">
        <is>
          <t>chr2</t>
        </is>
      </c>
      <c r="B2160" t="n">
        <v>72913722</v>
      </c>
      <c r="C2160" t="inlineStr">
        <is>
          <t>C</t>
        </is>
      </c>
      <c r="D2160" t="inlineStr">
        <is>
          <t>T</t>
        </is>
      </c>
      <c r="E2160" t="inlineStr">
        <is>
          <t>rs34419497</t>
        </is>
      </c>
      <c r="F2160" t="n">
        <v>0.0546001108</v>
      </c>
      <c r="G2160" t="n">
        <v>0.05897002495613</v>
      </c>
      <c r="H2160" t="n">
        <v>0.0213857213087218</v>
      </c>
      <c r="I2160" t="n">
        <v>0.0559126610095999</v>
      </c>
      <c r="J2160" t="n">
        <v>0.350809810603625</v>
      </c>
      <c r="K2160" t="n">
        <v>0.2155342864123007</v>
      </c>
      <c r="L2160" t="b">
        <v>0</v>
      </c>
      <c r="M2160" t="b">
        <v>0</v>
      </c>
      <c r="N2160" t="inlineStr">
        <is>
          <t>alt</t>
        </is>
      </c>
      <c r="O2160" t="n">
        <v>85</v>
      </c>
      <c r="P2160" t="n">
        <v>0.027</v>
      </c>
      <c r="Q2160" t="n">
        <v>95</v>
      </c>
      <c r="R2160" t="n">
        <v>0.1531</v>
      </c>
      <c r="S2160">
        <f>IMAGE("https://mitra.stanford.edu/kundaje/oak/projects/neuro-variants/variant_position/credible/roussos_2024/variant_figures/roussos_2024.adolescence.GLU/rs34419497_count_position.png",4,220,900)</f>
        <v/>
      </c>
      <c r="T2160">
        <f>IMAGE("https://mitra.stanford.edu/kundaje/oak/projects/neuro-variants/variant_position/credible/roussos_2024/variant_figures/roussos_2024.adolescence.GLU/rs34419497_profile_position.png",4,220,900)</f>
        <v/>
      </c>
    </row>
    <row r="2161">
      <c r="A2161" t="inlineStr">
        <is>
          <t>chr2</t>
        </is>
      </c>
      <c r="B2161" t="n">
        <v>73140117</v>
      </c>
      <c r="C2161" t="inlineStr">
        <is>
          <t>T</t>
        </is>
      </c>
      <c r="D2161" t="inlineStr">
        <is>
          <t>C</t>
        </is>
      </c>
      <c r="E2161" t="inlineStr">
        <is>
          <t>rs1430346</t>
        </is>
      </c>
      <c r="F2161" t="n">
        <v>0.00680983624</v>
      </c>
      <c r="G2161" t="n">
        <v>0.6309018957440979</v>
      </c>
      <c r="H2161" t="n">
        <v>0.0223353448282371</v>
      </c>
      <c r="I2161" t="n">
        <v>0.0350169569177414</v>
      </c>
      <c r="J2161" t="n">
        <v>0.009274778346943201</v>
      </c>
      <c r="K2161" t="n">
        <v>0.8840021423210828</v>
      </c>
      <c r="L2161" t="b">
        <v>0</v>
      </c>
      <c r="M2161" t="b">
        <v>0</v>
      </c>
      <c r="N2161" t="inlineStr">
        <is>
          <t>alt</t>
        </is>
      </c>
      <c r="O2161" t="n">
        <v>45</v>
      </c>
      <c r="P2161" t="n">
        <v>0.002655</v>
      </c>
      <c r="Q2161" t="n">
        <v>-100</v>
      </c>
      <c r="R2161" t="n">
        <v>0.02731</v>
      </c>
      <c r="S2161">
        <f>IMAGE("https://mitra.stanford.edu/kundaje/oak/projects/neuro-variants/variant_position/credible/roussos_2024/variant_figures/roussos_2024.adolescence.GLU/rs1430346_count_position.png",4,220,900)</f>
        <v/>
      </c>
      <c r="T2161">
        <f>IMAGE("https://mitra.stanford.edu/kundaje/oak/projects/neuro-variants/variant_position/credible/roussos_2024/variant_figures/roussos_2024.adolescence.GLU/rs1430346_profile_position.png",4,220,900)</f>
        <v/>
      </c>
    </row>
    <row r="2162">
      <c r="A2162" t="inlineStr">
        <is>
          <t>chr2</t>
        </is>
      </c>
      <c r="B2162" t="n">
        <v>73155786</v>
      </c>
      <c r="C2162" t="inlineStr">
        <is>
          <t>C</t>
        </is>
      </c>
      <c r="D2162" t="inlineStr">
        <is>
          <t>T</t>
        </is>
      </c>
      <c r="E2162" t="inlineStr">
        <is>
          <t>rs60796597</t>
        </is>
      </c>
      <c r="F2162" t="n">
        <v>-0.060281892</v>
      </c>
      <c r="G2162" t="n">
        <v>0.036709528377797</v>
      </c>
      <c r="H2162" t="n">
        <v>0.0146130410797229</v>
      </c>
      <c r="I2162" t="n">
        <v>0.1785629091119994</v>
      </c>
      <c r="J2162" t="n">
        <v>0.1612048209986353</v>
      </c>
      <c r="K2162" t="n">
        <v>0.4649024605541765</v>
      </c>
      <c r="L2162" t="b">
        <v>0</v>
      </c>
      <c r="M2162" t="b">
        <v>0</v>
      </c>
      <c r="N2162" t="inlineStr">
        <is>
          <t>ref</t>
        </is>
      </c>
      <c r="O2162" t="n">
        <v>100</v>
      </c>
      <c r="P2162" t="n">
        <v>0.01013</v>
      </c>
      <c r="Q2162" t="n">
        <v>-75</v>
      </c>
      <c r="R2162" t="n">
        <v>0.09467</v>
      </c>
      <c r="S2162">
        <f>IMAGE("https://mitra.stanford.edu/kundaje/oak/projects/neuro-variants/variant_position/credible/roussos_2024/variant_figures/roussos_2024.adolescence.GLU/rs60796597_count_position.png",4,220,900)</f>
        <v/>
      </c>
      <c r="T2162">
        <f>IMAGE("https://mitra.stanford.edu/kundaje/oak/projects/neuro-variants/variant_position/credible/roussos_2024/variant_figures/roussos_2024.adolescence.GLU/rs60796597_profile_position.png",4,220,900)</f>
        <v/>
      </c>
    </row>
    <row r="2163">
      <c r="A2163" t="inlineStr">
        <is>
          <t>chr2</t>
        </is>
      </c>
      <c r="B2163" t="n">
        <v>73344289</v>
      </c>
      <c r="C2163" t="inlineStr">
        <is>
          <t>G</t>
        </is>
      </c>
      <c r="D2163" t="inlineStr">
        <is>
          <t>A</t>
        </is>
      </c>
      <c r="E2163" t="inlineStr">
        <is>
          <t>rs7604588</t>
        </is>
      </c>
      <c r="F2163" t="n">
        <v>-0.0262448376</v>
      </c>
      <c r="G2163" t="n">
        <v>0.2258123341439114</v>
      </c>
      <c r="H2163" t="n">
        <v>0.0105612469963301</v>
      </c>
      <c r="I2163" t="n">
        <v>0.4423242215264323</v>
      </c>
      <c r="J2163" t="n">
        <v>0.2513649255917297</v>
      </c>
      <c r="K2163" t="n">
        <v>0.3327458733810015</v>
      </c>
      <c r="L2163" t="b">
        <v>0</v>
      </c>
      <c r="M2163" t="b">
        <v>0</v>
      </c>
      <c r="N2163" t="inlineStr">
        <is>
          <t>ref</t>
        </is>
      </c>
      <c r="O2163" t="n">
        <v>85</v>
      </c>
      <c r="P2163" t="n">
        <v>0.001575</v>
      </c>
      <c r="Q2163" t="n">
        <v>-100</v>
      </c>
      <c r="R2163" t="n">
        <v>0.04883</v>
      </c>
      <c r="S2163">
        <f>IMAGE("https://mitra.stanford.edu/kundaje/oak/projects/neuro-variants/variant_position/credible/roussos_2024/variant_figures/roussos_2024.adolescence.GLU/rs7604588_count_position.png",4,220,900)</f>
        <v/>
      </c>
      <c r="T2163">
        <f>IMAGE("https://mitra.stanford.edu/kundaje/oak/projects/neuro-variants/variant_position/credible/roussos_2024/variant_figures/roussos_2024.adolescence.GLU/rs7604588_profile_position.png",4,220,900)</f>
        <v/>
      </c>
    </row>
    <row r="2164">
      <c r="A2164" t="inlineStr">
        <is>
          <t>chr2</t>
        </is>
      </c>
      <c r="B2164" t="n">
        <v>73347970</v>
      </c>
      <c r="C2164" t="inlineStr">
        <is>
          <t>G</t>
        </is>
      </c>
      <c r="D2164" t="inlineStr">
        <is>
          <t>A</t>
        </is>
      </c>
      <c r="E2164" t="inlineStr">
        <is>
          <t>rs6546822</t>
        </is>
      </c>
      <c r="F2164" t="n">
        <v>-0.0060979544599999</v>
      </c>
      <c r="G2164" t="n">
        <v>0.6966361096251579</v>
      </c>
      <c r="H2164" t="n">
        <v>0.0137955761547561</v>
      </c>
      <c r="I2164" t="n">
        <v>0.2096744242468512</v>
      </c>
      <c r="J2164" t="n">
        <v>0.0606568503475719</v>
      </c>
      <c r="K2164" t="n">
        <v>0.6656714245792849</v>
      </c>
      <c r="L2164" t="b">
        <v>0</v>
      </c>
      <c r="M2164" t="b">
        <v>0</v>
      </c>
      <c r="N2164" t="inlineStr">
        <is>
          <t>ref</t>
        </is>
      </c>
      <c r="O2164" t="n">
        <v>-100</v>
      </c>
      <c r="P2164" t="n">
        <v>0.01085</v>
      </c>
      <c r="Q2164" t="n">
        <v>-95</v>
      </c>
      <c r="R2164" t="n">
        <v>0.0912</v>
      </c>
      <c r="S2164">
        <f>IMAGE("https://mitra.stanford.edu/kundaje/oak/projects/neuro-variants/variant_position/credible/roussos_2024/variant_figures/roussos_2024.adolescence.GLU/rs6546822_count_position.png",4,220,900)</f>
        <v/>
      </c>
      <c r="T2164">
        <f>IMAGE("https://mitra.stanford.edu/kundaje/oak/projects/neuro-variants/variant_position/credible/roussos_2024/variant_figures/roussos_2024.adolescence.GLU/rs6546822_profile_position.png",4,220,900)</f>
        <v/>
      </c>
    </row>
    <row r="2165">
      <c r="A2165" t="inlineStr">
        <is>
          <t>chr2</t>
        </is>
      </c>
      <c r="B2165" t="n">
        <v>73364113</v>
      </c>
      <c r="C2165" t="inlineStr">
        <is>
          <t>T</t>
        </is>
      </c>
      <c r="D2165" t="inlineStr">
        <is>
          <t>C</t>
        </is>
      </c>
      <c r="E2165" t="inlineStr">
        <is>
          <t>rs1522926</t>
        </is>
      </c>
      <c r="F2165" t="n">
        <v>-0.000970577012</v>
      </c>
      <c r="G2165" t="n">
        <v>0.7522220422309579</v>
      </c>
      <c r="H2165" t="n">
        <v>0.009479449940441901</v>
      </c>
      <c r="I2165" t="n">
        <v>0.5763093331709978</v>
      </c>
      <c r="J2165" t="n">
        <v>0.1016396253509655</v>
      </c>
      <c r="K2165" t="n">
        <v>0.5709138329915162</v>
      </c>
      <c r="L2165" t="b">
        <v>0</v>
      </c>
      <c r="M2165" t="b">
        <v>0</v>
      </c>
      <c r="N2165" t="inlineStr">
        <is>
          <t>ref</t>
        </is>
      </c>
      <c r="O2165" t="n">
        <v>60</v>
      </c>
      <c r="P2165" t="n">
        <v>0.002174</v>
      </c>
      <c r="Q2165" t="n">
        <v>20</v>
      </c>
      <c r="R2165" t="n">
        <v>0.004395</v>
      </c>
      <c r="S2165">
        <f>IMAGE("https://mitra.stanford.edu/kundaje/oak/projects/neuro-variants/variant_position/credible/roussos_2024/variant_figures/roussos_2024.adolescence.GLU/rs1522926_count_position.png",4,220,900)</f>
        <v/>
      </c>
      <c r="T2165">
        <f>IMAGE("https://mitra.stanford.edu/kundaje/oak/projects/neuro-variants/variant_position/credible/roussos_2024/variant_figures/roussos_2024.adolescence.GLU/rs1522926_profile_position.png",4,220,900)</f>
        <v/>
      </c>
    </row>
    <row r="2166">
      <c r="A2166" t="inlineStr">
        <is>
          <t>chr2</t>
        </is>
      </c>
      <c r="B2166" t="n">
        <v>73379365</v>
      </c>
      <c r="C2166" t="inlineStr">
        <is>
          <t>C</t>
        </is>
      </c>
      <c r="D2166" t="inlineStr">
        <is>
          <t>T</t>
        </is>
      </c>
      <c r="E2166" t="inlineStr">
        <is>
          <t>rs6546827</t>
        </is>
      </c>
      <c r="F2166" t="n">
        <v>0.03714737564</v>
      </c>
      <c r="G2166" t="n">
        <v>0.1115370347521205</v>
      </c>
      <c r="H2166" t="n">
        <v>0.0289310340372664</v>
      </c>
      <c r="I2166" t="n">
        <v>0.0256730908098742</v>
      </c>
      <c r="J2166" t="n">
        <v>0.1143222524665823</v>
      </c>
      <c r="K2166" t="n">
        <v>0.5491470072626112</v>
      </c>
      <c r="L2166" t="b">
        <v>0</v>
      </c>
      <c r="M2166" t="b">
        <v>0</v>
      </c>
      <c r="N2166" t="inlineStr">
        <is>
          <t>alt</t>
        </is>
      </c>
      <c r="O2166" t="n">
        <v>-30</v>
      </c>
      <c r="P2166" t="n">
        <v>0.0006847</v>
      </c>
      <c r="Q2166" t="n">
        <v>90</v>
      </c>
      <c r="R2166" t="n">
        <v>0.07245</v>
      </c>
      <c r="S2166">
        <f>IMAGE("https://mitra.stanford.edu/kundaje/oak/projects/neuro-variants/variant_position/credible/roussos_2024/variant_figures/roussos_2024.adolescence.GLU/rs6546827_count_position.png",4,220,900)</f>
        <v/>
      </c>
      <c r="T2166">
        <f>IMAGE("https://mitra.stanford.edu/kundaje/oak/projects/neuro-variants/variant_position/credible/roussos_2024/variant_figures/roussos_2024.adolescence.GLU/rs6546827_profile_position.png",4,220,900)</f>
        <v/>
      </c>
    </row>
    <row r="2167">
      <c r="A2167" t="inlineStr">
        <is>
          <t>chr2</t>
        </is>
      </c>
      <c r="B2167" t="n">
        <v>73395535</v>
      </c>
      <c r="C2167" t="inlineStr">
        <is>
          <t>C</t>
        </is>
      </c>
      <c r="D2167" t="inlineStr">
        <is>
          <t>T</t>
        </is>
      </c>
      <c r="E2167" t="inlineStr">
        <is>
          <t>rs56672945</t>
        </is>
      </c>
      <c r="F2167" t="n">
        <v>-0.0155076952</v>
      </c>
      <c r="G2167" t="n">
        <v>0.3856936812659019</v>
      </c>
      <c r="H2167" t="n">
        <v>0.0197410147397768</v>
      </c>
      <c r="I2167" t="n">
        <v>0.0580093683519603</v>
      </c>
      <c r="J2167" t="n">
        <v>0.0052653763993969</v>
      </c>
      <c r="K2167" t="n">
        <v>0.9162343054875624</v>
      </c>
      <c r="L2167" t="b">
        <v>0</v>
      </c>
      <c r="M2167" t="b">
        <v>0</v>
      </c>
      <c r="N2167" t="inlineStr">
        <is>
          <t>ref</t>
        </is>
      </c>
      <c r="O2167" t="n">
        <v>-30</v>
      </c>
      <c r="P2167" t="n">
        <v>0.003662</v>
      </c>
      <c r="Q2167" t="n">
        <v>-55</v>
      </c>
      <c r="R2167" t="n">
        <v>0.04602</v>
      </c>
      <c r="S2167">
        <f>IMAGE("https://mitra.stanford.edu/kundaje/oak/projects/neuro-variants/variant_position/credible/roussos_2024/variant_figures/roussos_2024.adolescence.GLU/rs56672945_count_position.png",4,220,900)</f>
        <v/>
      </c>
      <c r="T2167">
        <f>IMAGE("https://mitra.stanford.edu/kundaje/oak/projects/neuro-variants/variant_position/credible/roussos_2024/variant_figures/roussos_2024.adolescence.GLU/rs56672945_profile_position.png",4,220,900)</f>
        <v/>
      </c>
    </row>
    <row r="2168">
      <c r="A2168" t="inlineStr">
        <is>
          <t>chr2</t>
        </is>
      </c>
      <c r="B2168" t="n">
        <v>73410391</v>
      </c>
      <c r="C2168" t="inlineStr">
        <is>
          <t>A</t>
        </is>
      </c>
      <c r="D2168" t="inlineStr">
        <is>
          <t>G</t>
        </is>
      </c>
      <c r="E2168" t="inlineStr">
        <is>
          <t>rs10179134</t>
        </is>
      </c>
      <c r="F2168" t="n">
        <v>0.000307539334</v>
      </c>
      <c r="G2168" t="n">
        <v>0.831182419422956</v>
      </c>
      <c r="H2168" t="n">
        <v>0.0263341955828023</v>
      </c>
      <c r="I2168" t="n">
        <v>0.0171147893869846</v>
      </c>
      <c r="J2168" t="n">
        <v>0.0195697680233762</v>
      </c>
      <c r="K2168" t="n">
        <v>0.8302769686517476</v>
      </c>
      <c r="L2168" t="b">
        <v>1</v>
      </c>
      <c r="M2168" t="b">
        <v>0</v>
      </c>
      <c r="N2168" t="inlineStr">
        <is>
          <t>alt</t>
        </is>
      </c>
      <c r="O2168" t="n">
        <v>-45</v>
      </c>
      <c r="P2168" t="n">
        <v>0.0155</v>
      </c>
      <c r="Q2168" t="n">
        <v>30</v>
      </c>
      <c r="R2168" t="n">
        <v>0.03415</v>
      </c>
      <c r="S2168">
        <f>IMAGE("https://mitra.stanford.edu/kundaje/oak/projects/neuro-variants/variant_position/credible/roussos_2024/variant_figures/roussos_2024.adolescence.GLU/rs10179134_count_position.png",4,220,900)</f>
        <v/>
      </c>
      <c r="T2168">
        <f>IMAGE("https://mitra.stanford.edu/kundaje/oak/projects/neuro-variants/variant_position/credible/roussos_2024/variant_figures/roussos_2024.adolescence.GLU/rs10179134_profile_position.png",4,220,900)</f>
        <v/>
      </c>
    </row>
    <row r="2169">
      <c r="A2169" t="inlineStr">
        <is>
          <t>chr2</t>
        </is>
      </c>
      <c r="B2169" t="n">
        <v>73426010</v>
      </c>
      <c r="C2169" t="inlineStr">
        <is>
          <t>A</t>
        </is>
      </c>
      <c r="D2169" t="inlineStr">
        <is>
          <t>G</t>
        </is>
      </c>
      <c r="E2169" t="inlineStr">
        <is>
          <t>rs6753344</t>
        </is>
      </c>
      <c r="F2169" t="n">
        <v>0.0237404911999999</v>
      </c>
      <c r="G2169" t="n">
        <v>0.234571122983855</v>
      </c>
      <c r="H2169" t="n">
        <v>0.0123071124540323</v>
      </c>
      <c r="I2169" t="n">
        <v>0.3138910014746347</v>
      </c>
      <c r="J2169" t="n">
        <v>0.1553778997077965</v>
      </c>
      <c r="K2169" t="n">
        <v>0.4682609749123372</v>
      </c>
      <c r="L2169" t="b">
        <v>0</v>
      </c>
      <c r="M2169" t="b">
        <v>0</v>
      </c>
      <c r="N2169" t="inlineStr">
        <is>
          <t>alt</t>
        </is>
      </c>
      <c r="O2169" t="n">
        <v>60</v>
      </c>
      <c r="P2169" t="n">
        <v>0.0023</v>
      </c>
      <c r="Q2169" t="n">
        <v>-85</v>
      </c>
      <c r="R2169" t="n">
        <v>0.07324</v>
      </c>
      <c r="S2169">
        <f>IMAGE("https://mitra.stanford.edu/kundaje/oak/projects/neuro-variants/variant_position/credible/roussos_2024/variant_figures/roussos_2024.adolescence.GLU/rs6753344_count_position.png",4,220,900)</f>
        <v/>
      </c>
      <c r="T2169">
        <f>IMAGE("https://mitra.stanford.edu/kundaje/oak/projects/neuro-variants/variant_position/credible/roussos_2024/variant_figures/roussos_2024.adolescence.GLU/rs6753344_profile_position.png",4,220,900)</f>
        <v/>
      </c>
    </row>
    <row r="2170">
      <c r="A2170" t="inlineStr">
        <is>
          <t>chr2</t>
        </is>
      </c>
      <c r="B2170" t="n">
        <v>73450771</v>
      </c>
      <c r="C2170" t="inlineStr">
        <is>
          <t>G</t>
        </is>
      </c>
      <c r="D2170" t="inlineStr">
        <is>
          <t>C</t>
        </is>
      </c>
      <c r="E2170" t="inlineStr">
        <is>
          <t>rs6546837</t>
        </is>
      </c>
      <c r="F2170" t="n">
        <v>0.0266529802</v>
      </c>
      <c r="G2170" t="n">
        <v>0.211154627669991</v>
      </c>
      <c r="H2170" t="n">
        <v>0.0151457299487535</v>
      </c>
      <c r="I2170" t="n">
        <v>0.1780944929745453</v>
      </c>
      <c r="J2170" t="n">
        <v>0.2597538061455587</v>
      </c>
      <c r="K2170" t="n">
        <v>0.3157318539022566</v>
      </c>
      <c r="L2170" t="b">
        <v>0</v>
      </c>
      <c r="M2170" t="b">
        <v>0</v>
      </c>
      <c r="N2170" t="inlineStr">
        <is>
          <t>alt</t>
        </is>
      </c>
      <c r="O2170" t="n">
        <v>-100</v>
      </c>
      <c r="P2170" t="n">
        <v>0.00773</v>
      </c>
      <c r="Q2170" t="n">
        <v>-65</v>
      </c>
      <c r="R2170" t="n">
        <v>0.03156</v>
      </c>
      <c r="S2170">
        <f>IMAGE("https://mitra.stanford.edu/kundaje/oak/projects/neuro-variants/variant_position/credible/roussos_2024/variant_figures/roussos_2024.adolescence.GLU/rs6546837_count_position.png",4,220,900)</f>
        <v/>
      </c>
      <c r="T2170">
        <f>IMAGE("https://mitra.stanford.edu/kundaje/oak/projects/neuro-variants/variant_position/credible/roussos_2024/variant_figures/roussos_2024.adolescence.GLU/rs6546837_profile_position.png",4,220,900)</f>
        <v/>
      </c>
    </row>
    <row r="2171">
      <c r="A2171" t="inlineStr">
        <is>
          <t>chr2</t>
        </is>
      </c>
      <c r="B2171" t="n">
        <v>73473004</v>
      </c>
      <c r="C2171" t="inlineStr">
        <is>
          <t>A</t>
        </is>
      </c>
      <c r="D2171" t="inlineStr">
        <is>
          <t>C</t>
        </is>
      </c>
      <c r="E2171" t="inlineStr">
        <is>
          <t>rs62151652</t>
        </is>
      </c>
      <c r="F2171" t="n">
        <v>0.00979778282</v>
      </c>
      <c r="G2171" t="n">
        <v>0.543668246577964</v>
      </c>
      <c r="H2171" t="n">
        <v>0.0138617564972739</v>
      </c>
      <c r="I2171" t="n">
        <v>0.2113025806193892</v>
      </c>
      <c r="J2171" t="n">
        <v>0.2264383336548284</v>
      </c>
      <c r="K2171" t="n">
        <v>0.3636098881595205</v>
      </c>
      <c r="L2171" t="b">
        <v>0</v>
      </c>
      <c r="M2171" t="b">
        <v>0</v>
      </c>
      <c r="N2171" t="inlineStr">
        <is>
          <t>alt</t>
        </is>
      </c>
      <c r="O2171" t="n">
        <v>15</v>
      </c>
      <c r="P2171" t="n">
        <v>0.001743</v>
      </c>
      <c r="Q2171" t="n">
        <v>-35</v>
      </c>
      <c r="R2171" t="n">
        <v>0.0426</v>
      </c>
      <c r="S2171">
        <f>IMAGE("https://mitra.stanford.edu/kundaje/oak/projects/neuro-variants/variant_position/credible/roussos_2024/variant_figures/roussos_2024.adolescence.GLU/rs62151652_count_position.png",4,220,900)</f>
        <v/>
      </c>
      <c r="T2171">
        <f>IMAGE("https://mitra.stanford.edu/kundaje/oak/projects/neuro-variants/variant_position/credible/roussos_2024/variant_figures/roussos_2024.adolescence.GLU/rs62151652_profile_position.png",4,220,900)</f>
        <v/>
      </c>
    </row>
    <row r="2172">
      <c r="A2172" t="inlineStr">
        <is>
          <t>chr2</t>
        </is>
      </c>
      <c r="B2172" t="n">
        <v>73485902</v>
      </c>
      <c r="C2172" t="inlineStr">
        <is>
          <t>A</t>
        </is>
      </c>
      <c r="D2172" t="inlineStr">
        <is>
          <t>G</t>
        </is>
      </c>
      <c r="E2172" t="inlineStr">
        <is>
          <t>rs10195357</t>
        </is>
      </c>
      <c r="F2172" t="n">
        <v>0.0325755398</v>
      </c>
      <c r="G2172" t="n">
        <v>0.1477007469689636</v>
      </c>
      <c r="H2172" t="n">
        <v>0.009997838315327899</v>
      </c>
      <c r="I2172" t="n">
        <v>0.5202957990522814</v>
      </c>
      <c r="J2172" t="n">
        <v>0.5759192975687821</v>
      </c>
      <c r="K2172" t="n">
        <v>0.046946851124856</v>
      </c>
      <c r="L2172" t="b">
        <v>0</v>
      </c>
      <c r="M2172" t="b">
        <v>0</v>
      </c>
      <c r="N2172" t="inlineStr">
        <is>
          <t>alt</t>
        </is>
      </c>
      <c r="O2172" t="n">
        <v>100</v>
      </c>
      <c r="P2172" t="n">
        <v>0.006516</v>
      </c>
      <c r="Q2172" t="n">
        <v>-70</v>
      </c>
      <c r="R2172" t="n">
        <v>0.0654</v>
      </c>
      <c r="S2172">
        <f>IMAGE("https://mitra.stanford.edu/kundaje/oak/projects/neuro-variants/variant_position/credible/roussos_2024/variant_figures/roussos_2024.adolescence.GLU/rs10195357_count_position.png",4,220,900)</f>
        <v/>
      </c>
      <c r="T2172">
        <f>IMAGE("https://mitra.stanford.edu/kundaje/oak/projects/neuro-variants/variant_position/credible/roussos_2024/variant_figures/roussos_2024.adolescence.GLU/rs10195357_profile_position.png",4,220,900)</f>
        <v/>
      </c>
    </row>
    <row r="2173">
      <c r="A2173" t="inlineStr">
        <is>
          <t>chr2</t>
        </is>
      </c>
      <c r="B2173" t="n">
        <v>73492748</v>
      </c>
      <c r="C2173" t="inlineStr">
        <is>
          <t>A</t>
        </is>
      </c>
      <c r="D2173" t="inlineStr">
        <is>
          <t>C</t>
        </is>
      </c>
      <c r="E2173" t="inlineStr">
        <is>
          <t>rs13421462</t>
        </is>
      </c>
      <c r="F2173" t="n">
        <v>-0.0039853784599999</v>
      </c>
      <c r="G2173" t="n">
        <v>0.7828115118284301</v>
      </c>
      <c r="H2173" t="n">
        <v>0.0268223255732431</v>
      </c>
      <c r="I2173" t="n">
        <v>0.0148836283236921</v>
      </c>
      <c r="J2173" t="n">
        <v>0.0231948046381035</v>
      </c>
      <c r="K2173" t="n">
        <v>0.8029859334676048</v>
      </c>
      <c r="L2173" t="b">
        <v>1</v>
      </c>
      <c r="M2173" t="b">
        <v>0</v>
      </c>
      <c r="N2173" t="inlineStr">
        <is>
          <t>ref</t>
        </is>
      </c>
      <c r="O2173" t="n">
        <v>100</v>
      </c>
      <c r="P2173" t="n">
        <v>0.0446</v>
      </c>
      <c r="Q2173" t="n">
        <v>100</v>
      </c>
      <c r="R2173" t="n">
        <v>0.03012</v>
      </c>
      <c r="S2173">
        <f>IMAGE("https://mitra.stanford.edu/kundaje/oak/projects/neuro-variants/variant_position/credible/roussos_2024/variant_figures/roussos_2024.adolescence.GLU/rs13421462_count_position.png",4,220,900)</f>
        <v/>
      </c>
      <c r="T2173">
        <f>IMAGE("https://mitra.stanford.edu/kundaje/oak/projects/neuro-variants/variant_position/credible/roussos_2024/variant_figures/roussos_2024.adolescence.GLU/rs13421462_profile_position.png",4,220,900)</f>
        <v/>
      </c>
    </row>
    <row r="2174">
      <c r="A2174" t="inlineStr">
        <is>
          <t>chr2</t>
        </is>
      </c>
      <c r="B2174" t="n">
        <v>73493131</v>
      </c>
      <c r="C2174" t="inlineStr">
        <is>
          <t>C</t>
        </is>
      </c>
      <c r="D2174" t="inlineStr">
        <is>
          <t>A</t>
        </is>
      </c>
      <c r="E2174" t="inlineStr">
        <is>
          <t>rs13398956</t>
        </is>
      </c>
      <c r="F2174" t="n">
        <v>0.006639252912</v>
      </c>
      <c r="G2174" t="n">
        <v>0.6340033215302822</v>
      </c>
      <c r="H2174" t="n">
        <v>0.0179295854343403</v>
      </c>
      <c r="I2174" t="n">
        <v>0.0883850846568089</v>
      </c>
      <c r="J2174" t="n">
        <v>0.008193125718898801</v>
      </c>
      <c r="K2174" t="n">
        <v>0.8936887731016675</v>
      </c>
      <c r="L2174" t="b">
        <v>0</v>
      </c>
      <c r="M2174" t="b">
        <v>0</v>
      </c>
      <c r="N2174" t="inlineStr">
        <is>
          <t>alt</t>
        </is>
      </c>
      <c r="O2174" t="n">
        <v>-100</v>
      </c>
      <c r="P2174" t="n">
        <v>0.0694</v>
      </c>
      <c r="Q2174" t="n">
        <v>100</v>
      </c>
      <c r="R2174" t="n">
        <v>0.07153</v>
      </c>
      <c r="S2174">
        <f>IMAGE("https://mitra.stanford.edu/kundaje/oak/projects/neuro-variants/variant_position/credible/roussos_2024/variant_figures/roussos_2024.adolescence.GLU/rs13398956_count_position.png",4,220,900)</f>
        <v/>
      </c>
      <c r="T2174">
        <f>IMAGE("https://mitra.stanford.edu/kundaje/oak/projects/neuro-variants/variant_position/credible/roussos_2024/variant_figures/roussos_2024.adolescence.GLU/rs13398956_profile_position.png",4,220,900)</f>
        <v/>
      </c>
    </row>
    <row r="2175">
      <c r="A2175" t="inlineStr">
        <is>
          <t>chr2</t>
        </is>
      </c>
      <c r="B2175" t="n">
        <v>73494123</v>
      </c>
      <c r="C2175" t="inlineStr">
        <is>
          <t>A</t>
        </is>
      </c>
      <c r="D2175" t="inlineStr">
        <is>
          <t>C</t>
        </is>
      </c>
      <c r="E2175" t="inlineStr">
        <is>
          <t>rs73947808</t>
        </is>
      </c>
      <c r="F2175" t="n">
        <v>0.08410369600000001</v>
      </c>
      <c r="G2175" t="n">
        <v>0.01288973630518</v>
      </c>
      <c r="H2175" t="n">
        <v>0.0156302688421462</v>
      </c>
      <c r="I2175" t="n">
        <v>0.1471896518903428</v>
      </c>
      <c r="J2175" t="n">
        <v>0.1139893263604603</v>
      </c>
      <c r="K2175" t="n">
        <v>0.5410650495790449</v>
      </c>
      <c r="L2175" t="b">
        <v>1</v>
      </c>
      <c r="M2175" t="b">
        <v>0</v>
      </c>
      <c r="N2175" t="inlineStr">
        <is>
          <t>alt</t>
        </is>
      </c>
      <c r="O2175" t="n">
        <v>100</v>
      </c>
      <c r="P2175" t="n">
        <v>0.005096</v>
      </c>
      <c r="Q2175" t="n">
        <v>30</v>
      </c>
      <c r="R2175" t="n">
        <v>0.03125</v>
      </c>
      <c r="S2175">
        <f>IMAGE("https://mitra.stanford.edu/kundaje/oak/projects/neuro-variants/variant_position/credible/roussos_2024/variant_figures/roussos_2024.adolescence.GLU/rs73947808_count_position.png",4,220,900)</f>
        <v/>
      </c>
      <c r="T2175">
        <f>IMAGE("https://mitra.stanford.edu/kundaje/oak/projects/neuro-variants/variant_position/credible/roussos_2024/variant_figures/roussos_2024.adolescence.GLU/rs73947808_profile_position.png",4,220,900)</f>
        <v/>
      </c>
    </row>
    <row r="2176">
      <c r="A2176" t="inlineStr">
        <is>
          <t>chr2</t>
        </is>
      </c>
      <c r="B2176" t="n">
        <v>73506740</v>
      </c>
      <c r="C2176" t="inlineStr">
        <is>
          <t>C</t>
        </is>
      </c>
      <c r="D2176" t="inlineStr">
        <is>
          <t>T</t>
        </is>
      </c>
      <c r="E2176" t="inlineStr">
        <is>
          <t>rs11693586</t>
        </is>
      </c>
      <c r="F2176" t="n">
        <v>-0.0017291035599999</v>
      </c>
      <c r="G2176" t="n">
        <v>0.702383464528853</v>
      </c>
      <c r="H2176" t="n">
        <v>0.0150996326954403</v>
      </c>
      <c r="I2176" t="n">
        <v>0.1580340459787619</v>
      </c>
      <c r="J2176" t="n">
        <v>0.0376620871466231</v>
      </c>
      <c r="K2176" t="n">
        <v>0.7455610096371027</v>
      </c>
      <c r="L2176" t="b">
        <v>0</v>
      </c>
      <c r="M2176" t="b">
        <v>0</v>
      </c>
      <c r="N2176" t="inlineStr">
        <is>
          <t>ref</t>
        </is>
      </c>
      <c r="O2176" t="n">
        <v>65</v>
      </c>
      <c r="P2176" t="n">
        <v>0.00082</v>
      </c>
      <c r="Q2176" t="n">
        <v>55</v>
      </c>
      <c r="R2176" t="n">
        <v>0.0256</v>
      </c>
      <c r="S2176">
        <f>IMAGE("https://mitra.stanford.edu/kundaje/oak/projects/neuro-variants/variant_position/credible/roussos_2024/variant_figures/roussos_2024.adolescence.GLU/rs11693586_count_position.png",4,220,900)</f>
        <v/>
      </c>
      <c r="T2176">
        <f>IMAGE("https://mitra.stanford.edu/kundaje/oak/projects/neuro-variants/variant_position/credible/roussos_2024/variant_figures/roussos_2024.adolescence.GLU/rs11693586_profile_position.png",4,220,900)</f>
        <v/>
      </c>
    </row>
    <row r="2177">
      <c r="A2177" t="inlineStr">
        <is>
          <t>chr2</t>
        </is>
      </c>
      <c r="B2177" t="n">
        <v>73506748</v>
      </c>
      <c r="C2177" t="inlineStr">
        <is>
          <t>C</t>
        </is>
      </c>
      <c r="D2177" t="inlineStr">
        <is>
          <t>T</t>
        </is>
      </c>
      <c r="E2177" t="inlineStr">
        <is>
          <t>rs11693588</t>
        </is>
      </c>
      <c r="F2177" t="n">
        <v>-0.008676329700000001</v>
      </c>
      <c r="G2177" t="n">
        <v>0.5781274003489688</v>
      </c>
      <c r="H2177" t="n">
        <v>0.0101839895189778</v>
      </c>
      <c r="I2177" t="n">
        <v>0.5108385840448532</v>
      </c>
      <c r="J2177" t="n">
        <v>0.0374906230576333</v>
      </c>
      <c r="K2177" t="n">
        <v>0.7465353481362561</v>
      </c>
      <c r="L2177" t="b">
        <v>0</v>
      </c>
      <c r="M2177" t="b">
        <v>0</v>
      </c>
      <c r="N2177" t="inlineStr">
        <is>
          <t>ref</t>
        </is>
      </c>
      <c r="O2177" t="n">
        <v>60</v>
      </c>
      <c r="P2177" t="n">
        <v>0.001324</v>
      </c>
      <c r="Q2177" t="n">
        <v>45</v>
      </c>
      <c r="R2177" t="n">
        <v>0.01465</v>
      </c>
      <c r="S2177">
        <f>IMAGE("https://mitra.stanford.edu/kundaje/oak/projects/neuro-variants/variant_position/credible/roussos_2024/variant_figures/roussos_2024.adolescence.GLU/rs11693588_count_position.png",4,220,900)</f>
        <v/>
      </c>
      <c r="T2177">
        <f>IMAGE("https://mitra.stanford.edu/kundaje/oak/projects/neuro-variants/variant_position/credible/roussos_2024/variant_figures/roussos_2024.adolescence.GLU/rs11693588_profile_position.png",4,220,900)</f>
        <v/>
      </c>
    </row>
    <row r="2178">
      <c r="A2178" t="inlineStr">
        <is>
          <t>chr2</t>
        </is>
      </c>
      <c r="B2178" t="n">
        <v>73519516</v>
      </c>
      <c r="C2178" t="inlineStr">
        <is>
          <t>T</t>
        </is>
      </c>
      <c r="D2178" t="inlineStr">
        <is>
          <t>C</t>
        </is>
      </c>
      <c r="E2178" t="inlineStr">
        <is>
          <t>rs6711033</t>
        </is>
      </c>
      <c r="F2178" t="n">
        <v>0.00746801262</v>
      </c>
      <c r="G2178" t="n">
        <v>0.6236498913152598</v>
      </c>
      <c r="H2178" t="n">
        <v>0.0190499418406987</v>
      </c>
      <c r="I2178" t="n">
        <v>0.0658289788107056</v>
      </c>
      <c r="J2178" t="n">
        <v>0.0344271313343477</v>
      </c>
      <c r="K2178" t="n">
        <v>0.7542253141655167</v>
      </c>
      <c r="L2178" t="b">
        <v>0</v>
      </c>
      <c r="M2178" t="b">
        <v>0</v>
      </c>
      <c r="N2178" t="inlineStr">
        <is>
          <t>alt</t>
        </is>
      </c>
      <c r="O2178" t="n">
        <v>0</v>
      </c>
      <c r="P2178" t="n">
        <v>0</v>
      </c>
      <c r="Q2178" t="n">
        <v>-20</v>
      </c>
      <c r="R2178" t="n">
        <v>0.006973</v>
      </c>
      <c r="S2178">
        <f>IMAGE("https://mitra.stanford.edu/kundaje/oak/projects/neuro-variants/variant_position/credible/roussos_2024/variant_figures/roussos_2024.adolescence.GLU/rs6711033_count_position.png",4,220,900)</f>
        <v/>
      </c>
      <c r="T2178">
        <f>IMAGE("https://mitra.stanford.edu/kundaje/oak/projects/neuro-variants/variant_position/credible/roussos_2024/variant_figures/roussos_2024.adolescence.GLU/rs6711033_profile_position.png",4,220,900)</f>
        <v/>
      </c>
    </row>
    <row r="2179">
      <c r="A2179" t="inlineStr">
        <is>
          <t>chr2</t>
        </is>
      </c>
      <c r="B2179" t="n">
        <v>73519796</v>
      </c>
      <c r="C2179" t="inlineStr">
        <is>
          <t>C</t>
        </is>
      </c>
      <c r="D2179" t="inlineStr">
        <is>
          <t>T</t>
        </is>
      </c>
      <c r="E2179" t="inlineStr">
        <is>
          <t>rs11884776</t>
        </is>
      </c>
      <c r="F2179" t="n">
        <v>0.0380678412</v>
      </c>
      <c r="G2179" t="n">
        <v>0.109663172753272</v>
      </c>
      <c r="H2179" t="n">
        <v>0.0212671523763814</v>
      </c>
      <c r="I2179" t="n">
        <v>0.0476684759635146</v>
      </c>
      <c r="J2179" t="n">
        <v>0.0327725028755956</v>
      </c>
      <c r="K2179" t="n">
        <v>0.7597077456173351</v>
      </c>
      <c r="L2179" t="b">
        <v>0</v>
      </c>
      <c r="M2179" t="b">
        <v>0</v>
      </c>
      <c r="N2179" t="inlineStr">
        <is>
          <t>alt</t>
        </is>
      </c>
      <c r="O2179" t="n">
        <v>30</v>
      </c>
      <c r="P2179" t="n">
        <v>0.001301</v>
      </c>
      <c r="Q2179" t="n">
        <v>85</v>
      </c>
      <c r="R2179" t="n">
        <v>0.11237</v>
      </c>
      <c r="S2179">
        <f>IMAGE("https://mitra.stanford.edu/kundaje/oak/projects/neuro-variants/variant_position/credible/roussos_2024/variant_figures/roussos_2024.adolescence.GLU/rs11884776_count_position.png",4,220,900)</f>
        <v/>
      </c>
      <c r="T2179">
        <f>IMAGE("https://mitra.stanford.edu/kundaje/oak/projects/neuro-variants/variant_position/credible/roussos_2024/variant_figures/roussos_2024.adolescence.GLU/rs11884776_profile_position.png",4,220,900)</f>
        <v/>
      </c>
    </row>
    <row r="2180">
      <c r="A2180" t="inlineStr">
        <is>
          <t>chr2</t>
        </is>
      </c>
      <c r="B2180" t="n">
        <v>73521927</v>
      </c>
      <c r="C2180" t="inlineStr">
        <is>
          <t>T</t>
        </is>
      </c>
      <c r="D2180" t="inlineStr">
        <is>
          <t>G</t>
        </is>
      </c>
      <c r="E2180" t="inlineStr">
        <is>
          <t>rs6719753</t>
        </is>
      </c>
      <c r="F2180" t="n">
        <v>-0.0029853399</v>
      </c>
      <c r="G2180" t="n">
        <v>0.7722869092572729</v>
      </c>
      <c r="H2180" t="n">
        <v>0.0249544671084552</v>
      </c>
      <c r="I2180" t="n">
        <v>0.0233156501041335</v>
      </c>
      <c r="J2180" t="n">
        <v>0.1802201884676111</v>
      </c>
      <c r="K2180" t="n">
        <v>0.4347688784605569</v>
      </c>
      <c r="L2180" t="b">
        <v>0</v>
      </c>
      <c r="M2180" t="b">
        <v>0</v>
      </c>
      <c r="N2180" t="inlineStr">
        <is>
          <t>ref</t>
        </is>
      </c>
      <c r="O2180" t="n">
        <v>-70</v>
      </c>
      <c r="P2180" t="n">
        <v>0.01944</v>
      </c>
      <c r="Q2180" t="n">
        <v>90</v>
      </c>
      <c r="R2180" t="n">
        <v>0.0596</v>
      </c>
      <c r="S2180">
        <f>IMAGE("https://mitra.stanford.edu/kundaje/oak/projects/neuro-variants/variant_position/credible/roussos_2024/variant_figures/roussos_2024.adolescence.GLU/rs6719753_count_position.png",4,220,900)</f>
        <v/>
      </c>
      <c r="T2180">
        <f>IMAGE("https://mitra.stanford.edu/kundaje/oak/projects/neuro-variants/variant_position/credible/roussos_2024/variant_figures/roussos_2024.adolescence.GLU/rs6719753_profile_position.png",4,220,900)</f>
        <v/>
      </c>
    </row>
    <row r="2181">
      <c r="A2181" t="inlineStr">
        <is>
          <t>chr2</t>
        </is>
      </c>
      <c r="B2181" t="n">
        <v>73526060</v>
      </c>
      <c r="C2181" t="inlineStr">
        <is>
          <t>C</t>
        </is>
      </c>
      <c r="D2181" t="inlineStr">
        <is>
          <t>T</t>
        </is>
      </c>
      <c r="E2181" t="inlineStr">
        <is>
          <t>rs13409668</t>
        </is>
      </c>
      <c r="F2181" t="n">
        <v>-0.01253570344</v>
      </c>
      <c r="G2181" t="n">
        <v>0.4708747064747408</v>
      </c>
      <c r="H2181" t="n">
        <v>0.0102375631392159</v>
      </c>
      <c r="I2181" t="n">
        <v>0.5005575001913839</v>
      </c>
      <c r="J2181" t="n">
        <v>0.0096077044530652</v>
      </c>
      <c r="K2181" t="n">
        <v>0.8788485258944251</v>
      </c>
      <c r="L2181" t="b">
        <v>0</v>
      </c>
      <c r="M2181" t="b">
        <v>0</v>
      </c>
      <c r="N2181" t="inlineStr">
        <is>
          <t>ref</t>
        </is>
      </c>
      <c r="O2181" t="n">
        <v>-100</v>
      </c>
      <c r="P2181" t="n">
        <v>0.002052</v>
      </c>
      <c r="Q2181" t="n">
        <v>60</v>
      </c>
      <c r="R2181" t="n">
        <v>0.03693</v>
      </c>
      <c r="S2181">
        <f>IMAGE("https://mitra.stanford.edu/kundaje/oak/projects/neuro-variants/variant_position/credible/roussos_2024/variant_figures/roussos_2024.adolescence.GLU/rs13409668_count_position.png",4,220,900)</f>
        <v/>
      </c>
      <c r="T2181">
        <f>IMAGE("https://mitra.stanford.edu/kundaje/oak/projects/neuro-variants/variant_position/credible/roussos_2024/variant_figures/roussos_2024.adolescence.GLU/rs13409668_profile_position.png",4,220,900)</f>
        <v/>
      </c>
    </row>
    <row r="2182">
      <c r="A2182" t="inlineStr">
        <is>
          <t>chr2</t>
        </is>
      </c>
      <c r="B2182" t="n">
        <v>73529690</v>
      </c>
      <c r="C2182" t="inlineStr">
        <is>
          <t>G</t>
        </is>
      </c>
      <c r="D2182" t="inlineStr">
        <is>
          <t>T</t>
        </is>
      </c>
      <c r="E2182" t="inlineStr">
        <is>
          <t>rs7566385</t>
        </is>
      </c>
      <c r="F2182" t="n">
        <v>-0.0502110928</v>
      </c>
      <c r="G2182" t="n">
        <v>0.06730811638899881</v>
      </c>
      <c r="H2182" t="n">
        <v>0.0151269420764924</v>
      </c>
      <c r="I2182" t="n">
        <v>0.1734809151017305</v>
      </c>
      <c r="J2182" t="n">
        <v>0.2903244243450428</v>
      </c>
      <c r="K2182" t="n">
        <v>0.2825789229960205</v>
      </c>
      <c r="L2182" t="b">
        <v>0</v>
      </c>
      <c r="M2182" t="b">
        <v>0</v>
      </c>
      <c r="N2182" t="inlineStr">
        <is>
          <t>ref</t>
        </is>
      </c>
      <c r="O2182" t="n">
        <v>-20</v>
      </c>
      <c r="P2182" t="n">
        <v>0.001465</v>
      </c>
      <c r="Q2182" t="n">
        <v>60</v>
      </c>
      <c r="R2182" t="n">
        <v>0.03027</v>
      </c>
      <c r="S2182">
        <f>IMAGE("https://mitra.stanford.edu/kundaje/oak/projects/neuro-variants/variant_position/credible/roussos_2024/variant_figures/roussos_2024.adolescence.GLU/rs7566385_count_position.png",4,220,900)</f>
        <v/>
      </c>
      <c r="T2182">
        <f>IMAGE("https://mitra.stanford.edu/kundaje/oak/projects/neuro-variants/variant_position/credible/roussos_2024/variant_figures/roussos_2024.adolescence.GLU/rs7566385_profile_position.png",4,220,900)</f>
        <v/>
      </c>
    </row>
    <row r="2183">
      <c r="A2183" t="inlineStr">
        <is>
          <t>chr2</t>
        </is>
      </c>
      <c r="B2183" t="n">
        <v>73555073</v>
      </c>
      <c r="C2183" t="inlineStr">
        <is>
          <t>A</t>
        </is>
      </c>
      <c r="D2183" t="inlineStr">
        <is>
          <t>G</t>
        </is>
      </c>
      <c r="E2183" t="inlineStr">
        <is>
          <t>rs13431267</t>
        </is>
      </c>
      <c r="F2183" t="n">
        <v>0.0054859855179999</v>
      </c>
      <c r="G2183" t="n">
        <v>0.673361440204352</v>
      </c>
      <c r="H2183" t="n">
        <v>0.0168117198970804</v>
      </c>
      <c r="I2183" t="n">
        <v>0.1064385199770364</v>
      </c>
      <c r="J2183" t="n">
        <v>0.0172521450871965</v>
      </c>
      <c r="K2183" t="n">
        <v>0.831273380008223</v>
      </c>
      <c r="L2183" t="b">
        <v>0</v>
      </c>
      <c r="M2183" t="b">
        <v>0</v>
      </c>
      <c r="N2183" t="inlineStr">
        <is>
          <t>alt</t>
        </is>
      </c>
      <c r="O2183" t="n">
        <v>-40</v>
      </c>
      <c r="P2183" t="n">
        <v>0.002327</v>
      </c>
      <c r="Q2183" t="n">
        <v>-35</v>
      </c>
      <c r="R2183" t="n">
        <v>0.00827</v>
      </c>
      <c r="S2183">
        <f>IMAGE("https://mitra.stanford.edu/kundaje/oak/projects/neuro-variants/variant_position/credible/roussos_2024/variant_figures/roussos_2024.adolescence.GLU/rs13431267_count_position.png",4,220,900)</f>
        <v/>
      </c>
      <c r="T2183">
        <f>IMAGE("https://mitra.stanford.edu/kundaje/oak/projects/neuro-variants/variant_position/credible/roussos_2024/variant_figures/roussos_2024.adolescence.GLU/rs13431267_profile_position.png",4,220,900)</f>
        <v/>
      </c>
    </row>
    <row r="2184">
      <c r="A2184" t="inlineStr">
        <is>
          <t>chr2</t>
        </is>
      </c>
      <c r="B2184" t="n">
        <v>73560899</v>
      </c>
      <c r="C2184" t="inlineStr">
        <is>
          <t>G</t>
        </is>
      </c>
      <c r="D2184" t="inlineStr">
        <is>
          <t>A</t>
        </is>
      </c>
      <c r="E2184" t="inlineStr">
        <is>
          <t>rs7604682</t>
        </is>
      </c>
      <c r="F2184" t="n">
        <v>-0.0041451180599999</v>
      </c>
      <c r="G2184" t="n">
        <v>0.7309548830966822</v>
      </c>
      <c r="H2184" t="n">
        <v>0.0152055801887321</v>
      </c>
      <c r="I2184" t="n">
        <v>0.1485480974055329</v>
      </c>
      <c r="J2184" t="n">
        <v>0.1716141200677282</v>
      </c>
      <c r="K2184" t="n">
        <v>0.4424161309316884</v>
      </c>
      <c r="L2184" t="b">
        <v>0</v>
      </c>
      <c r="M2184" t="b">
        <v>0</v>
      </c>
      <c r="N2184" t="inlineStr">
        <is>
          <t>ref</t>
        </is>
      </c>
      <c r="O2184" t="n">
        <v>-80</v>
      </c>
      <c r="P2184" t="n">
        <v>0.002949</v>
      </c>
      <c r="Q2184" t="n">
        <v>90</v>
      </c>
      <c r="R2184" t="n">
        <v>0.1843</v>
      </c>
      <c r="S2184">
        <f>IMAGE("https://mitra.stanford.edu/kundaje/oak/projects/neuro-variants/variant_position/credible/roussos_2024/variant_figures/roussos_2024.adolescence.GLU/rs7604682_count_position.png",4,220,900)</f>
        <v/>
      </c>
      <c r="T2184">
        <f>IMAGE("https://mitra.stanford.edu/kundaje/oak/projects/neuro-variants/variant_position/credible/roussos_2024/variant_figures/roussos_2024.adolescence.GLU/rs7604682_profile_position.png",4,220,900)</f>
        <v/>
      </c>
    </row>
    <row r="2185">
      <c r="A2185" t="inlineStr">
        <is>
          <t>chr2</t>
        </is>
      </c>
      <c r="B2185" t="n">
        <v>73560999</v>
      </c>
      <c r="C2185" t="inlineStr">
        <is>
          <t>A</t>
        </is>
      </c>
      <c r="D2185" t="inlineStr">
        <is>
          <t>G</t>
        </is>
      </c>
      <c r="E2185" t="inlineStr">
        <is>
          <t>rs7580750</t>
        </is>
      </c>
      <c r="F2185" t="n">
        <v>0.064615198</v>
      </c>
      <c r="G2185" t="n">
        <v>0.0419129318573415</v>
      </c>
      <c r="H2185" t="n">
        <v>0.0188802899659344</v>
      </c>
      <c r="I2185" t="n">
        <v>0.0824095197144627</v>
      </c>
      <c r="J2185" t="n">
        <v>0.2153146008816111</v>
      </c>
      <c r="K2185" t="n">
        <v>0.3734790957882904</v>
      </c>
      <c r="L2185" t="b">
        <v>0</v>
      </c>
      <c r="M2185" t="b">
        <v>0</v>
      </c>
      <c r="N2185" t="inlineStr">
        <is>
          <t>alt</t>
        </is>
      </c>
      <c r="O2185" t="n">
        <v>-100</v>
      </c>
      <c r="P2185" t="n">
        <v>0.00438</v>
      </c>
      <c r="Q2185" t="n">
        <v>65</v>
      </c>
      <c r="R2185" t="n">
        <v>0.02661</v>
      </c>
      <c r="S2185">
        <f>IMAGE("https://mitra.stanford.edu/kundaje/oak/projects/neuro-variants/variant_position/credible/roussos_2024/variant_figures/roussos_2024.adolescence.GLU/rs7580750_count_position.png",4,220,900)</f>
        <v/>
      </c>
      <c r="T2185">
        <f>IMAGE("https://mitra.stanford.edu/kundaje/oak/projects/neuro-variants/variant_position/credible/roussos_2024/variant_figures/roussos_2024.adolescence.GLU/rs7580750_profile_position.png",4,220,900)</f>
        <v/>
      </c>
    </row>
    <row r="2186">
      <c r="A2186" t="inlineStr">
        <is>
          <t>chr2</t>
        </is>
      </c>
      <c r="B2186" t="n">
        <v>73562931</v>
      </c>
      <c r="C2186" t="inlineStr">
        <is>
          <t>A</t>
        </is>
      </c>
      <c r="D2186" t="inlineStr">
        <is>
          <t>G</t>
        </is>
      </c>
      <c r="E2186" t="inlineStr">
        <is>
          <t>rs6735946</t>
        </is>
      </c>
      <c r="F2186" t="n">
        <v>-0.00227667686</v>
      </c>
      <c r="G2186" t="n">
        <v>0.8146435247445102</v>
      </c>
      <c r="H2186" t="n">
        <v>0.0181824869513053</v>
      </c>
      <c r="I2186" t="n">
        <v>0.0790691049963469</v>
      </c>
      <c r="J2186" t="n">
        <v>0.0146158847189774</v>
      </c>
      <c r="K2186" t="n">
        <v>0.8440293028199745</v>
      </c>
      <c r="L2186" t="b">
        <v>0</v>
      </c>
      <c r="M2186" t="b">
        <v>0</v>
      </c>
      <c r="N2186" t="inlineStr">
        <is>
          <t>ref</t>
        </is>
      </c>
      <c r="O2186" t="n">
        <v>75</v>
      </c>
      <c r="P2186" t="n">
        <v>0.01987</v>
      </c>
      <c r="Q2186" t="n">
        <v>-60</v>
      </c>
      <c r="R2186" t="n">
        <v>0.0206</v>
      </c>
      <c r="S2186">
        <f>IMAGE("https://mitra.stanford.edu/kundaje/oak/projects/neuro-variants/variant_position/credible/roussos_2024/variant_figures/roussos_2024.adolescence.GLU/rs6735946_count_position.png",4,220,900)</f>
        <v/>
      </c>
      <c r="T2186">
        <f>IMAGE("https://mitra.stanford.edu/kundaje/oak/projects/neuro-variants/variant_position/credible/roussos_2024/variant_figures/roussos_2024.adolescence.GLU/rs6735946_profile_position.png",4,220,900)</f>
        <v/>
      </c>
    </row>
    <row r="2187">
      <c r="A2187" t="inlineStr">
        <is>
          <t>chr2</t>
        </is>
      </c>
      <c r="B2187" t="n">
        <v>73570496</v>
      </c>
      <c r="C2187" t="inlineStr">
        <is>
          <t>T</t>
        </is>
      </c>
      <c r="D2187" t="inlineStr">
        <is>
          <t>A</t>
        </is>
      </c>
      <c r="E2187" t="inlineStr">
        <is>
          <t>rs10197755</t>
        </is>
      </c>
      <c r="F2187" t="n">
        <v>-0.001139080152</v>
      </c>
      <c r="G2187" t="n">
        <v>0.8574199269611611</v>
      </c>
      <c r="H2187" t="n">
        <v>0.0072233194460895</v>
      </c>
      <c r="I2187" t="n">
        <v>0.8920390792574674</v>
      </c>
      <c r="J2187" t="n">
        <v>0.0955540790592336</v>
      </c>
      <c r="K2187" t="n">
        <v>0.584851181261299</v>
      </c>
      <c r="L2187" t="b">
        <v>0</v>
      </c>
      <c r="M2187" t="b">
        <v>0</v>
      </c>
      <c r="N2187" t="inlineStr">
        <is>
          <t>ref</t>
        </is>
      </c>
      <c r="O2187" t="n">
        <v>-95</v>
      </c>
      <c r="P2187" t="n">
        <v>0.01253</v>
      </c>
      <c r="Q2187" t="n">
        <v>100</v>
      </c>
      <c r="R2187" t="n">
        <v>0.0751</v>
      </c>
      <c r="S2187">
        <f>IMAGE("https://mitra.stanford.edu/kundaje/oak/projects/neuro-variants/variant_position/credible/roussos_2024/variant_figures/roussos_2024.adolescence.GLU/rs10197755_count_position.png",4,220,900)</f>
        <v/>
      </c>
      <c r="T2187">
        <f>IMAGE("https://mitra.stanford.edu/kundaje/oak/projects/neuro-variants/variant_position/credible/roussos_2024/variant_figures/roussos_2024.adolescence.GLU/rs10197755_profile_position.png",4,220,900)</f>
        <v/>
      </c>
    </row>
    <row r="2188">
      <c r="A2188" t="inlineStr">
        <is>
          <t>chr2</t>
        </is>
      </c>
      <c r="B2188" t="n">
        <v>73570869</v>
      </c>
      <c r="C2188" t="inlineStr">
        <is>
          <t>T</t>
        </is>
      </c>
      <c r="D2188" t="inlineStr">
        <is>
          <t>G</t>
        </is>
      </c>
      <c r="E2188" t="inlineStr">
        <is>
          <t>rs7583255</t>
        </is>
      </c>
      <c r="F2188" t="n">
        <v>0.008547652540000001</v>
      </c>
      <c r="G2188" t="n">
        <v>0.5407438857956282</v>
      </c>
      <c r="H2188" t="n">
        <v>0.0083249072244867</v>
      </c>
      <c r="I2188" t="n">
        <v>0.7435593181720807</v>
      </c>
      <c r="J2188" t="n">
        <v>0.123449857470476</v>
      </c>
      <c r="K2188" t="n">
        <v>0.5273078137544014</v>
      </c>
      <c r="L2188" t="b">
        <v>0</v>
      </c>
      <c r="M2188" t="b">
        <v>0</v>
      </c>
      <c r="N2188" t="inlineStr">
        <is>
          <t>alt</t>
        </is>
      </c>
      <c r="O2188" t="n">
        <v>85</v>
      </c>
      <c r="P2188" t="n">
        <v>0.00958</v>
      </c>
      <c r="Q2188" t="n">
        <v>-30</v>
      </c>
      <c r="R2188" t="n">
        <v>0.03778</v>
      </c>
      <c r="S2188">
        <f>IMAGE("https://mitra.stanford.edu/kundaje/oak/projects/neuro-variants/variant_position/credible/roussos_2024/variant_figures/roussos_2024.adolescence.GLU/rs7583255_count_position.png",4,220,900)</f>
        <v/>
      </c>
      <c r="T2188">
        <f>IMAGE("https://mitra.stanford.edu/kundaje/oak/projects/neuro-variants/variant_position/credible/roussos_2024/variant_figures/roussos_2024.adolescence.GLU/rs7583255_profile_position.png",4,220,900)</f>
        <v/>
      </c>
    </row>
    <row r="2189">
      <c r="A2189" t="inlineStr">
        <is>
          <t>chr2</t>
        </is>
      </c>
      <c r="B2189" t="n">
        <v>73583782</v>
      </c>
      <c r="C2189" t="inlineStr">
        <is>
          <t>T</t>
        </is>
      </c>
      <c r="D2189" t="inlineStr">
        <is>
          <t>G</t>
        </is>
      </c>
      <c r="E2189" t="inlineStr">
        <is>
          <t>rs7558944</t>
        </is>
      </c>
      <c r="F2189" t="n">
        <v>0.00613934674</v>
      </c>
      <c r="G2189" t="n">
        <v>0.4802626184163258</v>
      </c>
      <c r="H2189" t="n">
        <v>0.0206603580370519</v>
      </c>
      <c r="I2189" t="n">
        <v>0.0475918300941404</v>
      </c>
      <c r="J2189" t="n">
        <v>0.0046523922812582</v>
      </c>
      <c r="K2189" t="n">
        <v>0.9209684044783476</v>
      </c>
      <c r="L2189" t="b">
        <v>0</v>
      </c>
      <c r="M2189" t="b">
        <v>0</v>
      </c>
      <c r="N2189" t="inlineStr">
        <is>
          <t>alt</t>
        </is>
      </c>
      <c r="O2189" t="n">
        <v>100</v>
      </c>
      <c r="P2189" t="n">
        <v>0.01103</v>
      </c>
      <c r="Q2189" t="n">
        <v>50</v>
      </c>
      <c r="R2189" t="n">
        <v>0.01654</v>
      </c>
      <c r="S2189">
        <f>IMAGE("https://mitra.stanford.edu/kundaje/oak/projects/neuro-variants/variant_position/credible/roussos_2024/variant_figures/roussos_2024.adolescence.GLU/rs7558944_count_position.png",4,220,900)</f>
        <v/>
      </c>
      <c r="T2189">
        <f>IMAGE("https://mitra.stanford.edu/kundaje/oak/projects/neuro-variants/variant_position/credible/roussos_2024/variant_figures/roussos_2024.adolescence.GLU/rs7558944_profile_position.png",4,220,900)</f>
        <v/>
      </c>
    </row>
    <row r="2190">
      <c r="A2190" t="inlineStr">
        <is>
          <t>chr2</t>
        </is>
      </c>
      <c r="B2190" t="n">
        <v>73588201</v>
      </c>
      <c r="C2190" t="inlineStr">
        <is>
          <t>G</t>
        </is>
      </c>
      <c r="D2190" t="inlineStr">
        <is>
          <t>A</t>
        </is>
      </c>
      <c r="E2190" t="inlineStr">
        <is>
          <t>rs11903916</t>
        </is>
      </c>
      <c r="F2190" t="n">
        <v>-0.01251181974</v>
      </c>
      <c r="G2190" t="n">
        <v>0.4638617557303134</v>
      </c>
      <c r="H2190" t="n">
        <v>0.0086232155974196</v>
      </c>
      <c r="I2190" t="n">
        <v>0.7051666473278646</v>
      </c>
      <c r="J2190" t="n">
        <v>0.0297047245500853</v>
      </c>
      <c r="K2190" t="n">
        <v>0.7719136119166244</v>
      </c>
      <c r="L2190" t="b">
        <v>0</v>
      </c>
      <c r="M2190" t="b">
        <v>0</v>
      </c>
      <c r="N2190" t="inlineStr">
        <is>
          <t>ref</t>
        </is>
      </c>
      <c r="O2190" t="n">
        <v>-25</v>
      </c>
      <c r="P2190" t="n">
        <v>0.002073</v>
      </c>
      <c r="Q2190" t="n">
        <v>80</v>
      </c>
      <c r="R2190" t="n">
        <v>0.06107</v>
      </c>
      <c r="S2190">
        <f>IMAGE("https://mitra.stanford.edu/kundaje/oak/projects/neuro-variants/variant_position/credible/roussos_2024/variant_figures/roussos_2024.adolescence.GLU/rs11903916_count_position.png",4,220,900)</f>
        <v/>
      </c>
      <c r="T2190">
        <f>IMAGE("https://mitra.stanford.edu/kundaje/oak/projects/neuro-variants/variant_position/credible/roussos_2024/variant_figures/roussos_2024.adolescence.GLU/rs11903916_profile_position.png",4,220,900)</f>
        <v/>
      </c>
    </row>
    <row r="2191">
      <c r="A2191" t="inlineStr">
        <is>
          <t>chr2</t>
        </is>
      </c>
      <c r="B2191" t="n">
        <v>73590111</v>
      </c>
      <c r="C2191" t="inlineStr">
        <is>
          <t>G</t>
        </is>
      </c>
      <c r="D2191" t="inlineStr">
        <is>
          <t>A</t>
        </is>
      </c>
      <c r="E2191" t="inlineStr">
        <is>
          <t>rs7603647</t>
        </is>
      </c>
      <c r="F2191" t="n">
        <v>-0.0483872562</v>
      </c>
      <c r="G2191" t="n">
        <v>0.07612783094357679</v>
      </c>
      <c r="H2191" t="n">
        <v>0.0138118536863974</v>
      </c>
      <c r="I2191" t="n">
        <v>0.222683015344045</v>
      </c>
      <c r="J2191" t="n">
        <v>0.0452565174214658</v>
      </c>
      <c r="K2191" t="n">
        <v>0.7139955694384105</v>
      </c>
      <c r="L2191" t="b">
        <v>0</v>
      </c>
      <c r="M2191" t="b">
        <v>0</v>
      </c>
      <c r="N2191" t="inlineStr">
        <is>
          <t>ref</t>
        </is>
      </c>
      <c r="O2191" t="n">
        <v>-60</v>
      </c>
      <c r="P2191" t="n">
        <v>0.0083</v>
      </c>
      <c r="Q2191" t="n">
        <v>-100</v>
      </c>
      <c r="R2191" t="n">
        <v>0.0313</v>
      </c>
      <c r="S2191">
        <f>IMAGE("https://mitra.stanford.edu/kundaje/oak/projects/neuro-variants/variant_position/credible/roussos_2024/variant_figures/roussos_2024.adolescence.GLU/rs7603647_count_position.png",4,220,900)</f>
        <v/>
      </c>
      <c r="T2191">
        <f>IMAGE("https://mitra.stanford.edu/kundaje/oak/projects/neuro-variants/variant_position/credible/roussos_2024/variant_figures/roussos_2024.adolescence.GLU/rs7603647_profile_position.png",4,220,900)</f>
        <v/>
      </c>
    </row>
    <row r="2192">
      <c r="A2192" t="inlineStr">
        <is>
          <t>chr2</t>
        </is>
      </c>
      <c r="B2192" t="n">
        <v>73610624</v>
      </c>
      <c r="C2192" t="inlineStr">
        <is>
          <t>T</t>
        </is>
      </c>
      <c r="D2192" t="inlineStr">
        <is>
          <t>C</t>
        </is>
      </c>
      <c r="E2192" t="inlineStr">
        <is>
          <t>rs6546856</t>
        </is>
      </c>
      <c r="F2192" t="n">
        <v>0.0361891942</v>
      </c>
      <c r="G2192" t="n">
        <v>0.1264968349561521</v>
      </c>
      <c r="H2192" t="n">
        <v>0.009654381303196799</v>
      </c>
      <c r="I2192" t="n">
        <v>0.5885692285084644</v>
      </c>
      <c r="J2192" t="n">
        <v>0.2147087611005136</v>
      </c>
      <c r="K2192" t="n">
        <v>0.3767983695532626</v>
      </c>
      <c r="L2192" t="b">
        <v>0</v>
      </c>
      <c r="M2192" t="b">
        <v>0</v>
      </c>
      <c r="N2192" t="inlineStr">
        <is>
          <t>alt</t>
        </is>
      </c>
      <c r="O2192" t="n">
        <v>-90</v>
      </c>
      <c r="P2192" t="n">
        <v>0.01964</v>
      </c>
      <c r="Q2192" t="n">
        <v>-100</v>
      </c>
      <c r="R2192" t="n">
        <v>0.04904</v>
      </c>
      <c r="S2192">
        <f>IMAGE("https://mitra.stanford.edu/kundaje/oak/projects/neuro-variants/variant_position/credible/roussos_2024/variant_figures/roussos_2024.adolescence.GLU/rs6546856_count_position.png",4,220,900)</f>
        <v/>
      </c>
      <c r="T2192">
        <f>IMAGE("https://mitra.stanford.edu/kundaje/oak/projects/neuro-variants/variant_position/credible/roussos_2024/variant_figures/roussos_2024.adolescence.GLU/rs6546856_profile_position.png",4,220,900)</f>
        <v/>
      </c>
    </row>
    <row r="2193">
      <c r="A2193" t="inlineStr">
        <is>
          <t>chr2</t>
        </is>
      </c>
      <c r="B2193" t="n">
        <v>79206501</v>
      </c>
      <c r="C2193" t="inlineStr">
        <is>
          <t>C</t>
        </is>
      </c>
      <c r="D2193" t="inlineStr">
        <is>
          <t>T</t>
        </is>
      </c>
      <c r="E2193" t="inlineStr">
        <is>
          <t>rs13407231</t>
        </is>
      </c>
      <c r="F2193" t="n">
        <v>-0.00767758856</v>
      </c>
      <c r="G2193" t="n">
        <v>0.6120921383197179</v>
      </c>
      <c r="H2193" t="n">
        <v>0.0052619458117149</v>
      </c>
      <c r="I2193" t="n">
        <v>0.9951173799466408</v>
      </c>
      <c r="J2193" t="n">
        <v>0.054645605161069</v>
      </c>
      <c r="K2193" t="n">
        <v>0.6821407214990034</v>
      </c>
      <c r="L2193" t="b">
        <v>0</v>
      </c>
      <c r="M2193" t="b">
        <v>0</v>
      </c>
      <c r="N2193" t="inlineStr">
        <is>
          <t>ref</t>
        </is>
      </c>
      <c r="O2193" t="n">
        <v>-100</v>
      </c>
      <c r="P2193" t="n">
        <v>0.03137</v>
      </c>
      <c r="Q2193" t="n">
        <v>90</v>
      </c>
      <c r="R2193" t="n">
        <v>0.0599</v>
      </c>
      <c r="S2193">
        <f>IMAGE("https://mitra.stanford.edu/kundaje/oak/projects/neuro-variants/variant_position/credible/roussos_2024/variant_figures/roussos_2024.adolescence.GLU/rs13407231_count_position.png",4,220,900)</f>
        <v/>
      </c>
      <c r="T2193">
        <f>IMAGE("https://mitra.stanford.edu/kundaje/oak/projects/neuro-variants/variant_position/credible/roussos_2024/variant_figures/roussos_2024.adolescence.GLU/rs13407231_profile_position.png",4,220,900)</f>
        <v/>
      </c>
    </row>
    <row r="2194">
      <c r="A2194" t="inlineStr">
        <is>
          <t>chr2</t>
        </is>
      </c>
      <c r="B2194" t="n">
        <v>79206616</v>
      </c>
      <c r="C2194" t="inlineStr">
        <is>
          <t>C</t>
        </is>
      </c>
      <c r="D2194" t="inlineStr">
        <is>
          <t>G</t>
        </is>
      </c>
      <c r="E2194" t="inlineStr">
        <is>
          <t>rs17016552</t>
        </is>
      </c>
      <c r="F2194" t="n">
        <v>0.0710006562</v>
      </c>
      <c r="G2194" t="n">
        <v>0.0321413139713139</v>
      </c>
      <c r="H2194" t="n">
        <v>0.0336192976882084</v>
      </c>
      <c r="I2194" t="n">
        <v>0.008740875316925399</v>
      </c>
      <c r="J2194" t="n">
        <v>0.0701873959605917</v>
      </c>
      <c r="K2194" t="n">
        <v>0.6367218327594099</v>
      </c>
      <c r="L2194" t="b">
        <v>1</v>
      </c>
      <c r="M2194" t="b">
        <v>1</v>
      </c>
      <c r="N2194" t="inlineStr">
        <is>
          <t>alt</t>
        </is>
      </c>
      <c r="O2194" t="n">
        <v>-70</v>
      </c>
      <c r="P2194" t="n">
        <v>0.008370000000000001</v>
      </c>
      <c r="Q2194" t="n">
        <v>80</v>
      </c>
      <c r="R2194" t="n">
        <v>0.02293</v>
      </c>
      <c r="S2194">
        <f>IMAGE("https://mitra.stanford.edu/kundaje/oak/projects/neuro-variants/variant_position/credible/roussos_2024/variant_figures/roussos_2024.adolescence.GLU/rs17016552_count_position.png",4,220,900)</f>
        <v/>
      </c>
      <c r="T2194">
        <f>IMAGE("https://mitra.stanford.edu/kundaje/oak/projects/neuro-variants/variant_position/credible/roussos_2024/variant_figures/roussos_2024.adolescence.GLU/rs17016552_profile_position.png",4,220,900)</f>
        <v/>
      </c>
    </row>
    <row r="2195">
      <c r="A2195" t="inlineStr">
        <is>
          <t>chr2</t>
        </is>
      </c>
      <c r="B2195" t="n">
        <v>79211546</v>
      </c>
      <c r="C2195" t="inlineStr">
        <is>
          <t>G</t>
        </is>
      </c>
      <c r="D2195" t="inlineStr">
        <is>
          <t>A</t>
        </is>
      </c>
      <c r="E2195" t="inlineStr">
        <is>
          <t>rs13406464</t>
        </is>
      </c>
      <c r="F2195" t="n">
        <v>0.0522732903999999</v>
      </c>
      <c r="G2195" t="n">
        <v>0.0588644643095898</v>
      </c>
      <c r="H2195" t="n">
        <v>0.0268444221377804</v>
      </c>
      <c r="I2195" t="n">
        <v>0.0171282130904087</v>
      </c>
      <c r="J2195" t="n">
        <v>0.4157432611040859</v>
      </c>
      <c r="K2195" t="n">
        <v>0.1537683794329494</v>
      </c>
      <c r="L2195" t="b">
        <v>1</v>
      </c>
      <c r="M2195" t="b">
        <v>0</v>
      </c>
      <c r="N2195" t="inlineStr">
        <is>
          <t>alt</t>
        </is>
      </c>
      <c r="O2195" t="n">
        <v>100</v>
      </c>
      <c r="P2195" t="n">
        <v>0.006077</v>
      </c>
      <c r="Q2195" t="n">
        <v>-75</v>
      </c>
      <c r="R2195" t="n">
        <v>0.1752</v>
      </c>
      <c r="S2195">
        <f>IMAGE("https://mitra.stanford.edu/kundaje/oak/projects/neuro-variants/variant_position/credible/roussos_2024/variant_figures/roussos_2024.adolescence.GLU/rs13406464_count_position.png",4,220,900)</f>
        <v/>
      </c>
      <c r="T2195">
        <f>IMAGE("https://mitra.stanford.edu/kundaje/oak/projects/neuro-variants/variant_position/credible/roussos_2024/variant_figures/roussos_2024.adolescence.GLU/rs13406464_profile_position.png",4,220,900)</f>
        <v/>
      </c>
    </row>
    <row r="2196">
      <c r="A2196" t="inlineStr">
        <is>
          <t>chr2</t>
        </is>
      </c>
      <c r="B2196" t="n">
        <v>104359740</v>
      </c>
      <c r="C2196" t="inlineStr">
        <is>
          <t>G</t>
        </is>
      </c>
      <c r="D2196" t="inlineStr">
        <is>
          <t>A</t>
        </is>
      </c>
      <c r="E2196" t="inlineStr">
        <is>
          <t>rs4535062</t>
        </is>
      </c>
      <c r="F2196" t="n">
        <v>-0.028694496</v>
      </c>
      <c r="G2196" t="n">
        <v>0.1957860438732835</v>
      </c>
      <c r="H2196" t="n">
        <v>0.0161490654156766</v>
      </c>
      <c r="I2196" t="n">
        <v>0.1222816049000128</v>
      </c>
      <c r="J2196" t="n">
        <v>0.0469597273720984</v>
      </c>
      <c r="K2196" t="n">
        <v>0.7102261895102889</v>
      </c>
      <c r="L2196" t="b">
        <v>0</v>
      </c>
      <c r="M2196" t="b">
        <v>0</v>
      </c>
      <c r="N2196" t="inlineStr">
        <is>
          <t>ref</t>
        </is>
      </c>
      <c r="O2196" t="n">
        <v>90</v>
      </c>
      <c r="P2196" t="n">
        <v>0.005295</v>
      </c>
      <c r="Q2196" t="n">
        <v>85</v>
      </c>
      <c r="R2196" t="n">
        <v>0.07489999999999999</v>
      </c>
      <c r="S2196">
        <f>IMAGE("https://mitra.stanford.edu/kundaje/oak/projects/neuro-variants/variant_position/credible/roussos_2024/variant_figures/roussos_2024.adolescence.GLU/rs4535062_count_position.png",4,220,900)</f>
        <v/>
      </c>
      <c r="T2196">
        <f>IMAGE("https://mitra.stanford.edu/kundaje/oak/projects/neuro-variants/variant_position/credible/roussos_2024/variant_figures/roussos_2024.adolescence.GLU/rs4535062_profile_position.png",4,220,900)</f>
        <v/>
      </c>
    </row>
    <row r="2197">
      <c r="A2197" t="inlineStr">
        <is>
          <t>chr2</t>
        </is>
      </c>
      <c r="B2197" t="n">
        <v>104365522</v>
      </c>
      <c r="C2197" t="inlineStr">
        <is>
          <t>A</t>
        </is>
      </c>
      <c r="D2197" t="inlineStr">
        <is>
          <t>G</t>
        </is>
      </c>
      <c r="E2197" t="inlineStr">
        <is>
          <t>rs17029753</t>
        </is>
      </c>
      <c r="F2197" t="n">
        <v>0.00083189246</v>
      </c>
      <c r="G2197" t="n">
        <v>0.8489481620847623</v>
      </c>
      <c r="H2197" t="n">
        <v>0.0221948266510901</v>
      </c>
      <c r="I2197" t="n">
        <v>0.0350933368360574</v>
      </c>
      <c r="J2197" t="n">
        <v>0.1145865929371083</v>
      </c>
      <c r="K2197" t="n">
        <v>0.5388004920502406</v>
      </c>
      <c r="L2197" t="b">
        <v>0</v>
      </c>
      <c r="M2197" t="b">
        <v>0</v>
      </c>
      <c r="N2197" t="inlineStr">
        <is>
          <t>alt</t>
        </is>
      </c>
      <c r="O2197" t="n">
        <v>-90</v>
      </c>
      <c r="P2197" t="n">
        <v>0.0268</v>
      </c>
      <c r="Q2197" t="n">
        <v>-10</v>
      </c>
      <c r="R2197" t="n">
        <v>0.004883</v>
      </c>
      <c r="S2197">
        <f>IMAGE("https://mitra.stanford.edu/kundaje/oak/projects/neuro-variants/variant_position/credible/roussos_2024/variant_figures/roussos_2024.adolescence.GLU/rs17029753_count_position.png",4,220,900)</f>
        <v/>
      </c>
      <c r="T2197">
        <f>IMAGE("https://mitra.stanford.edu/kundaje/oak/projects/neuro-variants/variant_position/credible/roussos_2024/variant_figures/roussos_2024.adolescence.GLU/rs17029753_profile_position.png",4,220,900)</f>
        <v/>
      </c>
    </row>
    <row r="2198">
      <c r="A2198" t="inlineStr">
        <is>
          <t>chr2</t>
        </is>
      </c>
      <c r="B2198" t="n">
        <v>104365851</v>
      </c>
      <c r="C2198" t="inlineStr">
        <is>
          <t>T</t>
        </is>
      </c>
      <c r="D2198" t="inlineStr">
        <is>
          <t>G</t>
        </is>
      </c>
      <c r="E2198" t="inlineStr">
        <is>
          <t>rs60641243</t>
        </is>
      </c>
      <c r="F2198" t="n">
        <v>0.0586837256</v>
      </c>
      <c r="G2198" t="n">
        <v>0.0451603919904335</v>
      </c>
      <c r="H2198" t="n">
        <v>0.0140503357624179</v>
      </c>
      <c r="I2198" t="n">
        <v>0.20260035163968</v>
      </c>
      <c r="J2198" t="n">
        <v>0.1835980310207114</v>
      </c>
      <c r="K2198" t="n">
        <v>0.4176872748573212</v>
      </c>
      <c r="L2198" t="b">
        <v>0</v>
      </c>
      <c r="M2198" t="b">
        <v>0</v>
      </c>
      <c r="N2198" t="inlineStr">
        <is>
          <t>alt</t>
        </is>
      </c>
      <c r="O2198" t="n">
        <v>100</v>
      </c>
      <c r="P2198" t="n">
        <v>0.00717</v>
      </c>
      <c r="Q2198" t="n">
        <v>20</v>
      </c>
      <c r="R2198" t="n">
        <v>0.03528</v>
      </c>
      <c r="S2198">
        <f>IMAGE("https://mitra.stanford.edu/kundaje/oak/projects/neuro-variants/variant_position/credible/roussos_2024/variant_figures/roussos_2024.adolescence.GLU/rs60641243_count_position.png",4,220,900)</f>
        <v/>
      </c>
      <c r="T2198">
        <f>IMAGE("https://mitra.stanford.edu/kundaje/oak/projects/neuro-variants/variant_position/credible/roussos_2024/variant_figures/roussos_2024.adolescence.GLU/rs60641243_profile_position.png",4,220,900)</f>
        <v/>
      </c>
    </row>
    <row r="2199">
      <c r="A2199" t="inlineStr">
        <is>
          <t>chr2</t>
        </is>
      </c>
      <c r="B2199" t="n">
        <v>104367098</v>
      </c>
      <c r="C2199" t="inlineStr">
        <is>
          <t>C</t>
        </is>
      </c>
      <c r="D2199" t="inlineStr">
        <is>
          <t>G</t>
        </is>
      </c>
      <c r="E2199" t="inlineStr">
        <is>
          <t>rs7598321</t>
        </is>
      </c>
      <c r="F2199" t="n">
        <v>0.0348547778</v>
      </c>
      <c r="G2199" t="n">
        <v>0.1333646420169204</v>
      </c>
      <c r="H2199" t="n">
        <v>0.0195871277288058</v>
      </c>
      <c r="I2199" t="n">
        <v>0.06361357883508389</v>
      </c>
      <c r="J2199" t="n">
        <v>0.1103771495524072</v>
      </c>
      <c r="K2199" t="n">
        <v>0.5493129322756816</v>
      </c>
      <c r="L2199" t="b">
        <v>0</v>
      </c>
      <c r="M2199" t="b">
        <v>0</v>
      </c>
      <c r="N2199" t="inlineStr">
        <is>
          <t>alt</t>
        </is>
      </c>
      <c r="O2199" t="n">
        <v>30</v>
      </c>
      <c r="P2199" t="n">
        <v>0.00264</v>
      </c>
      <c r="Q2199" t="n">
        <v>55</v>
      </c>
      <c r="R2199" t="n">
        <v>0.01746</v>
      </c>
      <c r="S2199">
        <f>IMAGE("https://mitra.stanford.edu/kundaje/oak/projects/neuro-variants/variant_position/credible/roussos_2024/variant_figures/roussos_2024.adolescence.GLU/rs7598321_count_position.png",4,220,900)</f>
        <v/>
      </c>
      <c r="T2199">
        <f>IMAGE("https://mitra.stanford.edu/kundaje/oak/projects/neuro-variants/variant_position/credible/roussos_2024/variant_figures/roussos_2024.adolescence.GLU/rs7598321_profile_position.png",4,220,900)</f>
        <v/>
      </c>
    </row>
    <row r="2200">
      <c r="A2200" t="inlineStr">
        <is>
          <t>chr2</t>
        </is>
      </c>
      <c r="B2200" t="n">
        <v>104367929</v>
      </c>
      <c r="C2200" t="inlineStr">
        <is>
          <t>C</t>
        </is>
      </c>
      <c r="D2200" t="inlineStr">
        <is>
          <t>T</t>
        </is>
      </c>
      <c r="E2200" t="inlineStr">
        <is>
          <t>rs62152284</t>
        </is>
      </c>
      <c r="F2200" t="n">
        <v>-0.003458157088</v>
      </c>
      <c r="G2200" t="n">
        <v>0.793941243538008</v>
      </c>
      <c r="H2200" t="n">
        <v>0.0164451360714104</v>
      </c>
      <c r="I2200" t="n">
        <v>0.1186215851513242</v>
      </c>
      <c r="J2200" t="n">
        <v>0.3003364982746426</v>
      </c>
      <c r="K2200" t="n">
        <v>0.2714277572059401</v>
      </c>
      <c r="L2200" t="b">
        <v>0</v>
      </c>
      <c r="M2200" t="b">
        <v>0</v>
      </c>
      <c r="N2200" t="inlineStr">
        <is>
          <t>ref</t>
        </is>
      </c>
      <c r="O2200" t="n">
        <v>35</v>
      </c>
      <c r="P2200" t="n">
        <v>0.003998</v>
      </c>
      <c r="Q2200" t="n">
        <v>50</v>
      </c>
      <c r="R2200" t="n">
        <v>0.08434999999999999</v>
      </c>
      <c r="S2200">
        <f>IMAGE("https://mitra.stanford.edu/kundaje/oak/projects/neuro-variants/variant_position/credible/roussos_2024/variant_figures/roussos_2024.adolescence.GLU/rs62152284_count_position.png",4,220,900)</f>
        <v/>
      </c>
      <c r="T2200">
        <f>IMAGE("https://mitra.stanford.edu/kundaje/oak/projects/neuro-variants/variant_position/credible/roussos_2024/variant_figures/roussos_2024.adolescence.GLU/rs62152284_profile_position.png",4,220,900)</f>
        <v/>
      </c>
    </row>
    <row r="2201">
      <c r="A2201" t="inlineStr">
        <is>
          <t>chr2</t>
        </is>
      </c>
      <c r="B2201" t="n">
        <v>104389309</v>
      </c>
      <c r="C2201" t="inlineStr">
        <is>
          <t>T</t>
        </is>
      </c>
      <c r="D2201" t="inlineStr">
        <is>
          <t>C</t>
        </is>
      </c>
      <c r="E2201" t="inlineStr">
        <is>
          <t>rs112338729</t>
        </is>
      </c>
      <c r="F2201" t="n">
        <v>-0.009377529202000001</v>
      </c>
      <c r="G2201" t="n">
        <v>0.5625596946522039</v>
      </c>
      <c r="H2201" t="n">
        <v>0.008695616588219201</v>
      </c>
      <c r="I2201" t="n">
        <v>0.680917528575091</v>
      </c>
      <c r="J2201" t="n">
        <v>0.1535732401711782</v>
      </c>
      <c r="K2201" t="n">
        <v>0.4716065364812402</v>
      </c>
      <c r="L2201" t="b">
        <v>0</v>
      </c>
      <c r="M2201" t="b">
        <v>0</v>
      </c>
      <c r="N2201" t="inlineStr">
        <is>
          <t>ref</t>
        </is>
      </c>
      <c r="O2201" t="n">
        <v>35</v>
      </c>
      <c r="P2201" t="n">
        <v>0.005417</v>
      </c>
      <c r="Q2201" t="n">
        <v>70</v>
      </c>
      <c r="R2201" t="n">
        <v>0.0713</v>
      </c>
      <c r="S2201">
        <f>IMAGE("https://mitra.stanford.edu/kundaje/oak/projects/neuro-variants/variant_position/credible/roussos_2024/variant_figures/roussos_2024.adolescence.GLU/rs112338729_count_position.png",4,220,900)</f>
        <v/>
      </c>
      <c r="T2201">
        <f>IMAGE("https://mitra.stanford.edu/kundaje/oak/projects/neuro-variants/variant_position/credible/roussos_2024/variant_figures/roussos_2024.adolescence.GLU/rs112338729_profile_position.png",4,220,900)</f>
        <v/>
      </c>
    </row>
    <row r="2202">
      <c r="A2202" t="inlineStr">
        <is>
          <t>chr2</t>
        </is>
      </c>
      <c r="B2202" t="n">
        <v>134086836</v>
      </c>
      <c r="C2202" t="inlineStr">
        <is>
          <t>T</t>
        </is>
      </c>
      <c r="D2202" t="inlineStr">
        <is>
          <t>C</t>
        </is>
      </c>
      <c r="E2202" t="inlineStr">
        <is>
          <t>rs6729836</t>
        </is>
      </c>
      <c r="F2202" t="n">
        <v>0.07670671599999999</v>
      </c>
      <c r="G2202" t="n">
        <v>0.0175361150395201</v>
      </c>
      <c r="H2202" t="n">
        <v>0.0158925875123184</v>
      </c>
      <c r="I2202" t="n">
        <v>0.1359096288433082</v>
      </c>
      <c r="J2202" t="n">
        <v>0.3124904444492072</v>
      </c>
      <c r="K2202" t="n">
        <v>0.2579500883022458</v>
      </c>
      <c r="L2202" t="b">
        <v>1</v>
      </c>
      <c r="M2202" t="b">
        <v>0</v>
      </c>
      <c r="N2202" t="inlineStr">
        <is>
          <t>alt</t>
        </is>
      </c>
      <c r="O2202" t="n">
        <v>-100</v>
      </c>
      <c r="P2202" t="n">
        <v>0.01212</v>
      </c>
      <c r="Q2202" t="n">
        <v>15</v>
      </c>
      <c r="R2202" t="n">
        <v>0.01904</v>
      </c>
      <c r="S2202">
        <f>IMAGE("https://mitra.stanford.edu/kundaje/oak/projects/neuro-variants/variant_position/credible/roussos_2024/variant_figures/roussos_2024.adolescence.GLU/rs6729836_count_position.png",4,220,900)</f>
        <v/>
      </c>
      <c r="T2202">
        <f>IMAGE("https://mitra.stanford.edu/kundaje/oak/projects/neuro-variants/variant_position/credible/roussos_2024/variant_figures/roussos_2024.adolescence.GLU/rs6729836_profile_position.png",4,220,900)</f>
        <v/>
      </c>
    </row>
    <row r="2203">
      <c r="A2203" t="inlineStr">
        <is>
          <t>chr2</t>
        </is>
      </c>
      <c r="B2203" t="n">
        <v>140300603</v>
      </c>
      <c r="C2203" t="inlineStr">
        <is>
          <t>T</t>
        </is>
      </c>
      <c r="D2203" t="inlineStr">
        <is>
          <t>C</t>
        </is>
      </c>
      <c r="E2203" t="inlineStr">
        <is>
          <t>rs10203500</t>
        </is>
      </c>
      <c r="F2203" t="n">
        <v>0.0767028942</v>
      </c>
      <c r="G2203" t="n">
        <v>0.0175861702747633</v>
      </c>
      <c r="H2203" t="n">
        <v>0.0142712296729426</v>
      </c>
      <c r="I2203" t="n">
        <v>0.1888446357273156</v>
      </c>
      <c r="J2203" t="n">
        <v>0.06897000092876369</v>
      </c>
      <c r="K2203" t="n">
        <v>0.6420817673436126</v>
      </c>
      <c r="L2203" t="b">
        <v>1</v>
      </c>
      <c r="M2203" t="b">
        <v>0</v>
      </c>
      <c r="N2203" t="inlineStr">
        <is>
          <t>alt</t>
        </is>
      </c>
      <c r="O2203" t="n">
        <v>-100</v>
      </c>
      <c r="P2203" t="n">
        <v>0.01071</v>
      </c>
      <c r="Q2203" t="n">
        <v>-80</v>
      </c>
      <c r="R2203" t="n">
        <v>0.0675</v>
      </c>
      <c r="S2203">
        <f>IMAGE("https://mitra.stanford.edu/kundaje/oak/projects/neuro-variants/variant_position/credible/roussos_2024/variant_figures/roussos_2024.adolescence.GLU/rs10203500_count_position.png",4,220,900)</f>
        <v/>
      </c>
      <c r="T2203">
        <f>IMAGE("https://mitra.stanford.edu/kundaje/oak/projects/neuro-variants/variant_position/credible/roussos_2024/variant_figures/roussos_2024.adolescence.GLU/rs10203500_profile_position.png",4,220,900)</f>
        <v/>
      </c>
    </row>
    <row r="2204">
      <c r="A2204" t="inlineStr">
        <is>
          <t>chr2</t>
        </is>
      </c>
      <c r="B2204" t="n">
        <v>140302839</v>
      </c>
      <c r="C2204" t="inlineStr">
        <is>
          <t>G</t>
        </is>
      </c>
      <c r="D2204" t="inlineStr">
        <is>
          <t>A</t>
        </is>
      </c>
      <c r="E2204" t="inlineStr">
        <is>
          <t>rs12692042</t>
        </is>
      </c>
      <c r="F2204" t="n">
        <v>0.0378895514</v>
      </c>
      <c r="G2204" t="n">
        <v>0.1243257734244094</v>
      </c>
      <c r="H2204" t="n">
        <v>0.0242117060909636</v>
      </c>
      <c r="I2204" t="n">
        <v>0.0266536403518656</v>
      </c>
      <c r="J2204" t="n">
        <v>0.0322881168241992</v>
      </c>
      <c r="K2204" t="n">
        <v>0.7646233441736191</v>
      </c>
      <c r="L2204" t="b">
        <v>0</v>
      </c>
      <c r="M2204" t="b">
        <v>0</v>
      </c>
      <c r="N2204" t="inlineStr">
        <is>
          <t>alt</t>
        </is>
      </c>
      <c r="O2204" t="n">
        <v>100</v>
      </c>
      <c r="P2204" t="n">
        <v>0.0018425</v>
      </c>
      <c r="Q2204" t="n">
        <v>-50</v>
      </c>
      <c r="R2204" t="n">
        <v>0.01337</v>
      </c>
      <c r="S2204">
        <f>IMAGE("https://mitra.stanford.edu/kundaje/oak/projects/neuro-variants/variant_position/credible/roussos_2024/variant_figures/roussos_2024.adolescence.GLU/rs12692042_count_position.png",4,220,900)</f>
        <v/>
      </c>
      <c r="T2204">
        <f>IMAGE("https://mitra.stanford.edu/kundaje/oak/projects/neuro-variants/variant_position/credible/roussos_2024/variant_figures/roussos_2024.adolescence.GLU/rs12692042_profile_position.png",4,220,900)</f>
        <v/>
      </c>
    </row>
    <row r="2205">
      <c r="A2205" t="inlineStr">
        <is>
          <t>chr2</t>
        </is>
      </c>
      <c r="B2205" t="n">
        <v>140315675</v>
      </c>
      <c r="C2205" t="inlineStr">
        <is>
          <t>C</t>
        </is>
      </c>
      <c r="D2205" t="inlineStr">
        <is>
          <t>A</t>
        </is>
      </c>
      <c r="E2205" t="inlineStr">
        <is>
          <t>rs17477145</t>
        </is>
      </c>
      <c r="F2205" t="n">
        <v>0.0169745752</v>
      </c>
      <c r="G2205" t="n">
        <v>0.331188975790057</v>
      </c>
      <c r="H2205" t="n">
        <v>0.0284455877251634</v>
      </c>
      <c r="I2205" t="n">
        <v>0.0117109855451567</v>
      </c>
      <c r="J2205" t="n">
        <v>0.0186881568324866</v>
      </c>
      <c r="K2205" t="n">
        <v>0.8217377972253795</v>
      </c>
      <c r="L2205" t="b">
        <v>1</v>
      </c>
      <c r="M2205" t="b">
        <v>0</v>
      </c>
      <c r="N2205" t="inlineStr">
        <is>
          <t>alt</t>
        </is>
      </c>
      <c r="O2205" t="n">
        <v>5</v>
      </c>
      <c r="P2205" t="n">
        <v>0.0004883</v>
      </c>
      <c r="Q2205" t="n">
        <v>-10</v>
      </c>
      <c r="R2205" t="n">
        <v>0.003296</v>
      </c>
      <c r="S2205">
        <f>IMAGE("https://mitra.stanford.edu/kundaje/oak/projects/neuro-variants/variant_position/credible/roussos_2024/variant_figures/roussos_2024.adolescence.GLU/rs17477145_count_position.png",4,220,900)</f>
        <v/>
      </c>
      <c r="T2205">
        <f>IMAGE("https://mitra.stanford.edu/kundaje/oak/projects/neuro-variants/variant_position/credible/roussos_2024/variant_figures/roussos_2024.adolescence.GLU/rs17477145_profile_position.png",4,220,900)</f>
        <v/>
      </c>
    </row>
    <row r="2206">
      <c r="A2206" t="inlineStr">
        <is>
          <t>chr2</t>
        </is>
      </c>
      <c r="B2206" t="n">
        <v>140315711</v>
      </c>
      <c r="C2206" t="inlineStr">
        <is>
          <t>A</t>
        </is>
      </c>
      <c r="D2206" t="inlineStr">
        <is>
          <t>C</t>
        </is>
      </c>
      <c r="E2206" t="inlineStr">
        <is>
          <t>rs13386580</t>
        </is>
      </c>
      <c r="F2206" t="n">
        <v>-0.009410793319999999</v>
      </c>
      <c r="G2206" t="n">
        <v>0.5715019098152313</v>
      </c>
      <c r="H2206" t="n">
        <v>0.0240136414636479</v>
      </c>
      <c r="I2206" t="n">
        <v>0.0273783999608097</v>
      </c>
      <c r="J2206" t="n">
        <v>0.0190825242371633</v>
      </c>
      <c r="K2206" t="n">
        <v>0.8195704368635001</v>
      </c>
      <c r="L2206" t="b">
        <v>0</v>
      </c>
      <c r="M2206" t="b">
        <v>0</v>
      </c>
      <c r="N2206" t="inlineStr">
        <is>
          <t>ref</t>
        </is>
      </c>
      <c r="O2206" t="n">
        <v>-30</v>
      </c>
      <c r="P2206" t="n">
        <v>0.002213</v>
      </c>
      <c r="Q2206" t="n">
        <v>-50</v>
      </c>
      <c r="R2206" t="n">
        <v>0.02258</v>
      </c>
      <c r="S2206">
        <f>IMAGE("https://mitra.stanford.edu/kundaje/oak/projects/neuro-variants/variant_position/credible/roussos_2024/variant_figures/roussos_2024.adolescence.GLU/rs13386580_count_position.png",4,220,900)</f>
        <v/>
      </c>
      <c r="T2206">
        <f>IMAGE("https://mitra.stanford.edu/kundaje/oak/projects/neuro-variants/variant_position/credible/roussos_2024/variant_figures/roussos_2024.adolescence.GLU/rs13386580_profile_position.png",4,220,900)</f>
        <v/>
      </c>
    </row>
    <row r="2207">
      <c r="A2207" t="inlineStr">
        <is>
          <t>chr2</t>
        </is>
      </c>
      <c r="B2207" t="n">
        <v>140329524</v>
      </c>
      <c r="C2207" t="inlineStr">
        <is>
          <t>G</t>
        </is>
      </c>
      <c r="D2207" t="inlineStr">
        <is>
          <t>A</t>
        </is>
      </c>
      <c r="E2207" t="inlineStr">
        <is>
          <t>rs10208226</t>
        </is>
      </c>
      <c r="F2207" t="n">
        <v>0.0037451381399999</v>
      </c>
      <c r="G2207" t="n">
        <v>0.5941154773513097</v>
      </c>
      <c r="H2207" t="n">
        <v>0.0196078422133183</v>
      </c>
      <c r="I2207" t="n">
        <v>0.0588855676765585</v>
      </c>
      <c r="J2207" t="n">
        <v>0.0689014152931678</v>
      </c>
      <c r="K2207" t="n">
        <v>0.646344802122059</v>
      </c>
      <c r="L2207" t="b">
        <v>0</v>
      </c>
      <c r="M2207" t="b">
        <v>0</v>
      </c>
      <c r="N2207" t="inlineStr">
        <is>
          <t>alt</t>
        </is>
      </c>
      <c r="O2207" t="n">
        <v>-80</v>
      </c>
      <c r="P2207" t="n">
        <v>0.01608</v>
      </c>
      <c r="Q2207" t="n">
        <v>-100</v>
      </c>
      <c r="R2207" t="n">
        <v>0.06226</v>
      </c>
      <c r="S2207">
        <f>IMAGE("https://mitra.stanford.edu/kundaje/oak/projects/neuro-variants/variant_position/credible/roussos_2024/variant_figures/roussos_2024.adolescence.GLU/rs10208226_count_position.png",4,220,900)</f>
        <v/>
      </c>
      <c r="T2207">
        <f>IMAGE("https://mitra.stanford.edu/kundaje/oak/projects/neuro-variants/variant_position/credible/roussos_2024/variant_figures/roussos_2024.adolescence.GLU/rs10208226_profile_position.png",4,220,900)</f>
        <v/>
      </c>
    </row>
    <row r="2208">
      <c r="A2208" t="inlineStr">
        <is>
          <t>chr2</t>
        </is>
      </c>
      <c r="B2208" t="n">
        <v>140345146</v>
      </c>
      <c r="C2208" t="inlineStr">
        <is>
          <t>A</t>
        </is>
      </c>
      <c r="D2208" t="inlineStr">
        <is>
          <t>G</t>
        </is>
      </c>
      <c r="E2208" t="inlineStr">
        <is>
          <t>rs1401123</t>
        </is>
      </c>
      <c r="F2208" t="n">
        <v>0.0555982982</v>
      </c>
      <c r="G2208" t="n">
        <v>0.0593188384807503</v>
      </c>
      <c r="H2208" t="n">
        <v>0.0172418164490684</v>
      </c>
      <c r="I2208" t="n">
        <v>0.1235430684898016</v>
      </c>
      <c r="J2208" t="n">
        <v>0.0289774310392866</v>
      </c>
      <c r="K2208" t="n">
        <v>0.7816614168194936</v>
      </c>
      <c r="L2208" t="b">
        <v>0</v>
      </c>
      <c r="M2208" t="b">
        <v>0</v>
      </c>
      <c r="N2208" t="inlineStr">
        <is>
          <t>alt</t>
        </is>
      </c>
      <c r="O2208" t="n">
        <v>-55</v>
      </c>
      <c r="P2208" t="n">
        <v>0.001713</v>
      </c>
      <c r="Q2208" t="n">
        <v>-25</v>
      </c>
      <c r="R2208" t="n">
        <v>0.009155</v>
      </c>
      <c r="S2208">
        <f>IMAGE("https://mitra.stanford.edu/kundaje/oak/projects/neuro-variants/variant_position/credible/roussos_2024/variant_figures/roussos_2024.adolescence.GLU/rs1401123_count_position.png",4,220,900)</f>
        <v/>
      </c>
      <c r="T2208">
        <f>IMAGE("https://mitra.stanford.edu/kundaje/oak/projects/neuro-variants/variant_position/credible/roussos_2024/variant_figures/roussos_2024.adolescence.GLU/rs1401123_profile_position.png",4,220,900)</f>
        <v/>
      </c>
    </row>
    <row r="2209">
      <c r="A2209" t="inlineStr">
        <is>
          <t>chr2</t>
        </is>
      </c>
      <c r="B2209" t="n">
        <v>140355793</v>
      </c>
      <c r="C2209" t="inlineStr">
        <is>
          <t>C</t>
        </is>
      </c>
      <c r="D2209" t="inlineStr">
        <is>
          <t>T</t>
        </is>
      </c>
      <c r="E2209" t="inlineStr">
        <is>
          <t>rs10202846</t>
        </is>
      </c>
      <c r="F2209" t="n">
        <v>-0.01199071212</v>
      </c>
      <c r="G2209" t="n">
        <v>0.4713999005758603</v>
      </c>
      <c r="H2209" t="n">
        <v>0.012734944112773</v>
      </c>
      <c r="I2209" t="n">
        <v>0.2729846868353758</v>
      </c>
      <c r="J2209" t="n">
        <v>0.0101020925763193</v>
      </c>
      <c r="K2209" t="n">
        <v>0.8874690704535354</v>
      </c>
      <c r="L2209" t="b">
        <v>0</v>
      </c>
      <c r="M2209" t="b">
        <v>0</v>
      </c>
      <c r="N2209" t="inlineStr">
        <is>
          <t>ref</t>
        </is>
      </c>
      <c r="O2209" t="n">
        <v>95</v>
      </c>
      <c r="P2209" t="n">
        <v>0.0032</v>
      </c>
      <c r="Q2209" t="n">
        <v>-95</v>
      </c>
      <c r="R2209" t="n">
        <v>0.0581</v>
      </c>
      <c r="S2209">
        <f>IMAGE("https://mitra.stanford.edu/kundaje/oak/projects/neuro-variants/variant_position/credible/roussos_2024/variant_figures/roussos_2024.adolescence.GLU/rs10202846_count_position.png",4,220,900)</f>
        <v/>
      </c>
      <c r="T2209">
        <f>IMAGE("https://mitra.stanford.edu/kundaje/oak/projects/neuro-variants/variant_position/credible/roussos_2024/variant_figures/roussos_2024.adolescence.GLU/rs10202846_profile_position.png",4,220,900)</f>
        <v/>
      </c>
    </row>
    <row r="2210">
      <c r="A2210" t="inlineStr">
        <is>
          <t>chr2</t>
        </is>
      </c>
      <c r="B2210" t="n">
        <v>144469483</v>
      </c>
      <c r="C2210" t="inlineStr">
        <is>
          <t>C</t>
        </is>
      </c>
      <c r="D2210" t="inlineStr">
        <is>
          <t>T</t>
        </is>
      </c>
      <c r="E2210" t="inlineStr">
        <is>
          <t>rs9287360</t>
        </is>
      </c>
      <c r="F2210" t="n">
        <v>-0.007353016038</v>
      </c>
      <c r="G2210" t="n">
        <v>0.6497187799917674</v>
      </c>
      <c r="H2210" t="n">
        <v>0.0074830425387489</v>
      </c>
      <c r="I2210" t="n">
        <v>0.8409902770070802</v>
      </c>
      <c r="J2210" t="n">
        <v>0.1094126640518392</v>
      </c>
      <c r="K2210" t="n">
        <v>0.5550293680316264</v>
      </c>
      <c r="L2210" t="b">
        <v>0</v>
      </c>
      <c r="M2210" t="b">
        <v>0</v>
      </c>
      <c r="N2210" t="inlineStr">
        <is>
          <t>ref</t>
        </is>
      </c>
      <c r="O2210" t="n">
        <v>-95</v>
      </c>
      <c r="P2210" t="n">
        <v>0.007114</v>
      </c>
      <c r="Q2210" t="n">
        <v>5</v>
      </c>
      <c r="R2210" t="n">
        <v>0.0008545</v>
      </c>
      <c r="S2210">
        <f>IMAGE("https://mitra.stanford.edu/kundaje/oak/projects/neuro-variants/variant_position/credible/roussos_2024/variant_figures/roussos_2024.adolescence.GLU/rs9287360_count_position.png",4,220,900)</f>
        <v/>
      </c>
      <c r="T2210">
        <f>IMAGE("https://mitra.stanford.edu/kundaje/oak/projects/neuro-variants/variant_position/credible/roussos_2024/variant_figures/roussos_2024.adolescence.GLU/rs9287360_profile_position.png",4,220,900)</f>
        <v/>
      </c>
    </row>
    <row r="2211">
      <c r="A2211" t="inlineStr">
        <is>
          <t>chr2</t>
        </is>
      </c>
      <c r="B2211" t="n">
        <v>145662536</v>
      </c>
      <c r="C2211" t="inlineStr">
        <is>
          <t>C</t>
        </is>
      </c>
      <c r="D2211" t="inlineStr">
        <is>
          <t>A</t>
        </is>
      </c>
      <c r="E2211" t="inlineStr">
        <is>
          <t>rs67082009</t>
        </is>
      </c>
      <c r="F2211" t="n">
        <v>0.00738840152</v>
      </c>
      <c r="G2211" t="n">
        <v>0.6002642011916487</v>
      </c>
      <c r="H2211" t="n">
        <v>0.0267187285665193</v>
      </c>
      <c r="I2211" t="n">
        <v>0.0152268002576457</v>
      </c>
      <c r="J2211" t="n">
        <v>0.009091883318687301</v>
      </c>
      <c r="K2211" t="n">
        <v>0.8833330133827587</v>
      </c>
      <c r="L2211" t="b">
        <v>0</v>
      </c>
      <c r="M2211" t="b">
        <v>0</v>
      </c>
      <c r="N2211" t="inlineStr">
        <is>
          <t>alt</t>
        </is>
      </c>
      <c r="O2211" t="n">
        <v>-100</v>
      </c>
      <c r="P2211" t="n">
        <v>0.006855</v>
      </c>
      <c r="Q2211" t="n">
        <v>100</v>
      </c>
      <c r="R2211" t="n">
        <v>0.073</v>
      </c>
      <c r="S2211">
        <f>IMAGE("https://mitra.stanford.edu/kundaje/oak/projects/neuro-variants/variant_position/credible/roussos_2024/variant_figures/roussos_2024.adolescence.GLU/rs67082009_count_position.png",4,220,900)</f>
        <v/>
      </c>
      <c r="T2211">
        <f>IMAGE("https://mitra.stanford.edu/kundaje/oak/projects/neuro-variants/variant_position/credible/roussos_2024/variant_figures/roussos_2024.adolescence.GLU/rs67082009_profile_position.png",4,220,900)</f>
        <v/>
      </c>
    </row>
    <row r="2212">
      <c r="A2212" t="inlineStr">
        <is>
          <t>chr2</t>
        </is>
      </c>
      <c r="B2212" t="n">
        <v>145677776</v>
      </c>
      <c r="C2212" t="inlineStr">
        <is>
          <t>G</t>
        </is>
      </c>
      <c r="D2212" t="inlineStr">
        <is>
          <t>A</t>
        </is>
      </c>
      <c r="E2212" t="inlineStr">
        <is>
          <t>rs72857431</t>
        </is>
      </c>
      <c r="F2212" t="n">
        <v>-0.0461125378</v>
      </c>
      <c r="G2212" t="n">
        <v>0.07914143871726941</v>
      </c>
      <c r="H2212" t="n">
        <v>0.0103366467598245</v>
      </c>
      <c r="I2212" t="n">
        <v>0.4756008624070282</v>
      </c>
      <c r="J2212" t="n">
        <v>0.0520636417543633</v>
      </c>
      <c r="K2212" t="n">
        <v>0.6937963050893768</v>
      </c>
      <c r="L2212" t="b">
        <v>0</v>
      </c>
      <c r="M2212" t="b">
        <v>0</v>
      </c>
      <c r="N2212" t="inlineStr">
        <is>
          <t>ref</t>
        </is>
      </c>
      <c r="O2212" t="n">
        <v>-100</v>
      </c>
      <c r="P2212" t="n">
        <v>0.00997</v>
      </c>
      <c r="Q2212" t="n">
        <v>75</v>
      </c>
      <c r="R2212" t="n">
        <v>0.04025</v>
      </c>
      <c r="S2212">
        <f>IMAGE("https://mitra.stanford.edu/kundaje/oak/projects/neuro-variants/variant_position/credible/roussos_2024/variant_figures/roussos_2024.adolescence.GLU/rs72857431_count_position.png",4,220,900)</f>
        <v/>
      </c>
      <c r="T2212">
        <f>IMAGE("https://mitra.stanford.edu/kundaje/oak/projects/neuro-variants/variant_position/credible/roussos_2024/variant_figures/roussos_2024.adolescence.GLU/rs72857431_profile_position.png",4,220,900)</f>
        <v/>
      </c>
    </row>
    <row r="2213">
      <c r="A2213" t="inlineStr">
        <is>
          <t>chr2</t>
        </is>
      </c>
      <c r="B2213" t="n">
        <v>145680858</v>
      </c>
      <c r="C2213" t="inlineStr">
        <is>
          <t>A</t>
        </is>
      </c>
      <c r="D2213" t="inlineStr">
        <is>
          <t>G</t>
        </is>
      </c>
      <c r="E2213" t="inlineStr">
        <is>
          <t>rs72857434</t>
        </is>
      </c>
      <c r="F2213" t="n">
        <v>0.0353620444</v>
      </c>
      <c r="G2213" t="n">
        <v>0.132586499416784</v>
      </c>
      <c r="H2213" t="n">
        <v>0.0073061071136372</v>
      </c>
      <c r="I2213" t="n">
        <v>0.881852348338651</v>
      </c>
      <c r="J2213" t="n">
        <v>0.1718284501789656</v>
      </c>
      <c r="K2213" t="n">
        <v>0.429968468593874</v>
      </c>
      <c r="L2213" t="b">
        <v>0</v>
      </c>
      <c r="M2213" t="b">
        <v>0</v>
      </c>
      <c r="N2213" t="inlineStr">
        <is>
          <t>alt</t>
        </is>
      </c>
      <c r="O2213" t="n">
        <v>-100</v>
      </c>
      <c r="P2213" t="n">
        <v>0.0321</v>
      </c>
      <c r="Q2213" t="n">
        <v>75</v>
      </c>
      <c r="R2213" t="n">
        <v>0.03198</v>
      </c>
      <c r="S2213">
        <f>IMAGE("https://mitra.stanford.edu/kundaje/oak/projects/neuro-variants/variant_position/credible/roussos_2024/variant_figures/roussos_2024.adolescence.GLU/rs72857434_count_position.png",4,220,900)</f>
        <v/>
      </c>
      <c r="T2213">
        <f>IMAGE("https://mitra.stanford.edu/kundaje/oak/projects/neuro-variants/variant_position/credible/roussos_2024/variant_figures/roussos_2024.adolescence.GLU/rs72857434_profile_position.png",4,220,900)</f>
        <v/>
      </c>
    </row>
    <row r="2214">
      <c r="A2214" t="inlineStr">
        <is>
          <t>chr2</t>
        </is>
      </c>
      <c r="B2214" t="n">
        <v>145883473</v>
      </c>
      <c r="C2214" t="inlineStr">
        <is>
          <t>G</t>
        </is>
      </c>
      <c r="D2214" t="inlineStr">
        <is>
          <t>T</t>
        </is>
      </c>
      <c r="E2214" t="inlineStr">
        <is>
          <t>rs6721450</t>
        </is>
      </c>
      <c r="F2214" t="n">
        <v>0.0169031546</v>
      </c>
      <c r="G2214" t="n">
        <v>0.3399170781173989</v>
      </c>
      <c r="H2214" t="n">
        <v>0.01022958271284</v>
      </c>
      <c r="I2214" t="n">
        <v>0.4963101821523242</v>
      </c>
      <c r="J2214" t="n">
        <v>0.2336641161383429</v>
      </c>
      <c r="K2214" t="n">
        <v>0.3542943361799625</v>
      </c>
      <c r="L2214" t="b">
        <v>0</v>
      </c>
      <c r="M2214" t="b">
        <v>0</v>
      </c>
      <c r="N2214" t="inlineStr">
        <is>
          <t>alt</t>
        </is>
      </c>
      <c r="O2214" t="n">
        <v>-100</v>
      </c>
      <c r="P2214" t="n">
        <v>0.01342</v>
      </c>
      <c r="Q2214" t="n">
        <v>70</v>
      </c>
      <c r="R2214" t="n">
        <v>0.08649999999999999</v>
      </c>
      <c r="S2214">
        <f>IMAGE("https://mitra.stanford.edu/kundaje/oak/projects/neuro-variants/variant_position/credible/roussos_2024/variant_figures/roussos_2024.adolescence.GLU/rs6721450_count_position.png",4,220,900)</f>
        <v/>
      </c>
      <c r="T2214">
        <f>IMAGE("https://mitra.stanford.edu/kundaje/oak/projects/neuro-variants/variant_position/credible/roussos_2024/variant_figures/roussos_2024.adolescence.GLU/rs6721450_profile_position.png",4,220,900)</f>
        <v/>
      </c>
    </row>
    <row r="2215">
      <c r="A2215" t="inlineStr">
        <is>
          <t>chr2</t>
        </is>
      </c>
      <c r="B2215" t="n">
        <v>146811485</v>
      </c>
      <c r="C2215" t="inlineStr">
        <is>
          <t>T</t>
        </is>
      </c>
      <c r="D2215" t="inlineStr">
        <is>
          <t>C</t>
        </is>
      </c>
      <c r="E2215" t="inlineStr">
        <is>
          <t>rs34624969</t>
        </is>
      </c>
      <c r="F2215" t="n">
        <v>0.0179447611</v>
      </c>
      <c r="G2215" t="n">
        <v>0.3161569986272638</v>
      </c>
      <c r="H2215" t="n">
        <v>0.0155207846629115</v>
      </c>
      <c r="I2215" t="n">
        <v>0.1432454993253981</v>
      </c>
      <c r="J2215" t="n">
        <v>0.0468697087253788</v>
      </c>
      <c r="K2215" t="n">
        <v>0.714148064304993</v>
      </c>
      <c r="L2215" t="b">
        <v>0</v>
      </c>
      <c r="M2215" t="b">
        <v>0</v>
      </c>
      <c r="N2215" t="inlineStr">
        <is>
          <t>alt</t>
        </is>
      </c>
      <c r="O2215" t="n">
        <v>40</v>
      </c>
      <c r="P2215" t="n">
        <v>0.006443</v>
      </c>
      <c r="Q2215" t="n">
        <v>-10</v>
      </c>
      <c r="R2215" t="n">
        <v>0.01758</v>
      </c>
      <c r="S2215">
        <f>IMAGE("https://mitra.stanford.edu/kundaje/oak/projects/neuro-variants/variant_position/credible/roussos_2024/variant_figures/roussos_2024.adolescence.GLU/rs34624969_count_position.png",4,220,900)</f>
        <v/>
      </c>
      <c r="T2215">
        <f>IMAGE("https://mitra.stanford.edu/kundaje/oak/projects/neuro-variants/variant_position/credible/roussos_2024/variant_figures/roussos_2024.adolescence.GLU/rs34624969_profile_position.png",4,220,900)</f>
        <v/>
      </c>
    </row>
    <row r="2216">
      <c r="A2216" t="inlineStr">
        <is>
          <t>chr2</t>
        </is>
      </c>
      <c r="B2216" t="n">
        <v>146823071</v>
      </c>
      <c r="C2216" t="inlineStr">
        <is>
          <t>C</t>
        </is>
      </c>
      <c r="D2216" t="inlineStr">
        <is>
          <t>T</t>
        </is>
      </c>
      <c r="E2216" t="inlineStr">
        <is>
          <t>rs4556924</t>
        </is>
      </c>
      <c r="F2216" t="n">
        <v>-0.06659448599999999</v>
      </c>
      <c r="G2216" t="n">
        <v>0.0303651774121171</v>
      </c>
      <c r="H2216" t="n">
        <v>0.0120972009864147</v>
      </c>
      <c r="I2216" t="n">
        <v>0.3145949334530403</v>
      </c>
      <c r="J2216" t="n">
        <v>0.0897928856691742</v>
      </c>
      <c r="K2216" t="n">
        <v>0.5959273921359036</v>
      </c>
      <c r="L2216" t="b">
        <v>0</v>
      </c>
      <c r="M2216" t="b">
        <v>0</v>
      </c>
      <c r="N2216" t="inlineStr">
        <is>
          <t>ref</t>
        </is>
      </c>
      <c r="O2216" t="n">
        <v>-80</v>
      </c>
      <c r="P2216" t="n">
        <v>0.004482</v>
      </c>
      <c r="Q2216" t="n">
        <v>-80</v>
      </c>
      <c r="R2216" t="n">
        <v>0.03723</v>
      </c>
      <c r="S2216">
        <f>IMAGE("https://mitra.stanford.edu/kundaje/oak/projects/neuro-variants/variant_position/credible/roussos_2024/variant_figures/roussos_2024.adolescence.GLU/rs4556924_count_position.png",4,220,900)</f>
        <v/>
      </c>
      <c r="T2216">
        <f>IMAGE("https://mitra.stanford.edu/kundaje/oak/projects/neuro-variants/variant_position/credible/roussos_2024/variant_figures/roussos_2024.adolescence.GLU/rs4556924_profile_position.png",4,220,900)</f>
        <v/>
      </c>
    </row>
    <row r="2217">
      <c r="A2217" t="inlineStr">
        <is>
          <t>chr2</t>
        </is>
      </c>
      <c r="B2217" t="n">
        <v>146834002</v>
      </c>
      <c r="C2217" t="inlineStr">
        <is>
          <t>A</t>
        </is>
      </c>
      <c r="D2217" t="inlineStr">
        <is>
          <t>C</t>
        </is>
      </c>
      <c r="E2217" t="inlineStr">
        <is>
          <t>rs7559983</t>
        </is>
      </c>
      <c r="F2217" t="n">
        <v>0.0133135437064</v>
      </c>
      <c r="G2217" t="n">
        <v>0.4206936139310742</v>
      </c>
      <c r="H2217" t="n">
        <v>0.0188132265326539</v>
      </c>
      <c r="I2217" t="n">
        <v>0.06978747772695609</v>
      </c>
      <c r="J2217" t="n">
        <v>0.032183809503397</v>
      </c>
      <c r="K2217" t="n">
        <v>0.7696242088900601</v>
      </c>
      <c r="L2217" t="b">
        <v>0</v>
      </c>
      <c r="M2217" t="b">
        <v>0</v>
      </c>
      <c r="N2217" t="inlineStr">
        <is>
          <t>alt</t>
        </is>
      </c>
      <c r="O2217" t="n">
        <v>-80</v>
      </c>
      <c r="P2217" t="n">
        <v>0.004395</v>
      </c>
      <c r="Q2217" t="n">
        <v>35</v>
      </c>
      <c r="R2217" t="n">
        <v>0.08044</v>
      </c>
      <c r="S2217">
        <f>IMAGE("https://mitra.stanford.edu/kundaje/oak/projects/neuro-variants/variant_position/credible/roussos_2024/variant_figures/roussos_2024.adolescence.GLU/rs7559983_count_position.png",4,220,900)</f>
        <v/>
      </c>
      <c r="T2217">
        <f>IMAGE("https://mitra.stanford.edu/kundaje/oak/projects/neuro-variants/variant_position/credible/roussos_2024/variant_figures/roussos_2024.adolescence.GLU/rs7559983_profile_position.png",4,220,900)</f>
        <v/>
      </c>
    </row>
    <row r="2218">
      <c r="A2218" t="inlineStr">
        <is>
          <t>chr2</t>
        </is>
      </c>
      <c r="B2218" t="n">
        <v>146853682</v>
      </c>
      <c r="C2218" t="inlineStr">
        <is>
          <t>G</t>
        </is>
      </c>
      <c r="D2218" t="inlineStr">
        <is>
          <t>A</t>
        </is>
      </c>
      <c r="E2218" t="inlineStr">
        <is>
          <t>rs3934919</t>
        </is>
      </c>
      <c r="F2218" t="n">
        <v>-0.0074274485</v>
      </c>
      <c r="G2218" t="n">
        <v>0.615406369614543</v>
      </c>
      <c r="H2218" t="n">
        <v>0.0103356324318904</v>
      </c>
      <c r="I2218" t="n">
        <v>0.4698726323531996</v>
      </c>
      <c r="J2218" t="n">
        <v>0.0205213937172699</v>
      </c>
      <c r="K2218" t="n">
        <v>0.8175253402529548</v>
      </c>
      <c r="L2218" t="b">
        <v>0</v>
      </c>
      <c r="M2218" t="b">
        <v>0</v>
      </c>
      <c r="N2218" t="inlineStr">
        <is>
          <t>ref</t>
        </is>
      </c>
      <c r="O2218" t="n">
        <v>100</v>
      </c>
      <c r="P2218" t="n">
        <v>0.001892</v>
      </c>
      <c r="Q2218" t="n">
        <v>65</v>
      </c>
      <c r="R2218" t="n">
        <v>0.05463</v>
      </c>
      <c r="S2218">
        <f>IMAGE("https://mitra.stanford.edu/kundaje/oak/projects/neuro-variants/variant_position/credible/roussos_2024/variant_figures/roussos_2024.adolescence.GLU/rs3934919_count_position.png",4,220,900)</f>
        <v/>
      </c>
      <c r="T2218">
        <f>IMAGE("https://mitra.stanford.edu/kundaje/oak/projects/neuro-variants/variant_position/credible/roussos_2024/variant_figures/roussos_2024.adolescence.GLU/rs3934919_profile_position.png",4,220,900)</f>
        <v/>
      </c>
    </row>
    <row r="2219">
      <c r="A2219" t="inlineStr">
        <is>
          <t>chr2</t>
        </is>
      </c>
      <c r="B2219" t="n">
        <v>146859620</v>
      </c>
      <c r="C2219" t="inlineStr">
        <is>
          <t>C</t>
        </is>
      </c>
      <c r="D2219" t="inlineStr">
        <is>
          <t>T</t>
        </is>
      </c>
      <c r="E2219" t="inlineStr">
        <is>
          <t>rs13022139</t>
        </is>
      </c>
      <c r="F2219" t="n">
        <v>0.07016693328</v>
      </c>
      <c r="G2219" t="n">
        <v>0.0624481949416798</v>
      </c>
      <c r="H2219" t="n">
        <v>0.0273386798273716</v>
      </c>
      <c r="I2219" t="n">
        <v>0.0457290589685545</v>
      </c>
      <c r="J2219" t="n">
        <v>0.013912881954119</v>
      </c>
      <c r="K2219" t="n">
        <v>0.8591663671933231</v>
      </c>
      <c r="L2219" t="b">
        <v>0</v>
      </c>
      <c r="M2219" t="b">
        <v>0</v>
      </c>
      <c r="N2219" t="inlineStr">
        <is>
          <t>alt</t>
        </is>
      </c>
      <c r="O2219" t="n">
        <v>85</v>
      </c>
      <c r="P2219" t="n">
        <v>0.002129</v>
      </c>
      <c r="Q2219" t="n">
        <v>-30</v>
      </c>
      <c r="R2219" t="n">
        <v>0.03204</v>
      </c>
      <c r="S2219">
        <f>IMAGE("https://mitra.stanford.edu/kundaje/oak/projects/neuro-variants/variant_position/credible/roussos_2024/variant_figures/roussos_2024.adolescence.GLU/rs13022139_count_position.png",4,220,900)</f>
        <v/>
      </c>
      <c r="T2219">
        <f>IMAGE("https://mitra.stanford.edu/kundaje/oak/projects/neuro-variants/variant_position/credible/roussos_2024/variant_figures/roussos_2024.adolescence.GLU/rs13022139_profile_position.png",4,220,900)</f>
        <v/>
      </c>
    </row>
    <row r="2220">
      <c r="A2220" t="inlineStr">
        <is>
          <t>chr2</t>
        </is>
      </c>
      <c r="B2220" t="n">
        <v>147051395</v>
      </c>
      <c r="C2220" t="inlineStr">
        <is>
          <t>T</t>
        </is>
      </c>
      <c r="D2220" t="inlineStr">
        <is>
          <t>C</t>
        </is>
      </c>
      <c r="E2220" t="inlineStr">
        <is>
          <t>rs2254296</t>
        </is>
      </c>
      <c r="F2220" t="n">
        <v>0.00648511984</v>
      </c>
      <c r="G2220" t="n">
        <v>0.635755761092488</v>
      </c>
      <c r="H2220" t="n">
        <v>0.0070122607649992</v>
      </c>
      <c r="I2220" t="n">
        <v>0.8977112101137348</v>
      </c>
      <c r="J2220" t="n">
        <v>0.025396689314215</v>
      </c>
      <c r="K2220" t="n">
        <v>0.7932079383113284</v>
      </c>
      <c r="L2220" t="b">
        <v>0</v>
      </c>
      <c r="M2220" t="b">
        <v>0</v>
      </c>
      <c r="N2220" t="inlineStr">
        <is>
          <t>alt</t>
        </is>
      </c>
      <c r="O2220" t="n">
        <v>-70</v>
      </c>
      <c r="P2220" t="n">
        <v>0.004745</v>
      </c>
      <c r="Q2220" t="n">
        <v>100</v>
      </c>
      <c r="R2220" t="n">
        <v>0.0406</v>
      </c>
      <c r="S2220">
        <f>IMAGE("https://mitra.stanford.edu/kundaje/oak/projects/neuro-variants/variant_position/credible/roussos_2024/variant_figures/roussos_2024.adolescence.GLU/rs2254296_count_position.png",4,220,900)</f>
        <v/>
      </c>
      <c r="T2220">
        <f>IMAGE("https://mitra.stanford.edu/kundaje/oak/projects/neuro-variants/variant_position/credible/roussos_2024/variant_figures/roussos_2024.adolescence.GLU/rs2254296_profile_position.png",4,220,900)</f>
        <v/>
      </c>
    </row>
    <row r="2221">
      <c r="A2221" t="inlineStr">
        <is>
          <t>chr2</t>
        </is>
      </c>
      <c r="B2221" t="n">
        <v>147059580</v>
      </c>
      <c r="C2221" t="inlineStr">
        <is>
          <t>T</t>
        </is>
      </c>
      <c r="D2221" t="inlineStr">
        <is>
          <t>C</t>
        </is>
      </c>
      <c r="E2221" t="inlineStr">
        <is>
          <t>rs1451083</t>
        </is>
      </c>
      <c r="F2221" t="n">
        <v>0.00238890702</v>
      </c>
      <c r="G2221" t="n">
        <v>0.7469874355261643</v>
      </c>
      <c r="H2221" t="n">
        <v>0.0191662712400013</v>
      </c>
      <c r="I2221" t="n">
        <v>0.071481225658762</v>
      </c>
      <c r="J2221" t="n">
        <v>0.0136542569532259</v>
      </c>
      <c r="K2221" t="n">
        <v>0.8516181249124437</v>
      </c>
      <c r="L2221" t="b">
        <v>0</v>
      </c>
      <c r="M2221" t="b">
        <v>0</v>
      </c>
      <c r="N2221" t="inlineStr">
        <is>
          <t>alt</t>
        </is>
      </c>
      <c r="O2221" t="n">
        <v>100</v>
      </c>
      <c r="P2221" t="n">
        <v>0.00525</v>
      </c>
      <c r="Q2221" t="n">
        <v>-100</v>
      </c>
      <c r="R2221" t="n">
        <v>0.10333</v>
      </c>
      <c r="S2221">
        <f>IMAGE("https://mitra.stanford.edu/kundaje/oak/projects/neuro-variants/variant_position/credible/roussos_2024/variant_figures/roussos_2024.adolescence.GLU/rs1451083_count_position.png",4,220,900)</f>
        <v/>
      </c>
      <c r="T2221">
        <f>IMAGE("https://mitra.stanford.edu/kundaje/oak/projects/neuro-variants/variant_position/credible/roussos_2024/variant_figures/roussos_2024.adolescence.GLU/rs1451083_profile_position.png",4,220,900)</f>
        <v/>
      </c>
    </row>
    <row r="2222">
      <c r="A2222" t="inlineStr">
        <is>
          <t>chr2</t>
        </is>
      </c>
      <c r="B2222" t="n">
        <v>147060558</v>
      </c>
      <c r="C2222" t="inlineStr">
        <is>
          <t>C</t>
        </is>
      </c>
      <c r="D2222" t="inlineStr">
        <is>
          <t>T</t>
        </is>
      </c>
      <c r="E2222" t="inlineStr">
        <is>
          <t>rs6743215</t>
        </is>
      </c>
      <c r="F2222" t="n">
        <v>-0.0558808148</v>
      </c>
      <c r="G2222" t="n">
        <v>0.0494392129291577</v>
      </c>
      <c r="H2222" t="n">
        <v>0.0125397664368743</v>
      </c>
      <c r="I2222" t="n">
        <v>0.2916137653811521</v>
      </c>
      <c r="J2222" t="n">
        <v>0.1610776517993012</v>
      </c>
      <c r="K2222" t="n">
        <v>0.4603414290392463</v>
      </c>
      <c r="L2222" t="b">
        <v>0</v>
      </c>
      <c r="M2222" t="b">
        <v>0</v>
      </c>
      <c r="N2222" t="inlineStr">
        <is>
          <t>ref</t>
        </is>
      </c>
      <c r="O2222" t="n">
        <v>-50</v>
      </c>
      <c r="P2222" t="n">
        <v>0.005707</v>
      </c>
      <c r="Q2222" t="n">
        <v>100</v>
      </c>
      <c r="R2222" t="n">
        <v>0.0635</v>
      </c>
      <c r="S2222">
        <f>IMAGE("https://mitra.stanford.edu/kundaje/oak/projects/neuro-variants/variant_position/credible/roussos_2024/variant_figures/roussos_2024.adolescence.GLU/rs6743215_count_position.png",4,220,900)</f>
        <v/>
      </c>
      <c r="T2222">
        <f>IMAGE("https://mitra.stanford.edu/kundaje/oak/projects/neuro-variants/variant_position/credible/roussos_2024/variant_figures/roussos_2024.adolescence.GLU/rs6743215_profile_position.png",4,220,900)</f>
        <v/>
      </c>
    </row>
    <row r="2223">
      <c r="A2223" t="inlineStr">
        <is>
          <t>chr2</t>
        </is>
      </c>
      <c r="B2223" t="n">
        <v>147065200</v>
      </c>
      <c r="C2223" t="inlineStr">
        <is>
          <t>G</t>
        </is>
      </c>
      <c r="D2223" t="inlineStr">
        <is>
          <t>A</t>
        </is>
      </c>
      <c r="E2223" t="inlineStr">
        <is>
          <t>rs61064806</t>
        </is>
      </c>
      <c r="F2223" t="n">
        <v>-0.0574141162</v>
      </c>
      <c r="G2223" t="n">
        <v>0.0532008777707836</v>
      </c>
      <c r="H2223" t="n">
        <v>0.0147427084195938</v>
      </c>
      <c r="I2223" t="n">
        <v>0.1831617229718788</v>
      </c>
      <c r="J2223" t="n">
        <v>0.0826228290145815</v>
      </c>
      <c r="K2223" t="n">
        <v>0.621397201487265</v>
      </c>
      <c r="L2223" t="b">
        <v>0</v>
      </c>
      <c r="M2223" t="b">
        <v>0</v>
      </c>
      <c r="N2223" t="inlineStr">
        <is>
          <t>ref</t>
        </is>
      </c>
      <c r="O2223" t="n">
        <v>-55</v>
      </c>
      <c r="P2223" t="n">
        <v>0.001606</v>
      </c>
      <c r="Q2223" t="n">
        <v>20</v>
      </c>
      <c r="R2223" t="n">
        <v>0.02917</v>
      </c>
      <c r="S2223">
        <f>IMAGE("https://mitra.stanford.edu/kundaje/oak/projects/neuro-variants/variant_position/credible/roussos_2024/variant_figures/roussos_2024.adolescence.GLU/rs61064806_count_position.png",4,220,900)</f>
        <v/>
      </c>
      <c r="T2223">
        <f>IMAGE("https://mitra.stanford.edu/kundaje/oak/projects/neuro-variants/variant_position/credible/roussos_2024/variant_figures/roussos_2024.adolescence.GLU/rs61064806_profile_position.png",4,220,900)</f>
        <v/>
      </c>
    </row>
    <row r="2224">
      <c r="A2224" t="inlineStr">
        <is>
          <t>chr2</t>
        </is>
      </c>
      <c r="B2224" t="n">
        <v>152147871</v>
      </c>
      <c r="C2224" t="inlineStr">
        <is>
          <t>C</t>
        </is>
      </c>
      <c r="D2224" t="inlineStr">
        <is>
          <t>A</t>
        </is>
      </c>
      <c r="E2224" t="inlineStr">
        <is>
          <t>rs4664536</t>
        </is>
      </c>
      <c r="F2224" t="n">
        <v>-0.00458465852</v>
      </c>
      <c r="G2224" t="n">
        <v>0.7034054821150169</v>
      </c>
      <c r="H2224" t="n">
        <v>0.0246336308428137</v>
      </c>
      <c r="I2224" t="n">
        <v>0.0217936605185441</v>
      </c>
      <c r="J2224" t="n">
        <v>0.004869580127312</v>
      </c>
      <c r="K2224" t="n">
        <v>0.920827283515155</v>
      </c>
      <c r="L2224" t="b">
        <v>0</v>
      </c>
      <c r="M2224" t="b">
        <v>0</v>
      </c>
      <c r="N2224" t="inlineStr">
        <is>
          <t>ref</t>
        </is>
      </c>
      <c r="O2224" t="n">
        <v>100</v>
      </c>
      <c r="P2224" t="n">
        <v>0.005043</v>
      </c>
      <c r="Q2224" t="n">
        <v>100</v>
      </c>
      <c r="R2224" t="n">
        <v>0.06900000000000001</v>
      </c>
      <c r="S2224">
        <f>IMAGE("https://mitra.stanford.edu/kundaje/oak/projects/neuro-variants/variant_position/credible/roussos_2024/variant_figures/roussos_2024.adolescence.GLU/rs4664536_count_position.png",4,220,900)</f>
        <v/>
      </c>
      <c r="T2224">
        <f>IMAGE("https://mitra.stanford.edu/kundaje/oak/projects/neuro-variants/variant_position/credible/roussos_2024/variant_figures/roussos_2024.adolescence.GLU/rs4664536_profile_position.png",4,220,900)</f>
        <v/>
      </c>
    </row>
    <row r="2225">
      <c r="A2225" t="inlineStr">
        <is>
          <t>chr2</t>
        </is>
      </c>
      <c r="B2225" t="n">
        <v>152160749</v>
      </c>
      <c r="C2225" t="inlineStr">
        <is>
          <t>T</t>
        </is>
      </c>
      <c r="D2225" t="inlineStr">
        <is>
          <t>C</t>
        </is>
      </c>
      <c r="E2225" t="inlineStr">
        <is>
          <t>rs191529620</t>
        </is>
      </c>
      <c r="F2225" t="n">
        <v>0.00825190172</v>
      </c>
      <c r="G2225" t="n">
        <v>0.5658680232346526</v>
      </c>
      <c r="H2225" t="n">
        <v>0.011430703327817</v>
      </c>
      <c r="I2225" t="n">
        <v>0.3871661584683943</v>
      </c>
      <c r="J2225" t="n">
        <v>0.6037579212836944</v>
      </c>
      <c r="K2225" t="n">
        <v>0.0361820651344212</v>
      </c>
      <c r="L2225" t="b">
        <v>0</v>
      </c>
      <c r="M2225" t="b">
        <v>0</v>
      </c>
      <c r="N2225" t="inlineStr">
        <is>
          <t>alt</t>
        </is>
      </c>
      <c r="O2225" t="n">
        <v>25</v>
      </c>
      <c r="P2225" t="n">
        <v>0.00775</v>
      </c>
      <c r="Q2225" t="n">
        <v>-100</v>
      </c>
      <c r="R2225" t="n">
        <v>0.007324</v>
      </c>
      <c r="S2225">
        <f>IMAGE("https://mitra.stanford.edu/kundaje/oak/projects/neuro-variants/variant_position/credible/roussos_2024/variant_figures/roussos_2024.adolescence.GLU/rs191529620_count_position.png",4,220,900)</f>
        <v/>
      </c>
      <c r="T2225">
        <f>IMAGE("https://mitra.stanford.edu/kundaje/oak/projects/neuro-variants/variant_position/credible/roussos_2024/variant_figures/roussos_2024.adolescence.GLU/rs191529620_profile_position.png",4,220,900)</f>
        <v/>
      </c>
    </row>
    <row r="2226">
      <c r="A2226" t="inlineStr">
        <is>
          <t>chr2</t>
        </is>
      </c>
      <c r="B2226" t="n">
        <v>152161260</v>
      </c>
      <c r="C2226" t="inlineStr">
        <is>
          <t>G</t>
        </is>
      </c>
      <c r="D2226" t="inlineStr">
        <is>
          <t>A</t>
        </is>
      </c>
      <c r="E2226" t="inlineStr">
        <is>
          <t>rs3963509</t>
        </is>
      </c>
      <c r="F2226" t="n">
        <v>-0.0831715828</v>
      </c>
      <c r="G2226" t="n">
        <v>0.0139228848918801</v>
      </c>
      <c r="H2226" t="n">
        <v>0.0139220984004002</v>
      </c>
      <c r="I2226" t="n">
        <v>0.2045652420568268</v>
      </c>
      <c r="J2226" t="n">
        <v>0.3403004908159547</v>
      </c>
      <c r="K2226" t="n">
        <v>0.2266283176120037</v>
      </c>
      <c r="L2226" t="b">
        <v>1</v>
      </c>
      <c r="M2226" t="b">
        <v>0</v>
      </c>
      <c r="N2226" t="inlineStr">
        <is>
          <t>ref</t>
        </is>
      </c>
      <c r="O2226" t="n">
        <v>60</v>
      </c>
      <c r="P2226" t="n">
        <v>0.03247</v>
      </c>
      <c r="Q2226" t="n">
        <v>-95</v>
      </c>
      <c r="R2226" t="n">
        <v>0.0988</v>
      </c>
      <c r="S2226">
        <f>IMAGE("https://mitra.stanford.edu/kundaje/oak/projects/neuro-variants/variant_position/credible/roussos_2024/variant_figures/roussos_2024.adolescence.GLU/rs3963509_count_position.png",4,220,900)</f>
        <v/>
      </c>
      <c r="T2226">
        <f>IMAGE("https://mitra.stanford.edu/kundaje/oak/projects/neuro-variants/variant_position/credible/roussos_2024/variant_figures/roussos_2024.adolescence.GLU/rs3963509_profile_position.png",4,220,900)</f>
        <v/>
      </c>
    </row>
    <row r="2227">
      <c r="A2227" t="inlineStr">
        <is>
          <t>chr2</t>
        </is>
      </c>
      <c r="B2227" t="n">
        <v>152202955</v>
      </c>
      <c r="C2227" t="inlineStr">
        <is>
          <t>A</t>
        </is>
      </c>
      <c r="D2227" t="inlineStr">
        <is>
          <t>C</t>
        </is>
      </c>
      <c r="E2227" t="inlineStr">
        <is>
          <t>rs62177360</t>
        </is>
      </c>
      <c r="F2227" t="n">
        <v>-0.00360814452</v>
      </c>
      <c r="G2227" t="n">
        <v>0.7747993923553264</v>
      </c>
      <c r="H2227" t="n">
        <v>0.0294680307735131</v>
      </c>
      <c r="I2227" t="n">
        <v>0.009355037348198401</v>
      </c>
      <c r="J2227" t="n">
        <v>0.2713490651634981</v>
      </c>
      <c r="K2227" t="n">
        <v>0.3059612750714738</v>
      </c>
      <c r="L2227" t="b">
        <v>1</v>
      </c>
      <c r="M2227" t="b">
        <v>1</v>
      </c>
      <c r="N2227" t="inlineStr">
        <is>
          <t>ref</t>
        </is>
      </c>
      <c r="O2227" t="n">
        <v>-70</v>
      </c>
      <c r="P2227" t="n">
        <v>0.01062</v>
      </c>
      <c r="Q2227" t="n">
        <v>-100</v>
      </c>
      <c r="R2227" t="n">
        <v>0.397</v>
      </c>
      <c r="S2227">
        <f>IMAGE("https://mitra.stanford.edu/kundaje/oak/projects/neuro-variants/variant_position/credible/roussos_2024/variant_figures/roussos_2024.adolescence.GLU/rs62177360_count_position.png",4,220,900)</f>
        <v/>
      </c>
      <c r="T2227">
        <f>IMAGE("https://mitra.stanford.edu/kundaje/oak/projects/neuro-variants/variant_position/credible/roussos_2024/variant_figures/roussos_2024.adolescence.GLU/rs62177360_profile_position.png",4,220,900)</f>
        <v/>
      </c>
    </row>
    <row r="2228">
      <c r="A2228" t="inlineStr">
        <is>
          <t>chr2</t>
        </is>
      </c>
      <c r="B2228" t="n">
        <v>152278659</v>
      </c>
      <c r="C2228" t="inlineStr">
        <is>
          <t>C</t>
        </is>
      </c>
      <c r="D2228" t="inlineStr">
        <is>
          <t>T</t>
        </is>
      </c>
      <c r="E2228" t="inlineStr">
        <is>
          <t>rs6732917</t>
        </is>
      </c>
      <c r="F2228" t="n">
        <v>0.003811674346</v>
      </c>
      <c r="G2228" t="n">
        <v>0.7203619028563272</v>
      </c>
      <c r="H2228" t="n">
        <v>0.0156153105260831</v>
      </c>
      <c r="I2228" t="n">
        <v>0.1410234088480335</v>
      </c>
      <c r="J2228" t="n">
        <v>0.3873073708125255</v>
      </c>
      <c r="K2228" t="n">
        <v>0.1786085750115549</v>
      </c>
      <c r="L2228" t="b">
        <v>0</v>
      </c>
      <c r="M2228" t="b">
        <v>0</v>
      </c>
      <c r="N2228" t="inlineStr">
        <is>
          <t>alt</t>
        </is>
      </c>
      <c r="O2228" t="n">
        <v>-40</v>
      </c>
      <c r="P2228" t="n">
        <v>0.003563</v>
      </c>
      <c r="Q2228" t="n">
        <v>80</v>
      </c>
      <c r="R2228" t="n">
        <v>0.1415</v>
      </c>
      <c r="S2228">
        <f>IMAGE("https://mitra.stanford.edu/kundaje/oak/projects/neuro-variants/variant_position/credible/roussos_2024/variant_figures/roussos_2024.adolescence.GLU/rs6732917_count_position.png",4,220,900)</f>
        <v/>
      </c>
      <c r="T2228">
        <f>IMAGE("https://mitra.stanford.edu/kundaje/oak/projects/neuro-variants/variant_position/credible/roussos_2024/variant_figures/roussos_2024.adolescence.GLU/rs6732917_profile_position.png",4,220,900)</f>
        <v/>
      </c>
    </row>
    <row r="2229">
      <c r="A2229" t="inlineStr">
        <is>
          <t>chr2</t>
        </is>
      </c>
      <c r="B2229" t="n">
        <v>155028649</v>
      </c>
      <c r="C2229" t="inlineStr">
        <is>
          <t>G</t>
        </is>
      </c>
      <c r="D2229" t="inlineStr">
        <is>
          <t>T</t>
        </is>
      </c>
      <c r="E2229" t="inlineStr">
        <is>
          <t>rs72865150</t>
        </is>
      </c>
      <c r="F2229" t="n">
        <v>-0.0017770917</v>
      </c>
      <c r="G2229" t="n">
        <v>0.6589399513768384</v>
      </c>
      <c r="H2229" t="n">
        <v>0.0189298206216903</v>
      </c>
      <c r="I2229" t="n">
        <v>0.0711934458423621</v>
      </c>
      <c r="J2229" t="n">
        <v>0.008618928206557</v>
      </c>
      <c r="K2229" t="n">
        <v>0.887186653959669</v>
      </c>
      <c r="L2229" t="b">
        <v>0</v>
      </c>
      <c r="M2229" t="b">
        <v>0</v>
      </c>
      <c r="N2229" t="inlineStr">
        <is>
          <t>ref</t>
        </is>
      </c>
      <c r="O2229" t="n">
        <v>-25</v>
      </c>
      <c r="P2229" t="n">
        <v>0.001648</v>
      </c>
      <c r="Q2229" t="n">
        <v>100</v>
      </c>
      <c r="R2229" t="n">
        <v>0.02551</v>
      </c>
      <c r="S2229">
        <f>IMAGE("https://mitra.stanford.edu/kundaje/oak/projects/neuro-variants/variant_position/credible/roussos_2024/variant_figures/roussos_2024.adolescence.GLU/rs72865150_count_position.png",4,220,900)</f>
        <v/>
      </c>
      <c r="T2229">
        <f>IMAGE("https://mitra.stanford.edu/kundaje/oak/projects/neuro-variants/variant_position/credible/roussos_2024/variant_figures/roussos_2024.adolescence.GLU/rs72865150_profile_position.png",4,220,900)</f>
        <v/>
      </c>
    </row>
    <row r="2230">
      <c r="A2230" t="inlineStr">
        <is>
          <t>chr2</t>
        </is>
      </c>
      <c r="B2230" t="n">
        <v>155059850</v>
      </c>
      <c r="C2230" t="inlineStr">
        <is>
          <t>G</t>
        </is>
      </c>
      <c r="D2230" t="inlineStr">
        <is>
          <t>A</t>
        </is>
      </c>
      <c r="E2230" t="inlineStr">
        <is>
          <t>rs34849522</t>
        </is>
      </c>
      <c r="F2230" t="n">
        <v>0.0003382165079999</v>
      </c>
      <c r="G2230" t="n">
        <v>0.6589452708638732</v>
      </c>
      <c r="H2230" t="n">
        <v>0.0221655499391101</v>
      </c>
      <c r="I2230" t="n">
        <v>0.037455010316452</v>
      </c>
      <c r="J2230" t="n">
        <v>0.0273213737131262</v>
      </c>
      <c r="K2230" t="n">
        <v>0.7894915531767844</v>
      </c>
      <c r="L2230" t="b">
        <v>0</v>
      </c>
      <c r="M2230" t="b">
        <v>0</v>
      </c>
      <c r="N2230" t="inlineStr">
        <is>
          <t>alt</t>
        </is>
      </c>
      <c r="O2230" t="n">
        <v>-10</v>
      </c>
      <c r="P2230" t="n">
        <v>0.001797</v>
      </c>
      <c r="Q2230" t="n">
        <v>20</v>
      </c>
      <c r="R2230" t="n">
        <v>0.0002136</v>
      </c>
      <c r="S2230">
        <f>IMAGE("https://mitra.stanford.edu/kundaje/oak/projects/neuro-variants/variant_position/credible/roussos_2024/variant_figures/roussos_2024.adolescence.GLU/rs34849522_count_position.png",4,220,900)</f>
        <v/>
      </c>
      <c r="T2230">
        <f>IMAGE("https://mitra.stanford.edu/kundaje/oak/projects/neuro-variants/variant_position/credible/roussos_2024/variant_figures/roussos_2024.adolescence.GLU/rs34849522_profile_position.png",4,220,900)</f>
        <v/>
      </c>
    </row>
    <row r="2231">
      <c r="A2231" t="inlineStr">
        <is>
          <t>chr2</t>
        </is>
      </c>
      <c r="B2231" t="n">
        <v>155061910</v>
      </c>
      <c r="C2231" t="inlineStr">
        <is>
          <t>T</t>
        </is>
      </c>
      <c r="D2231" t="inlineStr">
        <is>
          <t>C</t>
        </is>
      </c>
      <c r="E2231" t="inlineStr">
        <is>
          <t>rs62177111</t>
        </is>
      </c>
      <c r="F2231" t="n">
        <v>0.002386058768</v>
      </c>
      <c r="G2231" t="n">
        <v>0.7569288757807137</v>
      </c>
      <c r="H2231" t="n">
        <v>0.0062665520944955</v>
      </c>
      <c r="I2231" t="n">
        <v>0.9659277839744248</v>
      </c>
      <c r="J2231" t="n">
        <v>0.0259253702552671</v>
      </c>
      <c r="K2231" t="n">
        <v>0.7903201985534156</v>
      </c>
      <c r="L2231" t="b">
        <v>0</v>
      </c>
      <c r="M2231" t="b">
        <v>0</v>
      </c>
      <c r="N2231" t="inlineStr">
        <is>
          <t>alt</t>
        </is>
      </c>
      <c r="O2231" t="n">
        <v>90</v>
      </c>
      <c r="P2231" t="n">
        <v>0.002872</v>
      </c>
      <c r="Q2231" t="n">
        <v>95</v>
      </c>
      <c r="R2231" t="n">
        <v>0.04214</v>
      </c>
      <c r="S2231">
        <f>IMAGE("https://mitra.stanford.edu/kundaje/oak/projects/neuro-variants/variant_position/credible/roussos_2024/variant_figures/roussos_2024.adolescence.GLU/rs62177111_count_position.png",4,220,900)</f>
        <v/>
      </c>
      <c r="T2231">
        <f>IMAGE("https://mitra.stanford.edu/kundaje/oak/projects/neuro-variants/variant_position/credible/roussos_2024/variant_figures/roussos_2024.adolescence.GLU/rs62177111_profile_position.png",4,220,900)</f>
        <v/>
      </c>
    </row>
    <row r="2232">
      <c r="A2232" t="inlineStr">
        <is>
          <t>chr2</t>
        </is>
      </c>
      <c r="B2232" t="n">
        <v>155062957</v>
      </c>
      <c r="C2232" t="inlineStr">
        <is>
          <t>T</t>
        </is>
      </c>
      <c r="D2232" t="inlineStr">
        <is>
          <t>C</t>
        </is>
      </c>
      <c r="E2232" t="inlineStr">
        <is>
          <t>rs13019836</t>
        </is>
      </c>
      <c r="F2232" t="n">
        <v>0.105466087</v>
      </c>
      <c r="G2232" t="n">
        <v>0.0075729537465533</v>
      </c>
      <c r="H2232" t="n">
        <v>0.0168026134938632</v>
      </c>
      <c r="I2232" t="n">
        <v>0.1241487292592565</v>
      </c>
      <c r="J2232" t="n">
        <v>0.2854405555436483</v>
      </c>
      <c r="K2232" t="n">
        <v>0.275319742504068</v>
      </c>
      <c r="L2232" t="b">
        <v>1</v>
      </c>
      <c r="M2232" t="b">
        <v>1</v>
      </c>
      <c r="N2232" t="inlineStr">
        <is>
          <t>alt</t>
        </is>
      </c>
      <c r="O2232" t="n">
        <v>80</v>
      </c>
      <c r="P2232" t="n">
        <v>0.0201</v>
      </c>
      <c r="Q2232" t="n">
        <v>0</v>
      </c>
      <c r="R2232" t="n">
        <v>0</v>
      </c>
      <c r="S2232">
        <f>IMAGE("https://mitra.stanford.edu/kundaje/oak/projects/neuro-variants/variant_position/credible/roussos_2024/variant_figures/roussos_2024.adolescence.GLU/rs13019836_count_position.png",4,220,900)</f>
        <v/>
      </c>
      <c r="T2232">
        <f>IMAGE("https://mitra.stanford.edu/kundaje/oak/projects/neuro-variants/variant_position/credible/roussos_2024/variant_figures/roussos_2024.adolescence.GLU/rs13019836_profile_position.png",4,220,900)</f>
        <v/>
      </c>
    </row>
    <row r="2233">
      <c r="A2233" t="inlineStr">
        <is>
          <t>chr2</t>
        </is>
      </c>
      <c r="B2233" t="n">
        <v>155076158</v>
      </c>
      <c r="C2233" t="inlineStr">
        <is>
          <t>G</t>
        </is>
      </c>
      <c r="D2233" t="inlineStr">
        <is>
          <t>T</t>
        </is>
      </c>
      <c r="E2233" t="inlineStr">
        <is>
          <t>rs17643843</t>
        </is>
      </c>
      <c r="F2233" t="n">
        <v>0.00341409076</v>
      </c>
      <c r="G2233" t="n">
        <v>0.7307704592301697</v>
      </c>
      <c r="H2233" t="n">
        <v>0.0192851218138241</v>
      </c>
      <c r="I2233" t="n">
        <v>0.068999120743027</v>
      </c>
      <c r="J2233" t="n">
        <v>0.1024569375084838</v>
      </c>
      <c r="K2233" t="n">
        <v>0.5637790438845347</v>
      </c>
      <c r="L2233" t="b">
        <v>0</v>
      </c>
      <c r="M2233" t="b">
        <v>0</v>
      </c>
      <c r="N2233" t="inlineStr">
        <is>
          <t>alt</t>
        </is>
      </c>
      <c r="O2233" t="n">
        <v>95</v>
      </c>
      <c r="P2233" t="n">
        <v>0.0019</v>
      </c>
      <c r="Q2233" t="n">
        <v>100</v>
      </c>
      <c r="R2233" t="n">
        <v>0.01065</v>
      </c>
      <c r="S2233">
        <f>IMAGE("https://mitra.stanford.edu/kundaje/oak/projects/neuro-variants/variant_position/credible/roussos_2024/variant_figures/roussos_2024.adolescence.GLU/rs17643843_count_position.png",4,220,900)</f>
        <v/>
      </c>
      <c r="T2233">
        <f>IMAGE("https://mitra.stanford.edu/kundaje/oak/projects/neuro-variants/variant_position/credible/roussos_2024/variant_figures/roussos_2024.adolescence.GLU/rs17643843_profile_position.png",4,220,900)</f>
        <v/>
      </c>
    </row>
    <row r="2234">
      <c r="A2234" t="inlineStr">
        <is>
          <t>chr2</t>
        </is>
      </c>
      <c r="B2234" t="n">
        <v>155085458</v>
      </c>
      <c r="C2234" t="inlineStr">
        <is>
          <t>G</t>
        </is>
      </c>
      <c r="D2234" t="inlineStr">
        <is>
          <t>A</t>
        </is>
      </c>
      <c r="E2234" t="inlineStr">
        <is>
          <t>rs12986694</t>
        </is>
      </c>
      <c r="F2234" t="n">
        <v>-0.0216301806</v>
      </c>
      <c r="G2234" t="n">
        <v>0.2702015933917311</v>
      </c>
      <c r="H2234" t="n">
        <v>0.0113512351906234</v>
      </c>
      <c r="I2234" t="n">
        <v>0.3880550468537198</v>
      </c>
      <c r="J2234" t="n">
        <v>0.0236734752198669</v>
      </c>
      <c r="K2234" t="n">
        <v>0.7994139402711773</v>
      </c>
      <c r="L2234" t="b">
        <v>0</v>
      </c>
      <c r="M2234" t="b">
        <v>0</v>
      </c>
      <c r="N2234" t="inlineStr">
        <is>
          <t>ref</t>
        </is>
      </c>
      <c r="O2234" t="n">
        <v>100</v>
      </c>
      <c r="P2234" t="n">
        <v>0.01361</v>
      </c>
      <c r="Q2234" t="n">
        <v>100</v>
      </c>
      <c r="R2234" t="n">
        <v>0.1201</v>
      </c>
      <c r="S2234">
        <f>IMAGE("https://mitra.stanford.edu/kundaje/oak/projects/neuro-variants/variant_position/credible/roussos_2024/variant_figures/roussos_2024.adolescence.GLU/rs12986694_count_position.png",4,220,900)</f>
        <v/>
      </c>
      <c r="T2234">
        <f>IMAGE("https://mitra.stanford.edu/kundaje/oak/projects/neuro-variants/variant_position/credible/roussos_2024/variant_figures/roussos_2024.adolescence.GLU/rs12986694_profile_position.png",4,220,900)</f>
        <v/>
      </c>
    </row>
    <row r="2235">
      <c r="A2235" t="inlineStr">
        <is>
          <t>chr2</t>
        </is>
      </c>
      <c r="B2235" t="n">
        <v>155096418</v>
      </c>
      <c r="C2235" t="inlineStr">
        <is>
          <t>C</t>
        </is>
      </c>
      <c r="D2235" t="inlineStr">
        <is>
          <t>T</t>
        </is>
      </c>
      <c r="E2235" t="inlineStr">
        <is>
          <t>rs36078004</t>
        </is>
      </c>
      <c r="F2235" t="n">
        <v>-0.001421194764</v>
      </c>
      <c r="G2235" t="n">
        <v>0.7256493933015162</v>
      </c>
      <c r="H2235" t="n">
        <v>0.0104643710855134</v>
      </c>
      <c r="I2235" t="n">
        <v>0.4746433003267126</v>
      </c>
      <c r="J2235" t="n">
        <v>0.0368676368676368</v>
      </c>
      <c r="K2235" t="n">
        <v>0.7490369098848597</v>
      </c>
      <c r="L2235" t="b">
        <v>0</v>
      </c>
      <c r="M2235" t="b">
        <v>0</v>
      </c>
      <c r="N2235" t="inlineStr">
        <is>
          <t>ref</t>
        </is>
      </c>
      <c r="O2235" t="n">
        <v>90</v>
      </c>
      <c r="P2235" t="n">
        <v>0.01128</v>
      </c>
      <c r="Q2235" t="n">
        <v>15</v>
      </c>
      <c r="R2235" t="n">
        <v>0.01344</v>
      </c>
      <c r="S2235">
        <f>IMAGE("https://mitra.stanford.edu/kundaje/oak/projects/neuro-variants/variant_position/credible/roussos_2024/variant_figures/roussos_2024.adolescence.GLU/rs36078004_count_position.png",4,220,900)</f>
        <v/>
      </c>
      <c r="T2235">
        <f>IMAGE("https://mitra.stanford.edu/kundaje/oak/projects/neuro-variants/variant_position/credible/roussos_2024/variant_figures/roussos_2024.adolescence.GLU/rs36078004_profile_position.png",4,220,900)</f>
        <v/>
      </c>
    </row>
    <row r="2236">
      <c r="A2236" t="inlineStr">
        <is>
          <t>chr2</t>
        </is>
      </c>
      <c r="B2236" t="n">
        <v>155115610</v>
      </c>
      <c r="C2236" t="inlineStr">
        <is>
          <t>G</t>
        </is>
      </c>
      <c r="D2236" t="inlineStr">
        <is>
          <t>A</t>
        </is>
      </c>
      <c r="E2236" t="inlineStr">
        <is>
          <t>rs67625651</t>
        </is>
      </c>
      <c r="F2236" t="n">
        <v>0.0240123516</v>
      </c>
      <c r="G2236" t="n">
        <v>0.2286608587082512</v>
      </c>
      <c r="H2236" t="n">
        <v>0.0195223524221595</v>
      </c>
      <c r="I2236" t="n">
        <v>0.0586060958719665</v>
      </c>
      <c r="J2236" t="n">
        <v>0.2409056161633481</v>
      </c>
      <c r="K2236" t="n">
        <v>0.3434439887220281</v>
      </c>
      <c r="L2236" t="b">
        <v>0</v>
      </c>
      <c r="M2236" t="b">
        <v>0</v>
      </c>
      <c r="N2236" t="inlineStr">
        <is>
          <t>alt</t>
        </is>
      </c>
      <c r="O2236" t="n">
        <v>70</v>
      </c>
      <c r="P2236" t="n">
        <v>0.009129999999999999</v>
      </c>
      <c r="Q2236" t="n">
        <v>-95</v>
      </c>
      <c r="R2236" t="n">
        <v>0.11017</v>
      </c>
      <c r="S2236">
        <f>IMAGE("https://mitra.stanford.edu/kundaje/oak/projects/neuro-variants/variant_position/credible/roussos_2024/variant_figures/roussos_2024.adolescence.GLU/rs67625651_count_position.png",4,220,900)</f>
        <v/>
      </c>
      <c r="T2236">
        <f>IMAGE("https://mitra.stanford.edu/kundaje/oak/projects/neuro-variants/variant_position/credible/roussos_2024/variant_figures/roussos_2024.adolescence.GLU/rs67625651_profile_position.png",4,220,900)</f>
        <v/>
      </c>
    </row>
    <row r="2237">
      <c r="A2237" t="inlineStr">
        <is>
          <t>chr2</t>
        </is>
      </c>
      <c r="B2237" t="n">
        <v>155135427</v>
      </c>
      <c r="C2237" t="inlineStr">
        <is>
          <t>A</t>
        </is>
      </c>
      <c r="D2237" t="inlineStr">
        <is>
          <t>C</t>
        </is>
      </c>
      <c r="E2237" t="inlineStr">
        <is>
          <t>rs12995353</t>
        </is>
      </c>
      <c r="F2237" t="n">
        <v>0.01049715884</v>
      </c>
      <c r="G2237" t="n">
        <v>0.41074012379701</v>
      </c>
      <c r="H2237" t="n">
        <v>0.0101393452376204</v>
      </c>
      <c r="I2237" t="n">
        <v>0.5143702801957108</v>
      </c>
      <c r="J2237" t="n">
        <v>0.0068214130069799</v>
      </c>
      <c r="K2237" t="n">
        <v>0.9033118220683336</v>
      </c>
      <c r="L2237" t="b">
        <v>0</v>
      </c>
      <c r="M2237" t="b">
        <v>0</v>
      </c>
      <c r="N2237" t="inlineStr">
        <is>
          <t>alt</t>
        </is>
      </c>
      <c r="O2237" t="n">
        <v>100</v>
      </c>
      <c r="P2237" t="n">
        <v>0.002775</v>
      </c>
      <c r="Q2237" t="n">
        <v>-50</v>
      </c>
      <c r="R2237" t="n">
        <v>0.02167</v>
      </c>
      <c r="S2237">
        <f>IMAGE("https://mitra.stanford.edu/kundaje/oak/projects/neuro-variants/variant_position/credible/roussos_2024/variant_figures/roussos_2024.adolescence.GLU/rs12995353_count_position.png",4,220,900)</f>
        <v/>
      </c>
      <c r="T2237">
        <f>IMAGE("https://mitra.stanford.edu/kundaje/oak/projects/neuro-variants/variant_position/credible/roussos_2024/variant_figures/roussos_2024.adolescence.GLU/rs12995353_profile_position.png",4,220,900)</f>
        <v/>
      </c>
    </row>
    <row r="2238">
      <c r="A2238" t="inlineStr">
        <is>
          <t>chr2</t>
        </is>
      </c>
      <c r="B2238" t="n">
        <v>155138982</v>
      </c>
      <c r="C2238" t="inlineStr">
        <is>
          <t>T</t>
        </is>
      </c>
      <c r="D2238" t="inlineStr">
        <is>
          <t>C</t>
        </is>
      </c>
      <c r="E2238" t="inlineStr">
        <is>
          <t>rs62174916</t>
        </is>
      </c>
      <c r="F2238" t="n">
        <v>0.003961892496</v>
      </c>
      <c r="G2238" t="n">
        <v>0.7593093323919651</v>
      </c>
      <c r="H2238" t="n">
        <v>0.0069663873190625</v>
      </c>
      <c r="I2238" t="n">
        <v>0.8894650287013581</v>
      </c>
      <c r="J2238" t="n">
        <v>0.0303491437512055</v>
      </c>
      <c r="K2238" t="n">
        <v>0.7692944305426134</v>
      </c>
      <c r="L2238" t="b">
        <v>0</v>
      </c>
      <c r="M2238" t="b">
        <v>0</v>
      </c>
      <c r="N2238" t="inlineStr">
        <is>
          <t>alt</t>
        </is>
      </c>
      <c r="O2238" t="n">
        <v>-75</v>
      </c>
      <c r="P2238" t="n">
        <v>0.003365</v>
      </c>
      <c r="Q2238" t="n">
        <v>45</v>
      </c>
      <c r="R2238" t="n">
        <v>0.05267</v>
      </c>
      <c r="S2238">
        <f>IMAGE("https://mitra.stanford.edu/kundaje/oak/projects/neuro-variants/variant_position/credible/roussos_2024/variant_figures/roussos_2024.adolescence.GLU/rs62174916_count_position.png",4,220,900)</f>
        <v/>
      </c>
      <c r="T2238">
        <f>IMAGE("https://mitra.stanford.edu/kundaje/oak/projects/neuro-variants/variant_position/credible/roussos_2024/variant_figures/roussos_2024.adolescence.GLU/rs62174916_profile_position.png",4,220,900)</f>
        <v/>
      </c>
    </row>
    <row r="2239">
      <c r="A2239" t="inlineStr">
        <is>
          <t>chr2</t>
        </is>
      </c>
      <c r="B2239" t="n">
        <v>155156657</v>
      </c>
      <c r="C2239" t="inlineStr">
        <is>
          <t>T</t>
        </is>
      </c>
      <c r="D2239" t="inlineStr">
        <is>
          <t>C</t>
        </is>
      </c>
      <c r="E2239" t="inlineStr">
        <is>
          <t>rs67338739</t>
        </is>
      </c>
      <c r="F2239" t="n">
        <v>0.0032347713079999</v>
      </c>
      <c r="G2239" t="n">
        <v>0.7587520906965625</v>
      </c>
      <c r="H2239" t="n">
        <v>0.0207398655585154</v>
      </c>
      <c r="I2239" t="n">
        <v>0.0472508613525488</v>
      </c>
      <c r="J2239" t="n">
        <v>0.0004043694765343</v>
      </c>
      <c r="K2239" t="n">
        <v>0.9847194127874715</v>
      </c>
      <c r="L2239" t="b">
        <v>0</v>
      </c>
      <c r="M2239" t="b">
        <v>0</v>
      </c>
      <c r="N2239" t="inlineStr">
        <is>
          <t>alt</t>
        </is>
      </c>
      <c r="O2239" t="n">
        <v>55</v>
      </c>
      <c r="P2239" t="n">
        <v>0.003048</v>
      </c>
      <c r="Q2239" t="n">
        <v>25</v>
      </c>
      <c r="R2239" t="n">
        <v>0.01176</v>
      </c>
      <c r="S2239">
        <f>IMAGE("https://mitra.stanford.edu/kundaje/oak/projects/neuro-variants/variant_position/credible/roussos_2024/variant_figures/roussos_2024.adolescence.GLU/rs67338739_count_position.png",4,220,900)</f>
        <v/>
      </c>
      <c r="T2239">
        <f>IMAGE("https://mitra.stanford.edu/kundaje/oak/projects/neuro-variants/variant_position/credible/roussos_2024/variant_figures/roussos_2024.adolescence.GLU/rs67338739_profile_position.png",4,220,900)</f>
        <v/>
      </c>
    </row>
    <row r="2240">
      <c r="A2240" t="inlineStr">
        <is>
          <t>chr2</t>
        </is>
      </c>
      <c r="B2240" t="n">
        <v>155157754</v>
      </c>
      <c r="C2240" t="inlineStr">
        <is>
          <t>C</t>
        </is>
      </c>
      <c r="D2240" t="inlineStr">
        <is>
          <t>G</t>
        </is>
      </c>
      <c r="E2240" t="inlineStr">
        <is>
          <t>rs35204416</t>
        </is>
      </c>
      <c r="F2240" t="n">
        <v>0.0196981582</v>
      </c>
      <c r="G2240" t="n">
        <v>0.2872892120137493</v>
      </c>
      <c r="H2240" t="n">
        <v>0.0096584565987414</v>
      </c>
      <c r="I2240" t="n">
        <v>0.5677703549665466</v>
      </c>
      <c r="J2240" t="n">
        <v>0.1310814382979331</v>
      </c>
      <c r="K2240" t="n">
        <v>0.5125559207973573</v>
      </c>
      <c r="L2240" t="b">
        <v>0</v>
      </c>
      <c r="M2240" t="b">
        <v>0</v>
      </c>
      <c r="N2240" t="inlineStr">
        <is>
          <t>alt</t>
        </is>
      </c>
      <c r="O2240" t="n">
        <v>70</v>
      </c>
      <c r="P2240" t="n">
        <v>0.00209</v>
      </c>
      <c r="Q2240" t="n">
        <v>100</v>
      </c>
      <c r="R2240" t="n">
        <v>0.03473</v>
      </c>
      <c r="S2240">
        <f>IMAGE("https://mitra.stanford.edu/kundaje/oak/projects/neuro-variants/variant_position/credible/roussos_2024/variant_figures/roussos_2024.adolescence.GLU/rs35204416_count_position.png",4,220,900)</f>
        <v/>
      </c>
      <c r="T2240">
        <f>IMAGE("https://mitra.stanford.edu/kundaje/oak/projects/neuro-variants/variant_position/credible/roussos_2024/variant_figures/roussos_2024.adolescence.GLU/rs35204416_profile_position.png",4,220,900)</f>
        <v/>
      </c>
    </row>
    <row r="2241">
      <c r="A2241" t="inlineStr">
        <is>
          <t>chr2</t>
        </is>
      </c>
      <c r="B2241" t="n">
        <v>155198803</v>
      </c>
      <c r="C2241" t="inlineStr">
        <is>
          <t>G</t>
        </is>
      </c>
      <c r="D2241" t="inlineStr">
        <is>
          <t>A</t>
        </is>
      </c>
      <c r="E2241" t="inlineStr">
        <is>
          <t>rs72871781</t>
        </is>
      </c>
      <c r="F2241" t="n">
        <v>-0.001684910556</v>
      </c>
      <c r="G2241" t="n">
        <v>0.9073635308625908</v>
      </c>
      <c r="H2241" t="n">
        <v>0.0196996778510058</v>
      </c>
      <c r="I2241" t="n">
        <v>0.058109539115412</v>
      </c>
      <c r="J2241" t="n">
        <v>0.0069328646648233</v>
      </c>
      <c r="K2241" t="n">
        <v>0.9121309023782608</v>
      </c>
      <c r="L2241" t="b">
        <v>0</v>
      </c>
      <c r="M2241" t="b">
        <v>0</v>
      </c>
      <c r="N2241" t="inlineStr">
        <is>
          <t>ref</t>
        </is>
      </c>
      <c r="O2241" t="n">
        <v>-30</v>
      </c>
      <c r="P2241" t="n">
        <v>0.002449</v>
      </c>
      <c r="Q2241" t="n">
        <v>100</v>
      </c>
      <c r="R2241" t="n">
        <v>0.06177</v>
      </c>
      <c r="S2241">
        <f>IMAGE("https://mitra.stanford.edu/kundaje/oak/projects/neuro-variants/variant_position/credible/roussos_2024/variant_figures/roussos_2024.adolescence.GLU/rs72871781_count_position.png",4,220,900)</f>
        <v/>
      </c>
      <c r="T2241">
        <f>IMAGE("https://mitra.stanford.edu/kundaje/oak/projects/neuro-variants/variant_position/credible/roussos_2024/variant_figures/roussos_2024.adolescence.GLU/rs72871781_profile_position.png",4,220,900)</f>
        <v/>
      </c>
    </row>
    <row r="2242">
      <c r="A2242" t="inlineStr">
        <is>
          <t>chr2</t>
        </is>
      </c>
      <c r="B2242" t="n">
        <v>155205181</v>
      </c>
      <c r="C2242" t="inlineStr">
        <is>
          <t>C</t>
        </is>
      </c>
      <c r="D2242" t="inlineStr">
        <is>
          <t>A</t>
        </is>
      </c>
      <c r="E2242" t="inlineStr">
        <is>
          <t>rs62176163</t>
        </is>
      </c>
      <c r="F2242" t="n">
        <v>0.01592623764</v>
      </c>
      <c r="G2242" t="n">
        <v>0.3770530254251721</v>
      </c>
      <c r="H2242" t="n">
        <v>0.0152354040132077</v>
      </c>
      <c r="I2242" t="n">
        <v>0.1604196253221109</v>
      </c>
      <c r="J2242" t="n">
        <v>0.0730508462467224</v>
      </c>
      <c r="K2242" t="n">
        <v>0.6438115688269441</v>
      </c>
      <c r="L2242" t="b">
        <v>0</v>
      </c>
      <c r="M2242" t="b">
        <v>0</v>
      </c>
      <c r="N2242" t="inlineStr">
        <is>
          <t>alt</t>
        </is>
      </c>
      <c r="O2242" t="n">
        <v>-95</v>
      </c>
      <c r="P2242" t="n">
        <v>0.01075</v>
      </c>
      <c r="Q2242" t="n">
        <v>-100</v>
      </c>
      <c r="R2242" t="n">
        <v>0.04932</v>
      </c>
      <c r="S2242">
        <f>IMAGE("https://mitra.stanford.edu/kundaje/oak/projects/neuro-variants/variant_position/credible/roussos_2024/variant_figures/roussos_2024.adolescence.GLU/rs62176163_count_position.png",4,220,900)</f>
        <v/>
      </c>
      <c r="T2242">
        <f>IMAGE("https://mitra.stanford.edu/kundaje/oak/projects/neuro-variants/variant_position/credible/roussos_2024/variant_figures/roussos_2024.adolescence.GLU/rs62176163_profile_position.png",4,220,900)</f>
        <v/>
      </c>
    </row>
    <row r="2243">
      <c r="A2243" t="inlineStr">
        <is>
          <t>chr2</t>
        </is>
      </c>
      <c r="B2243" t="n">
        <v>155257913</v>
      </c>
      <c r="C2243" t="inlineStr">
        <is>
          <t>T</t>
        </is>
      </c>
      <c r="D2243" t="inlineStr">
        <is>
          <t>G</t>
        </is>
      </c>
      <c r="E2243" t="inlineStr">
        <is>
          <t>rs11892879</t>
        </is>
      </c>
      <c r="F2243" t="n">
        <v>-0.0072694959199999</v>
      </c>
      <c r="G2243" t="n">
        <v>0.6398704487978362</v>
      </c>
      <c r="H2243" t="n">
        <v>0.0163454799863284</v>
      </c>
      <c r="I2243" t="n">
        <v>0.1162646327095825</v>
      </c>
      <c r="J2243" t="n">
        <v>0.015428910274271</v>
      </c>
      <c r="K2243" t="n">
        <v>0.8410624746450641</v>
      </c>
      <c r="L2243" t="b">
        <v>0</v>
      </c>
      <c r="M2243" t="b">
        <v>0</v>
      </c>
      <c r="N2243" t="inlineStr">
        <is>
          <t>ref</t>
        </is>
      </c>
      <c r="O2243" t="n">
        <v>10</v>
      </c>
      <c r="P2243" t="n">
        <v>0.0008545</v>
      </c>
      <c r="Q2243" t="n">
        <v>-5</v>
      </c>
      <c r="R2243" t="n">
        <v>0.01375</v>
      </c>
      <c r="S2243">
        <f>IMAGE("https://mitra.stanford.edu/kundaje/oak/projects/neuro-variants/variant_position/credible/roussos_2024/variant_figures/roussos_2024.adolescence.GLU/rs11892879_count_position.png",4,220,900)</f>
        <v/>
      </c>
      <c r="T2243">
        <f>IMAGE("https://mitra.stanford.edu/kundaje/oak/projects/neuro-variants/variant_position/credible/roussos_2024/variant_figures/roussos_2024.adolescence.GLU/rs11892879_profile_position.png",4,220,900)</f>
        <v/>
      </c>
    </row>
    <row r="2244">
      <c r="A2244" t="inlineStr">
        <is>
          <t>chr2</t>
        </is>
      </c>
      <c r="B2244" t="n">
        <v>155938680</v>
      </c>
      <c r="C2244" t="inlineStr">
        <is>
          <t>A</t>
        </is>
      </c>
      <c r="D2244" t="inlineStr">
        <is>
          <t>G</t>
        </is>
      </c>
      <c r="E2244" t="inlineStr">
        <is>
          <t>rs12612835</t>
        </is>
      </c>
      <c r="F2244" t="n">
        <v>0.0377377758</v>
      </c>
      <c r="G2244" t="n">
        <v>0.1186505400032816</v>
      </c>
      <c r="H2244" t="n">
        <v>0.0131637791480925</v>
      </c>
      <c r="I2244" t="n">
        <v>0.2507850979523345</v>
      </c>
      <c r="J2244" t="n">
        <v>0.0813297040101163</v>
      </c>
      <c r="K2244" t="n">
        <v>0.6088077573070501</v>
      </c>
      <c r="L2244" t="b">
        <v>0</v>
      </c>
      <c r="M2244" t="b">
        <v>0</v>
      </c>
      <c r="N2244" t="inlineStr">
        <is>
          <t>alt</t>
        </is>
      </c>
      <c r="O2244" t="n">
        <v>-90</v>
      </c>
      <c r="P2244" t="n">
        <v>0.006744</v>
      </c>
      <c r="Q2244" t="n">
        <v>-80</v>
      </c>
      <c r="R2244" t="n">
        <v>0.0886</v>
      </c>
      <c r="S2244">
        <f>IMAGE("https://mitra.stanford.edu/kundaje/oak/projects/neuro-variants/variant_position/credible/roussos_2024/variant_figures/roussos_2024.adolescence.GLU/rs12612835_count_position.png",4,220,900)</f>
        <v/>
      </c>
      <c r="T2244">
        <f>IMAGE("https://mitra.stanford.edu/kundaje/oak/projects/neuro-variants/variant_position/credible/roussos_2024/variant_figures/roussos_2024.adolescence.GLU/rs12612835_profile_position.png",4,220,900)</f>
        <v/>
      </c>
    </row>
    <row r="2245">
      <c r="A2245" t="inlineStr">
        <is>
          <t>chr2</t>
        </is>
      </c>
      <c r="B2245" t="n">
        <v>155979281</v>
      </c>
      <c r="C2245" t="inlineStr">
        <is>
          <t>G</t>
        </is>
      </c>
      <c r="D2245" t="inlineStr">
        <is>
          <t>T</t>
        </is>
      </c>
      <c r="E2245" t="inlineStr">
        <is>
          <t>rs1881046</t>
        </is>
      </c>
      <c r="F2245" t="n">
        <v>-0.00116974512</v>
      </c>
      <c r="G2245" t="n">
        <v>0.6716543868501429</v>
      </c>
      <c r="H2245" t="n">
        <v>0.0246885925491601</v>
      </c>
      <c r="I2245" t="n">
        <v>0.0247139684847881</v>
      </c>
      <c r="J2245" t="n">
        <v>0.0188653363911095</v>
      </c>
      <c r="K2245" t="n">
        <v>0.8327472714466385</v>
      </c>
      <c r="L2245" t="b">
        <v>0</v>
      </c>
      <c r="M2245" t="b">
        <v>0</v>
      </c>
      <c r="N2245" t="inlineStr">
        <is>
          <t>ref</t>
        </is>
      </c>
      <c r="O2245" t="n">
        <v>100</v>
      </c>
      <c r="P2245" t="n">
        <v>0.003023</v>
      </c>
      <c r="Q2245" t="n">
        <v>-5</v>
      </c>
      <c r="R2245" t="n">
        <v>0.00209</v>
      </c>
      <c r="S2245">
        <f>IMAGE("https://mitra.stanford.edu/kundaje/oak/projects/neuro-variants/variant_position/credible/roussos_2024/variant_figures/roussos_2024.adolescence.GLU/rs1881046_count_position.png",4,220,900)</f>
        <v/>
      </c>
      <c r="T2245">
        <f>IMAGE("https://mitra.stanford.edu/kundaje/oak/projects/neuro-variants/variant_position/credible/roussos_2024/variant_figures/roussos_2024.adolescence.GLU/rs1881046_profile_position.png",4,220,900)</f>
        <v/>
      </c>
    </row>
    <row r="2246">
      <c r="A2246" t="inlineStr">
        <is>
          <t>chr2</t>
        </is>
      </c>
      <c r="B2246" t="n">
        <v>155981422</v>
      </c>
      <c r="C2246" t="inlineStr">
        <is>
          <t>T</t>
        </is>
      </c>
      <c r="D2246" t="inlineStr">
        <is>
          <t>C</t>
        </is>
      </c>
      <c r="E2246" t="inlineStr">
        <is>
          <t>rs2103263</t>
        </is>
      </c>
      <c r="F2246" t="n">
        <v>0.0492263298</v>
      </c>
      <c r="G2246" t="n">
        <v>0.06458917112744569</v>
      </c>
      <c r="H2246" t="n">
        <v>0.0130248331023193</v>
      </c>
      <c r="I2246" t="n">
        <v>0.247261809688151</v>
      </c>
      <c r="J2246" t="n">
        <v>0.0853033842724563</v>
      </c>
      <c r="K2246" t="n">
        <v>0.6055567296755378</v>
      </c>
      <c r="L2246" t="b">
        <v>0</v>
      </c>
      <c r="M2246" t="b">
        <v>0</v>
      </c>
      <c r="N2246" t="inlineStr">
        <is>
          <t>alt</t>
        </is>
      </c>
      <c r="O2246" t="n">
        <v>60</v>
      </c>
      <c r="P2246" t="n">
        <v>0.01285</v>
      </c>
      <c r="Q2246" t="n">
        <v>30</v>
      </c>
      <c r="R2246" t="n">
        <v>0.03125</v>
      </c>
      <c r="S2246">
        <f>IMAGE("https://mitra.stanford.edu/kundaje/oak/projects/neuro-variants/variant_position/credible/roussos_2024/variant_figures/roussos_2024.adolescence.GLU/rs2103263_count_position.png",4,220,900)</f>
        <v/>
      </c>
      <c r="T2246">
        <f>IMAGE("https://mitra.stanford.edu/kundaje/oak/projects/neuro-variants/variant_position/credible/roussos_2024/variant_figures/roussos_2024.adolescence.GLU/rs2103263_profile_position.png",4,220,900)</f>
        <v/>
      </c>
    </row>
    <row r="2247">
      <c r="A2247" t="inlineStr">
        <is>
          <t>chr2</t>
        </is>
      </c>
      <c r="B2247" t="n">
        <v>155988494</v>
      </c>
      <c r="C2247" t="inlineStr">
        <is>
          <t>A</t>
        </is>
      </c>
      <c r="D2247" t="inlineStr">
        <is>
          <t>T</t>
        </is>
      </c>
      <c r="E2247" t="inlineStr">
        <is>
          <t>rs35377330</t>
        </is>
      </c>
      <c r="F2247" t="n">
        <v>0.00083937718</v>
      </c>
      <c r="G2247" t="n">
        <v>0.8584078121310461</v>
      </c>
      <c r="H2247" t="n">
        <v>0.0149920985424416</v>
      </c>
      <c r="I2247" t="n">
        <v>0.1701111041130922</v>
      </c>
      <c r="J2247" t="n">
        <v>0.0505590443734773</v>
      </c>
      <c r="K2247" t="n">
        <v>0.696184648362446</v>
      </c>
      <c r="L2247" t="b">
        <v>0</v>
      </c>
      <c r="M2247" t="b">
        <v>0</v>
      </c>
      <c r="N2247" t="inlineStr">
        <is>
          <t>alt</t>
        </is>
      </c>
      <c r="O2247" t="n">
        <v>40</v>
      </c>
      <c r="P2247" t="n">
        <v>0.002441</v>
      </c>
      <c r="Q2247" t="n">
        <v>45</v>
      </c>
      <c r="R2247" t="n">
        <v>0.01245</v>
      </c>
      <c r="S2247">
        <f>IMAGE("https://mitra.stanford.edu/kundaje/oak/projects/neuro-variants/variant_position/credible/roussos_2024/variant_figures/roussos_2024.adolescence.GLU/rs35377330_count_position.png",4,220,900)</f>
        <v/>
      </c>
      <c r="T2247">
        <f>IMAGE("https://mitra.stanford.edu/kundaje/oak/projects/neuro-variants/variant_position/credible/roussos_2024/variant_figures/roussos_2024.adolescence.GLU/rs35377330_profile_position.png",4,220,900)</f>
        <v/>
      </c>
    </row>
    <row r="2248">
      <c r="A2248" t="inlineStr">
        <is>
          <t>chr2</t>
        </is>
      </c>
      <c r="B2248" t="n">
        <v>155999745</v>
      </c>
      <c r="C2248" t="inlineStr">
        <is>
          <t>G</t>
        </is>
      </c>
      <c r="D2248" t="inlineStr">
        <is>
          <t>A</t>
        </is>
      </c>
      <c r="E2248" t="inlineStr">
        <is>
          <t>rs13026547</t>
        </is>
      </c>
      <c r="F2248" t="n">
        <v>-0.00890690264</v>
      </c>
      <c r="G2248" t="n">
        <v>0.5188437536906899</v>
      </c>
      <c r="H2248" t="n">
        <v>0.0076691543726251</v>
      </c>
      <c r="I2248" t="n">
        <v>0.845103169917569</v>
      </c>
      <c r="J2248" t="n">
        <v>0.0326824842288759</v>
      </c>
      <c r="K2248" t="n">
        <v>0.7631383253283389</v>
      </c>
      <c r="L2248" t="b">
        <v>0</v>
      </c>
      <c r="M2248" t="b">
        <v>0</v>
      </c>
      <c r="N2248" t="inlineStr">
        <is>
          <t>ref</t>
        </is>
      </c>
      <c r="O2248" t="n">
        <v>-85</v>
      </c>
      <c r="P2248" t="n">
        <v>0.004147</v>
      </c>
      <c r="Q2248" t="n">
        <v>45</v>
      </c>
      <c r="R2248" t="n">
        <v>0.01566</v>
      </c>
      <c r="S2248">
        <f>IMAGE("https://mitra.stanford.edu/kundaje/oak/projects/neuro-variants/variant_position/credible/roussos_2024/variant_figures/roussos_2024.adolescence.GLU/rs13026547_count_position.png",4,220,900)</f>
        <v/>
      </c>
      <c r="T2248">
        <f>IMAGE("https://mitra.stanford.edu/kundaje/oak/projects/neuro-variants/variant_position/credible/roussos_2024/variant_figures/roussos_2024.adolescence.GLU/rs13026547_profile_position.png",4,220,900)</f>
        <v/>
      </c>
    </row>
    <row r="2249">
      <c r="A2249" t="inlineStr">
        <is>
          <t>chr2</t>
        </is>
      </c>
      <c r="B2249" t="n">
        <v>161949898</v>
      </c>
      <c r="C2249" t="inlineStr">
        <is>
          <t>G</t>
        </is>
      </c>
      <c r="D2249" t="inlineStr">
        <is>
          <t>A</t>
        </is>
      </c>
      <c r="E2249" t="inlineStr">
        <is>
          <t>rs7604885</t>
        </is>
      </c>
      <c r="F2249" t="n">
        <v>-0.07171074099999999</v>
      </c>
      <c r="G2249" t="n">
        <v>0.0220533501745787</v>
      </c>
      <c r="H2249" t="n">
        <v>0.014610849728621</v>
      </c>
      <c r="I2249" t="n">
        <v>0.17831051776773</v>
      </c>
      <c r="J2249" t="n">
        <v>0.0470711790299418</v>
      </c>
      <c r="K2249" t="n">
        <v>0.7084654392872179</v>
      </c>
      <c r="L2249" t="b">
        <v>0</v>
      </c>
      <c r="M2249" t="b">
        <v>0</v>
      </c>
      <c r="N2249" t="inlineStr">
        <is>
          <t>ref</t>
        </is>
      </c>
      <c r="O2249" t="n">
        <v>-65</v>
      </c>
      <c r="P2249" t="n">
        <v>0.02776</v>
      </c>
      <c r="Q2249" t="n">
        <v>100</v>
      </c>
      <c r="R2249" t="n">
        <v>0.07290000000000001</v>
      </c>
      <c r="S2249">
        <f>IMAGE("https://mitra.stanford.edu/kundaje/oak/projects/neuro-variants/variant_position/credible/roussos_2024/variant_figures/roussos_2024.adolescence.GLU/rs7604885_count_position.png",4,220,900)</f>
        <v/>
      </c>
      <c r="T2249">
        <f>IMAGE("https://mitra.stanford.edu/kundaje/oak/projects/neuro-variants/variant_position/credible/roussos_2024/variant_figures/roussos_2024.adolescence.GLU/rs7604885_profile_position.png",4,220,900)</f>
        <v/>
      </c>
    </row>
    <row r="2250">
      <c r="A2250" t="inlineStr">
        <is>
          <t>chr2</t>
        </is>
      </c>
      <c r="B2250" t="n">
        <v>161966199</v>
      </c>
      <c r="C2250" t="inlineStr">
        <is>
          <t>G</t>
        </is>
      </c>
      <c r="D2250" t="inlineStr">
        <is>
          <t>A</t>
        </is>
      </c>
      <c r="E2250" t="inlineStr">
        <is>
          <t>rs13021985</t>
        </is>
      </c>
      <c r="F2250" t="n">
        <v>-0.113812345</v>
      </c>
      <c r="G2250" t="n">
        <v>0.0050872783596463</v>
      </c>
      <c r="H2250" t="n">
        <v>0.018549154700321</v>
      </c>
      <c r="I2250" t="n">
        <v>0.0767866256003383</v>
      </c>
      <c r="J2250" t="n">
        <v>0.012248251423509</v>
      </c>
      <c r="K2250" t="n">
        <v>0.8693628820926395</v>
      </c>
      <c r="L2250" t="b">
        <v>1</v>
      </c>
      <c r="M2250" t="b">
        <v>1</v>
      </c>
      <c r="N2250" t="inlineStr">
        <is>
          <t>ref</t>
        </is>
      </c>
      <c r="O2250" t="n">
        <v>100</v>
      </c>
      <c r="P2250" t="n">
        <v>0.00599</v>
      </c>
      <c r="Q2250" t="n">
        <v>-60</v>
      </c>
      <c r="R2250" t="n">
        <v>0.00983</v>
      </c>
      <c r="S2250">
        <f>IMAGE("https://mitra.stanford.edu/kundaje/oak/projects/neuro-variants/variant_position/credible/roussos_2024/variant_figures/roussos_2024.adolescence.GLU/rs13021985_count_position.png",4,220,900)</f>
        <v/>
      </c>
      <c r="T2250">
        <f>IMAGE("https://mitra.stanford.edu/kundaje/oak/projects/neuro-variants/variant_position/credible/roussos_2024/variant_figures/roussos_2024.adolescence.GLU/rs13021985_profile_position.png",4,220,900)</f>
        <v/>
      </c>
    </row>
    <row r="2251">
      <c r="A2251" t="inlineStr">
        <is>
          <t>chr2</t>
        </is>
      </c>
      <c r="B2251" t="n">
        <v>161975246</v>
      </c>
      <c r="C2251" t="inlineStr">
        <is>
          <t>G</t>
        </is>
      </c>
      <c r="D2251" t="inlineStr">
        <is>
          <t>T</t>
        </is>
      </c>
      <c r="E2251" t="inlineStr">
        <is>
          <t>rs4295021</t>
        </is>
      </c>
      <c r="F2251" t="n">
        <v>0.00857991822</v>
      </c>
      <c r="G2251" t="n">
        <v>0.5765004535113815</v>
      </c>
      <c r="H2251" t="n">
        <v>0.0254399199885397</v>
      </c>
      <c r="I2251" t="n">
        <v>0.0187624257485231</v>
      </c>
      <c r="J2251" t="n">
        <v>0.0696658593565809</v>
      </c>
      <c r="K2251" t="n">
        <v>0.6431699477317948</v>
      </c>
      <c r="L2251" t="b">
        <v>1</v>
      </c>
      <c r="M2251" t="b">
        <v>0</v>
      </c>
      <c r="N2251" t="inlineStr">
        <is>
          <t>alt</t>
        </is>
      </c>
      <c r="O2251" t="n">
        <v>90</v>
      </c>
      <c r="P2251" t="n">
        <v>0.01402</v>
      </c>
      <c r="Q2251" t="n">
        <v>100</v>
      </c>
      <c r="R2251" t="n">
        <v>0.0437</v>
      </c>
      <c r="S2251">
        <f>IMAGE("https://mitra.stanford.edu/kundaje/oak/projects/neuro-variants/variant_position/credible/roussos_2024/variant_figures/roussos_2024.adolescence.GLU/rs4295021_count_position.png",4,220,900)</f>
        <v/>
      </c>
      <c r="T2251">
        <f>IMAGE("https://mitra.stanford.edu/kundaje/oak/projects/neuro-variants/variant_position/credible/roussos_2024/variant_figures/roussos_2024.adolescence.GLU/rs4295021_profile_position.png",4,220,900)</f>
        <v/>
      </c>
    </row>
    <row r="2252">
      <c r="A2252" t="inlineStr">
        <is>
          <t>chr2</t>
        </is>
      </c>
      <c r="B2252" t="n">
        <v>161986568</v>
      </c>
      <c r="C2252" t="inlineStr">
        <is>
          <t>T</t>
        </is>
      </c>
      <c r="D2252" t="inlineStr">
        <is>
          <t>C</t>
        </is>
      </c>
      <c r="E2252" t="inlineStr">
        <is>
          <t>rs2909455</t>
        </is>
      </c>
      <c r="F2252" t="n">
        <v>0.0336463868</v>
      </c>
      <c r="G2252" t="n">
        <v>0.1404290484871569</v>
      </c>
      <c r="H2252" t="n">
        <v>0.0127370639256109</v>
      </c>
      <c r="I2252" t="n">
        <v>0.2922441376942755</v>
      </c>
      <c r="J2252" t="n">
        <v>0.0623129076737323</v>
      </c>
      <c r="K2252" t="n">
        <v>0.6696689944741777</v>
      </c>
      <c r="L2252" t="b">
        <v>0</v>
      </c>
      <c r="M2252" t="b">
        <v>0</v>
      </c>
      <c r="N2252" t="inlineStr">
        <is>
          <t>alt</t>
        </is>
      </c>
      <c r="O2252" t="n">
        <v>85</v>
      </c>
      <c r="P2252" t="n">
        <v>0.001678</v>
      </c>
      <c r="Q2252" t="n">
        <v>-95</v>
      </c>
      <c r="R2252" t="n">
        <v>0.09283</v>
      </c>
      <c r="S2252">
        <f>IMAGE("https://mitra.stanford.edu/kundaje/oak/projects/neuro-variants/variant_position/credible/roussos_2024/variant_figures/roussos_2024.adolescence.GLU/rs2909455_count_position.png",4,220,900)</f>
        <v/>
      </c>
      <c r="T2252">
        <f>IMAGE("https://mitra.stanford.edu/kundaje/oak/projects/neuro-variants/variant_position/credible/roussos_2024/variant_figures/roussos_2024.adolescence.GLU/rs2909455_profile_position.png",4,220,900)</f>
        <v/>
      </c>
    </row>
    <row r="2253">
      <c r="A2253" t="inlineStr">
        <is>
          <t>chr2</t>
        </is>
      </c>
      <c r="B2253" t="n">
        <v>168583520</v>
      </c>
      <c r="C2253" t="inlineStr">
        <is>
          <t>C</t>
        </is>
      </c>
      <c r="D2253" t="inlineStr">
        <is>
          <t>T</t>
        </is>
      </c>
      <c r="E2253" t="inlineStr">
        <is>
          <t>rs975341</t>
        </is>
      </c>
      <c r="F2253" t="n">
        <v>0.001072700784</v>
      </c>
      <c r="G2253" t="n">
        <v>0.7842577535967993</v>
      </c>
      <c r="H2253" t="n">
        <v>0.0073011000287116</v>
      </c>
      <c r="I2253" t="n">
        <v>0.862330834813267</v>
      </c>
      <c r="J2253" t="n">
        <v>0.1553478934922234</v>
      </c>
      <c r="K2253" t="n">
        <v>0.4721059967800043</v>
      </c>
      <c r="L2253" t="b">
        <v>0</v>
      </c>
      <c r="M2253" t="b">
        <v>0</v>
      </c>
      <c r="N2253" t="inlineStr">
        <is>
          <t>alt</t>
        </is>
      </c>
      <c r="O2253" t="n">
        <v>-95</v>
      </c>
      <c r="P2253" t="n">
        <v>0.007553</v>
      </c>
      <c r="Q2253" t="n">
        <v>-100</v>
      </c>
      <c r="R2253" t="n">
        <v>0.06113</v>
      </c>
      <c r="S2253">
        <f>IMAGE("https://mitra.stanford.edu/kundaje/oak/projects/neuro-variants/variant_position/credible/roussos_2024/variant_figures/roussos_2024.adolescence.GLU/rs975341_count_position.png",4,220,900)</f>
        <v/>
      </c>
      <c r="T2253">
        <f>IMAGE("https://mitra.stanford.edu/kundaje/oak/projects/neuro-variants/variant_position/credible/roussos_2024/variant_figures/roussos_2024.adolescence.GLU/rs975341_profile_position.png",4,220,900)</f>
        <v/>
      </c>
    </row>
    <row r="2254">
      <c r="A2254" t="inlineStr">
        <is>
          <t>chr2</t>
        </is>
      </c>
      <c r="B2254" t="n">
        <v>168629017</v>
      </c>
      <c r="C2254" t="inlineStr">
        <is>
          <t>T</t>
        </is>
      </c>
      <c r="D2254" t="inlineStr">
        <is>
          <t>A</t>
        </is>
      </c>
      <c r="E2254" t="inlineStr">
        <is>
          <t>rs6722396</t>
        </is>
      </c>
      <c r="F2254" t="n">
        <v>-0.0230284388</v>
      </c>
      <c r="G2254" t="n">
        <v>0.2568454085481599</v>
      </c>
      <c r="H2254" t="n">
        <v>0.0251034454523518</v>
      </c>
      <c r="I2254" t="n">
        <v>0.020485727490161</v>
      </c>
      <c r="J2254" t="n">
        <v>0.1060233905594729</v>
      </c>
      <c r="K2254" t="n">
        <v>0.5572080166540995</v>
      </c>
      <c r="L2254" t="b">
        <v>0</v>
      </c>
      <c r="M2254" t="b">
        <v>0</v>
      </c>
      <c r="N2254" t="inlineStr">
        <is>
          <t>ref</t>
        </is>
      </c>
      <c r="O2254" t="n">
        <v>35</v>
      </c>
      <c r="P2254" t="n">
        <v>0.002502</v>
      </c>
      <c r="Q2254" t="n">
        <v>25</v>
      </c>
      <c r="R2254" t="n">
        <v>0.01289</v>
      </c>
      <c r="S2254">
        <f>IMAGE("https://mitra.stanford.edu/kundaje/oak/projects/neuro-variants/variant_position/credible/roussos_2024/variant_figures/roussos_2024.adolescence.GLU/rs6722396_count_position.png",4,220,900)</f>
        <v/>
      </c>
      <c r="T2254">
        <f>IMAGE("https://mitra.stanford.edu/kundaje/oak/projects/neuro-variants/variant_position/credible/roussos_2024/variant_figures/roussos_2024.adolescence.GLU/rs6722396_profile_position.png",4,220,900)</f>
        <v/>
      </c>
    </row>
    <row r="2255">
      <c r="A2255" t="inlineStr">
        <is>
          <t>chr2</t>
        </is>
      </c>
      <c r="B2255" t="n">
        <v>168633437</v>
      </c>
      <c r="C2255" t="inlineStr">
        <is>
          <t>T</t>
        </is>
      </c>
      <c r="D2255" t="inlineStr">
        <is>
          <t>C</t>
        </is>
      </c>
      <c r="E2255" t="inlineStr">
        <is>
          <t>rs10189241</t>
        </is>
      </c>
      <c r="F2255" t="n">
        <v>0.0728799457999999</v>
      </c>
      <c r="G2255" t="n">
        <v>0.0203735171989383</v>
      </c>
      <c r="H2255" t="n">
        <v>0.0128978294187404</v>
      </c>
      <c r="I2255" t="n">
        <v>0.2603634075171088</v>
      </c>
      <c r="J2255" t="n">
        <v>0.2509891334633602</v>
      </c>
      <c r="K2255" t="n">
        <v>0.3272037487481769</v>
      </c>
      <c r="L2255" t="b">
        <v>0</v>
      </c>
      <c r="M2255" t="b">
        <v>0</v>
      </c>
      <c r="N2255" t="inlineStr">
        <is>
          <t>alt</t>
        </is>
      </c>
      <c r="O2255" t="n">
        <v>-90</v>
      </c>
      <c r="P2255" t="n">
        <v>0.03363</v>
      </c>
      <c r="Q2255" t="n">
        <v>-35</v>
      </c>
      <c r="R2255" t="n">
        <v>0.04205</v>
      </c>
      <c r="S2255">
        <f>IMAGE("https://mitra.stanford.edu/kundaje/oak/projects/neuro-variants/variant_position/credible/roussos_2024/variant_figures/roussos_2024.adolescence.GLU/rs10189241_count_position.png",4,220,900)</f>
        <v/>
      </c>
      <c r="T2255">
        <f>IMAGE("https://mitra.stanford.edu/kundaje/oak/projects/neuro-variants/variant_position/credible/roussos_2024/variant_figures/roussos_2024.adolescence.GLU/rs10189241_profile_position.png",4,220,900)</f>
        <v/>
      </c>
    </row>
    <row r="2256">
      <c r="A2256" t="inlineStr">
        <is>
          <t>chr2</t>
        </is>
      </c>
      <c r="B2256" t="n">
        <v>168635396</v>
      </c>
      <c r="C2256" t="inlineStr">
        <is>
          <t>G</t>
        </is>
      </c>
      <c r="D2256" t="inlineStr">
        <is>
          <t>T</t>
        </is>
      </c>
      <c r="E2256" t="inlineStr">
        <is>
          <t>rs7564698</t>
        </is>
      </c>
      <c r="F2256" t="n">
        <v>-0.016791409054</v>
      </c>
      <c r="G2256" t="n">
        <v>0.3842081596530852</v>
      </c>
      <c r="H2256" t="n">
        <v>0.0213775883916216</v>
      </c>
      <c r="I2256" t="n">
        <v>0.0467043662796693</v>
      </c>
      <c r="J2256" t="n">
        <v>0.2318537411320916</v>
      </c>
      <c r="K2256" t="n">
        <v>0.3581536453949825</v>
      </c>
      <c r="L2256" t="b">
        <v>0</v>
      </c>
      <c r="M2256" t="b">
        <v>0</v>
      </c>
      <c r="N2256" t="inlineStr">
        <is>
          <t>ref</t>
        </is>
      </c>
      <c r="O2256" t="n">
        <v>50</v>
      </c>
      <c r="P2256" t="n">
        <v>0.007849999999999999</v>
      </c>
      <c r="Q2256" t="n">
        <v>55</v>
      </c>
      <c r="R2256" t="n">
        <v>0.1179</v>
      </c>
      <c r="S2256">
        <f>IMAGE("https://mitra.stanford.edu/kundaje/oak/projects/neuro-variants/variant_position/credible/roussos_2024/variant_figures/roussos_2024.adolescence.GLU/rs7564698_count_position.png",4,220,900)</f>
        <v/>
      </c>
      <c r="T2256">
        <f>IMAGE("https://mitra.stanford.edu/kundaje/oak/projects/neuro-variants/variant_position/credible/roussos_2024/variant_figures/roussos_2024.adolescence.GLU/rs7564698_profile_position.png",4,220,900)</f>
        <v/>
      </c>
    </row>
    <row r="2257">
      <c r="A2257" t="inlineStr">
        <is>
          <t>chr2</t>
        </is>
      </c>
      <c r="B2257" t="n">
        <v>168635458</v>
      </c>
      <c r="C2257" t="inlineStr">
        <is>
          <t>A</t>
        </is>
      </c>
      <c r="D2257" t="inlineStr">
        <is>
          <t>G</t>
        </is>
      </c>
      <c r="E2257" t="inlineStr">
        <is>
          <t>rs4668081</t>
        </is>
      </c>
      <c r="F2257" t="n">
        <v>0.0490623272</v>
      </c>
      <c r="G2257" t="n">
        <v>0.0678825658764389</v>
      </c>
      <c r="H2257" t="n">
        <v>0.0097828283454001</v>
      </c>
      <c r="I2257" t="n">
        <v>0.5610774371088485</v>
      </c>
      <c r="J2257" t="n">
        <v>0.2540197612362561</v>
      </c>
      <c r="K2257" t="n">
        <v>0.3281326302936495</v>
      </c>
      <c r="L2257" t="b">
        <v>0</v>
      </c>
      <c r="M2257" t="b">
        <v>0</v>
      </c>
      <c r="N2257" t="inlineStr">
        <is>
          <t>alt</t>
        </is>
      </c>
      <c r="O2257" t="n">
        <v>-20</v>
      </c>
      <c r="P2257" t="n">
        <v>0.004173</v>
      </c>
      <c r="Q2257" t="n">
        <v>-10</v>
      </c>
      <c r="R2257" t="n">
        <v>0.01782</v>
      </c>
      <c r="S2257">
        <f>IMAGE("https://mitra.stanford.edu/kundaje/oak/projects/neuro-variants/variant_position/credible/roussos_2024/variant_figures/roussos_2024.adolescence.GLU/rs4668081_count_position.png",4,220,900)</f>
        <v/>
      </c>
      <c r="T2257">
        <f>IMAGE("https://mitra.stanford.edu/kundaje/oak/projects/neuro-variants/variant_position/credible/roussos_2024/variant_figures/roussos_2024.adolescence.GLU/rs4668081_profile_position.png",4,220,900)</f>
        <v/>
      </c>
    </row>
    <row r="2258">
      <c r="A2258" t="inlineStr">
        <is>
          <t>chr2</t>
        </is>
      </c>
      <c r="B2258" t="n">
        <v>168637414</v>
      </c>
      <c r="C2258" t="inlineStr">
        <is>
          <t>G</t>
        </is>
      </c>
      <c r="D2258" t="inlineStr">
        <is>
          <t>A</t>
        </is>
      </c>
      <c r="E2258" t="inlineStr">
        <is>
          <t>rs4277491</t>
        </is>
      </c>
      <c r="F2258" t="n">
        <v>-0.0866508844</v>
      </c>
      <c r="G2258" t="n">
        <v>0.016001372586947</v>
      </c>
      <c r="H2258" t="n">
        <v>0.0224822457600586</v>
      </c>
      <c r="I2258" t="n">
        <v>0.0458356557324129</v>
      </c>
      <c r="J2258" t="n">
        <v>0.0500317922998334</v>
      </c>
      <c r="K2258" t="n">
        <v>0.7006068458333656</v>
      </c>
      <c r="L2258" t="b">
        <v>1</v>
      </c>
      <c r="M2258" t="b">
        <v>0</v>
      </c>
      <c r="N2258" t="inlineStr">
        <is>
          <t>ref</t>
        </is>
      </c>
      <c r="O2258" t="n">
        <v>30</v>
      </c>
      <c r="P2258" t="n">
        <v>0.001045</v>
      </c>
      <c r="Q2258" t="n">
        <v>-40</v>
      </c>
      <c r="R2258" t="n">
        <v>0.02466</v>
      </c>
      <c r="S2258">
        <f>IMAGE("https://mitra.stanford.edu/kundaje/oak/projects/neuro-variants/variant_position/credible/roussos_2024/variant_figures/roussos_2024.adolescence.GLU/rs4277491_count_position.png",4,220,900)</f>
        <v/>
      </c>
      <c r="T2258">
        <f>IMAGE("https://mitra.stanford.edu/kundaje/oak/projects/neuro-variants/variant_position/credible/roussos_2024/variant_figures/roussos_2024.adolescence.GLU/rs4277491_profile_position.png",4,220,900)</f>
        <v/>
      </c>
    </row>
    <row r="2259">
      <c r="A2259" t="inlineStr">
        <is>
          <t>chr2</t>
        </is>
      </c>
      <c r="B2259" t="n">
        <v>168638121</v>
      </c>
      <c r="C2259" t="inlineStr">
        <is>
          <t>C</t>
        </is>
      </c>
      <c r="D2259" t="inlineStr">
        <is>
          <t>T</t>
        </is>
      </c>
      <c r="E2259" t="inlineStr">
        <is>
          <t>rs75696288</t>
        </is>
      </c>
      <c r="F2259" t="n">
        <v>-0.01340626322</v>
      </c>
      <c r="G2259" t="n">
        <v>0.4328746729148701</v>
      </c>
      <c r="H2259" t="n">
        <v>0.011792697806253</v>
      </c>
      <c r="I2259" t="n">
        <v>0.353993265303606</v>
      </c>
      <c r="J2259" t="n">
        <v>0.0121482307049317</v>
      </c>
      <c r="K2259" t="n">
        <v>0.8607680806979138</v>
      </c>
      <c r="L2259" t="b">
        <v>0</v>
      </c>
      <c r="M2259" t="b">
        <v>0</v>
      </c>
      <c r="N2259" t="inlineStr">
        <is>
          <t>ref</t>
        </is>
      </c>
      <c r="O2259" t="n">
        <v>25</v>
      </c>
      <c r="P2259" t="n">
        <v>0.003525</v>
      </c>
      <c r="Q2259" t="n">
        <v>70</v>
      </c>
      <c r="R2259" t="n">
        <v>0.01874</v>
      </c>
      <c r="S2259">
        <f>IMAGE("https://mitra.stanford.edu/kundaje/oak/projects/neuro-variants/variant_position/credible/roussos_2024/variant_figures/roussos_2024.adolescence.GLU/rs75696288_count_position.png",4,220,900)</f>
        <v/>
      </c>
      <c r="T2259">
        <f>IMAGE("https://mitra.stanford.edu/kundaje/oak/projects/neuro-variants/variant_position/credible/roussos_2024/variant_figures/roussos_2024.adolescence.GLU/rs75696288_profile_position.png",4,220,900)</f>
        <v/>
      </c>
    </row>
    <row r="2260">
      <c r="A2260" t="inlineStr">
        <is>
          <t>chr2</t>
        </is>
      </c>
      <c r="B2260" t="n">
        <v>172047370</v>
      </c>
      <c r="C2260" t="inlineStr">
        <is>
          <t>G</t>
        </is>
      </c>
      <c r="D2260" t="inlineStr">
        <is>
          <t>A</t>
        </is>
      </c>
      <c r="E2260" t="inlineStr">
        <is>
          <t>rs1008151</t>
        </is>
      </c>
      <c r="F2260" t="n">
        <v>-0.0405732976</v>
      </c>
      <c r="G2260" t="n">
        <v>0.1112121820663907</v>
      </c>
      <c r="H2260" t="n">
        <v>0.008228484138075001</v>
      </c>
      <c r="I2260" t="n">
        <v>0.7767909079580215</v>
      </c>
      <c r="J2260" t="n">
        <v>0.1668645648027091</v>
      </c>
      <c r="K2260" t="n">
        <v>0.4462898353652732</v>
      </c>
      <c r="L2260" t="b">
        <v>0</v>
      </c>
      <c r="M2260" t="b">
        <v>0</v>
      </c>
      <c r="N2260" t="inlineStr">
        <is>
          <t>ref</t>
        </is>
      </c>
      <c r="O2260" t="n">
        <v>-40</v>
      </c>
      <c r="P2260" t="n">
        <v>0.001703</v>
      </c>
      <c r="Q2260" t="n">
        <v>-100</v>
      </c>
      <c r="R2260" t="n">
        <v>0.0311</v>
      </c>
      <c r="S2260">
        <f>IMAGE("https://mitra.stanford.edu/kundaje/oak/projects/neuro-variants/variant_position/credible/roussos_2024/variant_figures/roussos_2024.adolescence.GLU/rs1008151_count_position.png",4,220,900)</f>
        <v/>
      </c>
      <c r="T2260">
        <f>IMAGE("https://mitra.stanford.edu/kundaje/oak/projects/neuro-variants/variant_position/credible/roussos_2024/variant_figures/roussos_2024.adolescence.GLU/rs1008151_profile_position.png",4,220,900)</f>
        <v/>
      </c>
    </row>
    <row r="2261">
      <c r="A2261" t="inlineStr">
        <is>
          <t>chr2</t>
        </is>
      </c>
      <c r="B2261" t="n">
        <v>172107630</v>
      </c>
      <c r="C2261" t="inlineStr">
        <is>
          <t>G</t>
        </is>
      </c>
      <c r="D2261" t="inlineStr">
        <is>
          <t>T</t>
        </is>
      </c>
      <c r="E2261" t="inlineStr">
        <is>
          <t>rs1001780</t>
        </is>
      </c>
      <c r="F2261" t="n">
        <v>0.005040626608</v>
      </c>
      <c r="G2261" t="n">
        <v>0.7097050761831256</v>
      </c>
      <c r="H2261" t="n">
        <v>0.0210127957798271</v>
      </c>
      <c r="I2261" t="n">
        <v>0.0448360667863742</v>
      </c>
      <c r="J2261" t="n">
        <v>0.5818605282522809</v>
      </c>
      <c r="K2261" t="n">
        <v>0.04475141981976</v>
      </c>
      <c r="L2261" t="b">
        <v>0</v>
      </c>
      <c r="M2261" t="b">
        <v>0</v>
      </c>
      <c r="N2261" t="inlineStr">
        <is>
          <t>alt</t>
        </is>
      </c>
      <c r="O2261" t="n">
        <v>85</v>
      </c>
      <c r="P2261" t="n">
        <v>0.001565</v>
      </c>
      <c r="Q2261" t="n">
        <v>100</v>
      </c>
      <c r="R2261" t="n">
        <v>0.05835</v>
      </c>
      <c r="S2261">
        <f>IMAGE("https://mitra.stanford.edu/kundaje/oak/projects/neuro-variants/variant_position/credible/roussos_2024/variant_figures/roussos_2024.adolescence.GLU/rs1001780_count_position.png",4,220,900)</f>
        <v/>
      </c>
      <c r="T2261">
        <f>IMAGE("https://mitra.stanford.edu/kundaje/oak/projects/neuro-variants/variant_position/credible/roussos_2024/variant_figures/roussos_2024.adolescence.GLU/rs1001780_profile_position.png",4,220,900)</f>
        <v/>
      </c>
    </row>
    <row r="2262">
      <c r="A2262" t="inlineStr">
        <is>
          <t>chr2</t>
        </is>
      </c>
      <c r="B2262" t="n">
        <v>172110061</v>
      </c>
      <c r="C2262" t="inlineStr">
        <is>
          <t>C</t>
        </is>
      </c>
      <c r="D2262" t="inlineStr">
        <is>
          <t>T</t>
        </is>
      </c>
      <c r="E2262" t="inlineStr">
        <is>
          <t>rs62184960</t>
        </is>
      </c>
      <c r="F2262" t="n">
        <v>-0.06359202780000001</v>
      </c>
      <c r="G2262" t="n">
        <v>0.0376491193313203</v>
      </c>
      <c r="H2262" t="n">
        <v>0.0136185891858224</v>
      </c>
      <c r="I2262" t="n">
        <v>0.2463603322982775</v>
      </c>
      <c r="J2262" t="n">
        <v>0.6110551471376213</v>
      </c>
      <c r="K2262" t="n">
        <v>0.0341737198100582</v>
      </c>
      <c r="L2262" t="b">
        <v>0</v>
      </c>
      <c r="M2262" t="b">
        <v>0</v>
      </c>
      <c r="N2262" t="inlineStr">
        <is>
          <t>ref</t>
        </is>
      </c>
      <c r="O2262" t="n">
        <v>30</v>
      </c>
      <c r="P2262" t="n">
        <v>0.0007935</v>
      </c>
      <c r="Q2262" t="n">
        <v>55</v>
      </c>
      <c r="R2262" t="n">
        <v>0.065</v>
      </c>
      <c r="S2262">
        <f>IMAGE("https://mitra.stanford.edu/kundaje/oak/projects/neuro-variants/variant_position/credible/roussos_2024/variant_figures/roussos_2024.adolescence.GLU/rs62184960_count_position.png",4,220,900)</f>
        <v/>
      </c>
      <c r="T2262">
        <f>IMAGE("https://mitra.stanford.edu/kundaje/oak/projects/neuro-variants/variant_position/credible/roussos_2024/variant_figures/roussos_2024.adolescence.GLU/rs62184960_profile_position.png",4,220,900)</f>
        <v/>
      </c>
    </row>
    <row r="2263">
      <c r="A2263" t="inlineStr">
        <is>
          <t>chr2</t>
        </is>
      </c>
      <c r="B2263" t="n">
        <v>184751506</v>
      </c>
      <c r="C2263" t="inlineStr">
        <is>
          <t>A</t>
        </is>
      </c>
      <c r="D2263" t="inlineStr">
        <is>
          <t>G</t>
        </is>
      </c>
      <c r="E2263" t="inlineStr">
        <is>
          <t>rs145078188</t>
        </is>
      </c>
      <c r="F2263" t="n">
        <v>0.0043405468</v>
      </c>
      <c r="G2263" t="n">
        <v>0.4165185766882439</v>
      </c>
      <c r="H2263" t="n">
        <v>0.0115924858911417</v>
      </c>
      <c r="I2263" t="n">
        <v>0.3465930693417998</v>
      </c>
      <c r="J2263" t="n">
        <v>0.0186238577991154</v>
      </c>
      <c r="K2263" t="n">
        <v>0.8279963621528296</v>
      </c>
      <c r="L2263" t="b">
        <v>0</v>
      </c>
      <c r="M2263" t="b">
        <v>0</v>
      </c>
      <c r="N2263" t="inlineStr">
        <is>
          <t>alt</t>
        </is>
      </c>
      <c r="O2263" t="n">
        <v>10</v>
      </c>
      <c r="P2263" t="n">
        <v>0.001526</v>
      </c>
      <c r="Q2263" t="n">
        <v>95</v>
      </c>
      <c r="R2263" t="n">
        <v>0.07854999999999999</v>
      </c>
      <c r="S2263">
        <f>IMAGE("https://mitra.stanford.edu/kundaje/oak/projects/neuro-variants/variant_position/credible/roussos_2024/variant_figures/roussos_2024.adolescence.GLU/rs145078188_count_position.png",4,220,900)</f>
        <v/>
      </c>
      <c r="T2263">
        <f>IMAGE("https://mitra.stanford.edu/kundaje/oak/projects/neuro-variants/variant_position/credible/roussos_2024/variant_figures/roussos_2024.adolescence.GLU/rs145078188_profile_position.png",4,220,900)</f>
        <v/>
      </c>
    </row>
    <row r="2264">
      <c r="A2264" t="inlineStr">
        <is>
          <t>chr2</t>
        </is>
      </c>
      <c r="B2264" t="n">
        <v>184787402</v>
      </c>
      <c r="C2264" t="inlineStr">
        <is>
          <t>A</t>
        </is>
      </c>
      <c r="D2264" t="inlineStr">
        <is>
          <t>G</t>
        </is>
      </c>
      <c r="E2264" t="inlineStr">
        <is>
          <t>rs11675794</t>
        </is>
      </c>
      <c r="F2264" t="n">
        <v>0.0209772726</v>
      </c>
      <c r="G2264" t="n">
        <v>0.276870244248244</v>
      </c>
      <c r="H2264" t="n">
        <v>0.0124484086401251</v>
      </c>
      <c r="I2264" t="n">
        <v>0.3048240504691836</v>
      </c>
      <c r="J2264" t="n">
        <v>0.0139343149652427</v>
      </c>
      <c r="K2264" t="n">
        <v>0.8525428036538495</v>
      </c>
      <c r="L2264" t="b">
        <v>0</v>
      </c>
      <c r="M2264" t="b">
        <v>0</v>
      </c>
      <c r="N2264" t="inlineStr">
        <is>
          <t>alt</t>
        </is>
      </c>
      <c r="O2264" t="n">
        <v>60</v>
      </c>
      <c r="P2264" t="n">
        <v>0.007979999999999999</v>
      </c>
      <c r="Q2264" t="n">
        <v>25</v>
      </c>
      <c r="R2264" t="n">
        <v>0.04236</v>
      </c>
      <c r="S2264">
        <f>IMAGE("https://mitra.stanford.edu/kundaje/oak/projects/neuro-variants/variant_position/credible/roussos_2024/variant_figures/roussos_2024.adolescence.GLU/rs11675794_count_position.png",4,220,900)</f>
        <v/>
      </c>
      <c r="T2264">
        <f>IMAGE("https://mitra.stanford.edu/kundaje/oak/projects/neuro-variants/variant_position/credible/roussos_2024/variant_figures/roussos_2024.adolescence.GLU/rs11675794_profile_position.png",4,220,900)</f>
        <v/>
      </c>
    </row>
    <row r="2265">
      <c r="A2265" t="inlineStr">
        <is>
          <t>chr2</t>
        </is>
      </c>
      <c r="B2265" t="n">
        <v>184937190</v>
      </c>
      <c r="C2265" t="inlineStr">
        <is>
          <t>A</t>
        </is>
      </c>
      <c r="D2265" t="inlineStr">
        <is>
          <t>G</t>
        </is>
      </c>
      <c r="E2265" t="inlineStr">
        <is>
          <t>rs728534</t>
        </is>
      </c>
      <c r="F2265" t="n">
        <v>0.00588289938</v>
      </c>
      <c r="G2265" t="n">
        <v>0.6570812781981866</v>
      </c>
      <c r="H2265" t="n">
        <v>0.018838960337928</v>
      </c>
      <c r="I2265" t="n">
        <v>0.071242744625153</v>
      </c>
      <c r="J2265" t="n">
        <v>0.1030770659636638</v>
      </c>
      <c r="K2265" t="n">
        <v>0.5607590330663458</v>
      </c>
      <c r="L2265" t="b">
        <v>0</v>
      </c>
      <c r="M2265" t="b">
        <v>0</v>
      </c>
      <c r="N2265" t="inlineStr">
        <is>
          <t>alt</t>
        </is>
      </c>
      <c r="O2265" t="n">
        <v>15</v>
      </c>
      <c r="P2265" t="n">
        <v>0.00206</v>
      </c>
      <c r="Q2265" t="n">
        <v>100</v>
      </c>
      <c r="R2265" t="n">
        <v>0.0512</v>
      </c>
      <c r="S2265">
        <f>IMAGE("https://mitra.stanford.edu/kundaje/oak/projects/neuro-variants/variant_position/credible/roussos_2024/variant_figures/roussos_2024.adolescence.GLU/rs728534_count_position.png",4,220,900)</f>
        <v/>
      </c>
      <c r="T2265">
        <f>IMAGE("https://mitra.stanford.edu/kundaje/oak/projects/neuro-variants/variant_position/credible/roussos_2024/variant_figures/roussos_2024.adolescence.GLU/rs728534_profile_position.png",4,220,900)</f>
        <v/>
      </c>
    </row>
    <row r="2266">
      <c r="A2266" t="inlineStr">
        <is>
          <t>chr2</t>
        </is>
      </c>
      <c r="B2266" t="n">
        <v>192886081</v>
      </c>
      <c r="C2266" t="inlineStr">
        <is>
          <t>C</t>
        </is>
      </c>
      <c r="D2266" t="inlineStr">
        <is>
          <t>T</t>
        </is>
      </c>
      <c r="E2266" t="inlineStr">
        <is>
          <t>rs1445542</t>
        </is>
      </c>
      <c r="F2266" t="n">
        <v>0.0027864308999999</v>
      </c>
      <c r="G2266" t="n">
        <v>0.7414346828897252</v>
      </c>
      <c r="H2266" t="n">
        <v>0.0262249557196536</v>
      </c>
      <c r="I2266" t="n">
        <v>0.0157278528393641</v>
      </c>
      <c r="J2266" t="n">
        <v>0.0452550885540575</v>
      </c>
      <c r="K2266" t="n">
        <v>0.7164746118222649</v>
      </c>
      <c r="L2266" t="b">
        <v>1</v>
      </c>
      <c r="M2266" t="b">
        <v>0</v>
      </c>
      <c r="N2266" t="inlineStr">
        <is>
          <t>alt</t>
        </is>
      </c>
      <c r="O2266" t="n">
        <v>-60</v>
      </c>
      <c r="P2266" t="n">
        <v>0.00351</v>
      </c>
      <c r="Q2266" t="n">
        <v>-100</v>
      </c>
      <c r="R2266" t="n">
        <v>0.06304999999999999</v>
      </c>
      <c r="S2266">
        <f>IMAGE("https://mitra.stanford.edu/kundaje/oak/projects/neuro-variants/variant_position/credible/roussos_2024/variant_figures/roussos_2024.adolescence.GLU/rs1445542_count_position.png",4,220,900)</f>
        <v/>
      </c>
      <c r="T2266">
        <f>IMAGE("https://mitra.stanford.edu/kundaje/oak/projects/neuro-variants/variant_position/credible/roussos_2024/variant_figures/roussos_2024.adolescence.GLU/rs1445542_profile_position.png",4,220,900)</f>
        <v/>
      </c>
    </row>
    <row r="2267">
      <c r="A2267" t="inlineStr">
        <is>
          <t>chr2</t>
        </is>
      </c>
      <c r="B2267" t="n">
        <v>192982358</v>
      </c>
      <c r="C2267" t="inlineStr">
        <is>
          <t>T</t>
        </is>
      </c>
      <c r="D2267" t="inlineStr">
        <is>
          <t>G</t>
        </is>
      </c>
      <c r="E2267" t="inlineStr">
        <is>
          <t>rs11680198</t>
        </is>
      </c>
      <c r="F2267" t="n">
        <v>0.0101509386599999</v>
      </c>
      <c r="G2267" t="n">
        <v>0.4947619404337693</v>
      </c>
      <c r="H2267" t="n">
        <v>0.0141494046097436</v>
      </c>
      <c r="I2267" t="n">
        <v>0.1921978550661703</v>
      </c>
      <c r="J2267" t="n">
        <v>0.0005586871566252</v>
      </c>
      <c r="K2267" t="n">
        <v>0.98205779060002</v>
      </c>
      <c r="L2267" t="b">
        <v>0</v>
      </c>
      <c r="M2267" t="b">
        <v>0</v>
      </c>
      <c r="N2267" t="inlineStr">
        <is>
          <t>alt</t>
        </is>
      </c>
      <c r="O2267" t="n">
        <v>85</v>
      </c>
      <c r="P2267" t="n">
        <v>0.011826</v>
      </c>
      <c r="Q2267" t="n">
        <v>75</v>
      </c>
      <c r="R2267" t="n">
        <v>0.02057</v>
      </c>
      <c r="S2267">
        <f>IMAGE("https://mitra.stanford.edu/kundaje/oak/projects/neuro-variants/variant_position/credible/roussos_2024/variant_figures/roussos_2024.adolescence.GLU/rs11680198_count_position.png",4,220,900)</f>
        <v/>
      </c>
      <c r="T2267">
        <f>IMAGE("https://mitra.stanford.edu/kundaje/oak/projects/neuro-variants/variant_position/credible/roussos_2024/variant_figures/roussos_2024.adolescence.GLU/rs11680198_profile_position.png",4,220,900)</f>
        <v/>
      </c>
    </row>
    <row r="2268">
      <c r="A2268" t="inlineStr">
        <is>
          <t>chr2</t>
        </is>
      </c>
      <c r="B2268" t="n">
        <v>192986694</v>
      </c>
      <c r="C2268" t="inlineStr">
        <is>
          <t>G</t>
        </is>
      </c>
      <c r="D2268" t="inlineStr">
        <is>
          <t>A</t>
        </is>
      </c>
      <c r="E2268" t="inlineStr">
        <is>
          <t>rs968109</t>
        </is>
      </c>
      <c r="F2268" t="n">
        <v>0.00527224488</v>
      </c>
      <c r="G2268" t="n">
        <v>0.5828508726739531</v>
      </c>
      <c r="H2268" t="n">
        <v>0.0219441303587368</v>
      </c>
      <c r="I2268" t="n">
        <v>0.0400390213351028</v>
      </c>
      <c r="J2268" t="n">
        <v>0.0063498867622578</v>
      </c>
      <c r="K2268" t="n">
        <v>0.9083037529141084</v>
      </c>
      <c r="L2268" t="b">
        <v>0</v>
      </c>
      <c r="M2268" t="b">
        <v>0</v>
      </c>
      <c r="N2268" t="inlineStr">
        <is>
          <t>alt</t>
        </is>
      </c>
      <c r="O2268" t="n">
        <v>100</v>
      </c>
      <c r="P2268" t="n">
        <v>0.01913</v>
      </c>
      <c r="Q2268" t="n">
        <v>-100</v>
      </c>
      <c r="R2268" t="n">
        <v>0.0451</v>
      </c>
      <c r="S2268">
        <f>IMAGE("https://mitra.stanford.edu/kundaje/oak/projects/neuro-variants/variant_position/credible/roussos_2024/variant_figures/roussos_2024.adolescence.GLU/rs968109_count_position.png",4,220,900)</f>
        <v/>
      </c>
      <c r="T2268">
        <f>IMAGE("https://mitra.stanford.edu/kundaje/oak/projects/neuro-variants/variant_position/credible/roussos_2024/variant_figures/roussos_2024.adolescence.GLU/rs968109_profile_position.png",4,220,900)</f>
        <v/>
      </c>
    </row>
    <row r="2269">
      <c r="A2269" t="inlineStr">
        <is>
          <t>chr2</t>
        </is>
      </c>
      <c r="B2269" t="n">
        <v>193005369</v>
      </c>
      <c r="C2269" t="inlineStr">
        <is>
          <t>G</t>
        </is>
      </c>
      <c r="D2269" t="inlineStr">
        <is>
          <t>A</t>
        </is>
      </c>
      <c r="E2269" t="inlineStr">
        <is>
          <t>rs4471907</t>
        </is>
      </c>
      <c r="F2269" t="n">
        <v>-0.0006681190388</v>
      </c>
      <c r="G2269" t="n">
        <v>0.8212824849700311</v>
      </c>
      <c r="H2269" t="n">
        <v>0.0148369370912229</v>
      </c>
      <c r="I2269" t="n">
        <v>0.1638717169329854</v>
      </c>
      <c r="J2269" t="n">
        <v>0.0261225539576054</v>
      </c>
      <c r="K2269" t="n">
        <v>0.7912382930788999</v>
      </c>
      <c r="L2269" t="b">
        <v>0</v>
      </c>
      <c r="M2269" t="b">
        <v>0</v>
      </c>
      <c r="N2269" t="inlineStr">
        <is>
          <t>ref</t>
        </is>
      </c>
      <c r="O2269" t="n">
        <v>-100</v>
      </c>
      <c r="P2269" t="n">
        <v>0.007996</v>
      </c>
      <c r="Q2269" t="n">
        <v>15</v>
      </c>
      <c r="R2269" t="n">
        <v>0.00525</v>
      </c>
      <c r="S2269">
        <f>IMAGE("https://mitra.stanford.edu/kundaje/oak/projects/neuro-variants/variant_position/credible/roussos_2024/variant_figures/roussos_2024.adolescence.GLU/rs4471907_count_position.png",4,220,900)</f>
        <v/>
      </c>
      <c r="T2269">
        <f>IMAGE("https://mitra.stanford.edu/kundaje/oak/projects/neuro-variants/variant_position/credible/roussos_2024/variant_figures/roussos_2024.adolescence.GLU/rs4471907_profile_position.png",4,220,900)</f>
        <v/>
      </c>
    </row>
    <row r="2270">
      <c r="A2270" t="inlineStr">
        <is>
          <t>chr2</t>
        </is>
      </c>
      <c r="B2270" t="n">
        <v>193015267</v>
      </c>
      <c r="C2270" t="inlineStr">
        <is>
          <t>G</t>
        </is>
      </c>
      <c r="D2270" t="inlineStr">
        <is>
          <t>A</t>
        </is>
      </c>
      <c r="E2270" t="inlineStr">
        <is>
          <t>rs10175759</t>
        </is>
      </c>
      <c r="F2270" t="n">
        <v>0.00665135234</v>
      </c>
      <c r="G2270" t="n">
        <v>0.6326411638958356</v>
      </c>
      <c r="H2270" t="n">
        <v>0.0222971906329566</v>
      </c>
      <c r="I2270" t="n">
        <v>0.0333617041570929</v>
      </c>
      <c r="J2270" t="n">
        <v>0.0028148687942501</v>
      </c>
      <c r="K2270" t="n">
        <v>0.9419281932891512</v>
      </c>
      <c r="L2270" t="b">
        <v>0</v>
      </c>
      <c r="M2270" t="b">
        <v>0</v>
      </c>
      <c r="N2270" t="inlineStr">
        <is>
          <t>alt</t>
        </is>
      </c>
      <c r="O2270" t="n">
        <v>-90</v>
      </c>
      <c r="P2270" t="n">
        <v>0.010475</v>
      </c>
      <c r="Q2270" t="n">
        <v>80</v>
      </c>
      <c r="R2270" t="n">
        <v>0.0242</v>
      </c>
      <c r="S2270">
        <f>IMAGE("https://mitra.stanford.edu/kundaje/oak/projects/neuro-variants/variant_position/credible/roussos_2024/variant_figures/roussos_2024.adolescence.GLU/rs10175759_count_position.png",4,220,900)</f>
        <v/>
      </c>
      <c r="T2270">
        <f>IMAGE("https://mitra.stanford.edu/kundaje/oak/projects/neuro-variants/variant_position/credible/roussos_2024/variant_figures/roussos_2024.adolescence.GLU/rs10175759_profile_position.png",4,220,900)</f>
        <v/>
      </c>
    </row>
    <row r="2271">
      <c r="A2271" t="inlineStr">
        <is>
          <t>chr2</t>
        </is>
      </c>
      <c r="B2271" t="n">
        <v>193017382</v>
      </c>
      <c r="C2271" t="inlineStr">
        <is>
          <t>G</t>
        </is>
      </c>
      <c r="D2271" t="inlineStr">
        <is>
          <t>A</t>
        </is>
      </c>
      <c r="E2271" t="inlineStr">
        <is>
          <t>rs6712343</t>
        </is>
      </c>
      <c r="F2271" t="n">
        <v>0.003126712046</v>
      </c>
      <c r="G2271" t="n">
        <v>0.7850718692476457</v>
      </c>
      <c r="H2271" t="n">
        <v>0.0224253109549043</v>
      </c>
      <c r="I2271" t="n">
        <v>0.0357085063449727</v>
      </c>
      <c r="J2271" t="n">
        <v>0.0187038743739774</v>
      </c>
      <c r="K2271" t="n">
        <v>0.834144582480943</v>
      </c>
      <c r="L2271" t="b">
        <v>0</v>
      </c>
      <c r="M2271" t="b">
        <v>0</v>
      </c>
      <c r="N2271" t="inlineStr">
        <is>
          <t>alt</t>
        </is>
      </c>
      <c r="O2271" t="n">
        <v>-70</v>
      </c>
      <c r="P2271" t="n">
        <v>0.003311</v>
      </c>
      <c r="Q2271" t="n">
        <v>-45</v>
      </c>
      <c r="R2271" t="n">
        <v>0.08606</v>
      </c>
      <c r="S2271">
        <f>IMAGE("https://mitra.stanford.edu/kundaje/oak/projects/neuro-variants/variant_position/credible/roussos_2024/variant_figures/roussos_2024.adolescence.GLU/rs6712343_count_position.png",4,220,900)</f>
        <v/>
      </c>
      <c r="T2271">
        <f>IMAGE("https://mitra.stanford.edu/kundaje/oak/projects/neuro-variants/variant_position/credible/roussos_2024/variant_figures/roussos_2024.adolescence.GLU/rs6712343_profile_position.png",4,220,900)</f>
        <v/>
      </c>
    </row>
    <row r="2272">
      <c r="A2272" t="inlineStr">
        <is>
          <t>chr2</t>
        </is>
      </c>
      <c r="B2272" t="n">
        <v>193030136</v>
      </c>
      <c r="C2272" t="inlineStr">
        <is>
          <t>A</t>
        </is>
      </c>
      <c r="D2272" t="inlineStr">
        <is>
          <t>G</t>
        </is>
      </c>
      <c r="E2272" t="inlineStr">
        <is>
          <t>rs6714301</t>
        </is>
      </c>
      <c r="F2272" t="n">
        <v>0.00328521232</v>
      </c>
      <c r="G2272" t="n">
        <v>0.5245460005790809</v>
      </c>
      <c r="H2272" t="n">
        <v>0.0111347803179365</v>
      </c>
      <c r="I2272" t="n">
        <v>0.4180236806324368</v>
      </c>
      <c r="J2272" t="n">
        <v>0.0057483335833851</v>
      </c>
      <c r="K2272" t="n">
        <v>0.9111965418904452</v>
      </c>
      <c r="L2272" t="b">
        <v>0</v>
      </c>
      <c r="M2272" t="b">
        <v>0</v>
      </c>
      <c r="N2272" t="inlineStr">
        <is>
          <t>alt</t>
        </is>
      </c>
      <c r="O2272" t="n">
        <v>100</v>
      </c>
      <c r="P2272" t="n">
        <v>0.002556</v>
      </c>
      <c r="Q2272" t="n">
        <v>10</v>
      </c>
      <c r="R2272" t="n">
        <v>0.00525</v>
      </c>
      <c r="S2272">
        <f>IMAGE("https://mitra.stanford.edu/kundaje/oak/projects/neuro-variants/variant_position/credible/roussos_2024/variant_figures/roussos_2024.adolescence.GLU/rs6714301_count_position.png",4,220,900)</f>
        <v/>
      </c>
      <c r="T2272">
        <f>IMAGE("https://mitra.stanford.edu/kundaje/oak/projects/neuro-variants/variant_position/credible/roussos_2024/variant_figures/roussos_2024.adolescence.GLU/rs6714301_profile_position.png",4,220,900)</f>
        <v/>
      </c>
    </row>
    <row r="2273">
      <c r="A2273" t="inlineStr">
        <is>
          <t>chr2</t>
        </is>
      </c>
      <c r="B2273" t="n">
        <v>193031520</v>
      </c>
      <c r="C2273" t="inlineStr">
        <is>
          <t>T</t>
        </is>
      </c>
      <c r="D2273" t="inlineStr">
        <is>
          <t>C</t>
        </is>
      </c>
      <c r="E2273" t="inlineStr">
        <is>
          <t>rs7557329</t>
        </is>
      </c>
      <c r="F2273" t="n">
        <v>0.00527963832</v>
      </c>
      <c r="G2273" t="n">
        <v>0.7020165463893754</v>
      </c>
      <c r="H2273" t="n">
        <v>0.0178673937857674</v>
      </c>
      <c r="I2273" t="n">
        <v>0.084556468239319</v>
      </c>
      <c r="J2273" t="n">
        <v>0.004858149188046</v>
      </c>
      <c r="K2273" t="n">
        <v>0.9210392064428946</v>
      </c>
      <c r="L2273" t="b">
        <v>0</v>
      </c>
      <c r="M2273" t="b">
        <v>0</v>
      </c>
      <c r="N2273" t="inlineStr">
        <is>
          <t>alt</t>
        </is>
      </c>
      <c r="O2273" t="n">
        <v>-100</v>
      </c>
      <c r="P2273" t="n">
        <v>0.01762</v>
      </c>
      <c r="Q2273" t="n">
        <v>-15</v>
      </c>
      <c r="R2273" t="n">
        <v>0.01022</v>
      </c>
      <c r="S2273">
        <f>IMAGE("https://mitra.stanford.edu/kundaje/oak/projects/neuro-variants/variant_position/credible/roussos_2024/variant_figures/roussos_2024.adolescence.GLU/rs7557329_count_position.png",4,220,900)</f>
        <v/>
      </c>
      <c r="T2273">
        <f>IMAGE("https://mitra.stanford.edu/kundaje/oak/projects/neuro-variants/variant_position/credible/roussos_2024/variant_figures/roussos_2024.adolescence.GLU/rs7557329_profile_position.png",4,220,900)</f>
        <v/>
      </c>
    </row>
    <row r="2274">
      <c r="A2274" t="inlineStr">
        <is>
          <t>chr2</t>
        </is>
      </c>
      <c r="B2274" t="n">
        <v>193105038</v>
      </c>
      <c r="C2274" t="inlineStr">
        <is>
          <t>G</t>
        </is>
      </c>
      <c r="D2274" t="inlineStr">
        <is>
          <t>T</t>
        </is>
      </c>
      <c r="E2274" t="inlineStr">
        <is>
          <t>rs1902746</t>
        </is>
      </c>
      <c r="F2274" t="n">
        <v>-0.0017960936</v>
      </c>
      <c r="G2274" t="n">
        <v>0.8713083490235791</v>
      </c>
      <c r="H2274" t="n">
        <v>0.020001997258447</v>
      </c>
      <c r="I2274" t="n">
        <v>0.0617628902973304</v>
      </c>
      <c r="J2274" t="n">
        <v>3.286395038971541e-05</v>
      </c>
      <c r="K2274" t="n">
        <v>0.998618388950546</v>
      </c>
      <c r="L2274" t="b">
        <v>0</v>
      </c>
      <c r="M2274" t="b">
        <v>0</v>
      </c>
      <c r="N2274" t="inlineStr">
        <is>
          <t>ref</t>
        </is>
      </c>
      <c r="O2274" t="n">
        <v>10</v>
      </c>
      <c r="P2274" t="n">
        <v>0.001488</v>
      </c>
      <c r="Q2274" t="n">
        <v>-15</v>
      </c>
      <c r="R2274" t="n">
        <v>0.01398</v>
      </c>
      <c r="S2274">
        <f>IMAGE("https://mitra.stanford.edu/kundaje/oak/projects/neuro-variants/variant_position/credible/roussos_2024/variant_figures/roussos_2024.adolescence.GLU/rs1902746_count_position.png",4,220,900)</f>
        <v/>
      </c>
      <c r="T2274">
        <f>IMAGE("https://mitra.stanford.edu/kundaje/oak/projects/neuro-variants/variant_position/credible/roussos_2024/variant_figures/roussos_2024.adolescence.GLU/rs1902746_profile_position.png",4,220,900)</f>
        <v/>
      </c>
    </row>
    <row r="2275">
      <c r="A2275" t="inlineStr">
        <is>
          <t>chr2</t>
        </is>
      </c>
      <c r="B2275" t="n">
        <v>193108463</v>
      </c>
      <c r="C2275" t="inlineStr">
        <is>
          <t>A</t>
        </is>
      </c>
      <c r="D2275" t="inlineStr">
        <is>
          <t>G</t>
        </is>
      </c>
      <c r="E2275" t="inlineStr">
        <is>
          <t>rs1037708</t>
        </is>
      </c>
      <c r="F2275" t="n">
        <v>0.0102627684</v>
      </c>
      <c r="G2275" t="n">
        <v>0.5120134625923903</v>
      </c>
      <c r="H2275" t="n">
        <v>0.0179873179219334</v>
      </c>
      <c r="I2275" t="n">
        <v>0.0844245556668647</v>
      </c>
      <c r="J2275" t="n">
        <v>0.0096491416079044</v>
      </c>
      <c r="K2275" t="n">
        <v>0.8834338516372252</v>
      </c>
      <c r="L2275" t="b">
        <v>0</v>
      </c>
      <c r="M2275" t="b">
        <v>0</v>
      </c>
      <c r="N2275" t="inlineStr">
        <is>
          <t>alt</t>
        </is>
      </c>
      <c r="O2275" t="n">
        <v>35</v>
      </c>
      <c r="P2275" t="n">
        <v>0.003277</v>
      </c>
      <c r="Q2275" t="n">
        <v>100</v>
      </c>
      <c r="R2275" t="n">
        <v>0.07104000000000001</v>
      </c>
      <c r="S2275">
        <f>IMAGE("https://mitra.stanford.edu/kundaje/oak/projects/neuro-variants/variant_position/credible/roussos_2024/variant_figures/roussos_2024.adolescence.GLU/rs1037708_count_position.png",4,220,900)</f>
        <v/>
      </c>
      <c r="T2275">
        <f>IMAGE("https://mitra.stanford.edu/kundaje/oak/projects/neuro-variants/variant_position/credible/roussos_2024/variant_figures/roussos_2024.adolescence.GLU/rs1037708_profile_position.png",4,220,900)</f>
        <v/>
      </c>
    </row>
    <row r="2276">
      <c r="A2276" t="inlineStr">
        <is>
          <t>chr2</t>
        </is>
      </c>
      <c r="B2276" t="n">
        <v>193124314</v>
      </c>
      <c r="C2276" t="inlineStr">
        <is>
          <t>C</t>
        </is>
      </c>
      <c r="D2276" t="inlineStr">
        <is>
          <t>A</t>
        </is>
      </c>
      <c r="E2276" t="inlineStr">
        <is>
          <t>rs12617537</t>
        </is>
      </c>
      <c r="F2276" t="n">
        <v>0.0027244554399999</v>
      </c>
      <c r="G2276" t="n">
        <v>0.7653346586508823</v>
      </c>
      <c r="H2276" t="n">
        <v>0.0333981976372701</v>
      </c>
      <c r="I2276" t="n">
        <v>0.0051358022491903</v>
      </c>
      <c r="J2276" t="n">
        <v>7.287223782068752e-05</v>
      </c>
      <c r="K2276" t="n">
        <v>0.9960171095026404</v>
      </c>
      <c r="L2276" t="b">
        <v>0</v>
      </c>
      <c r="M2276" t="b">
        <v>0</v>
      </c>
      <c r="N2276" t="inlineStr">
        <is>
          <t>alt</t>
        </is>
      </c>
      <c r="O2276" t="n">
        <v>85</v>
      </c>
      <c r="P2276" t="n">
        <v>0.005314</v>
      </c>
      <c r="Q2276" t="n">
        <v>80</v>
      </c>
      <c r="R2276" t="n">
        <v>0.02457</v>
      </c>
      <c r="S2276">
        <f>IMAGE("https://mitra.stanford.edu/kundaje/oak/projects/neuro-variants/variant_position/credible/roussos_2024/variant_figures/roussos_2024.adolescence.GLU/rs12617537_count_position.png",4,220,900)</f>
        <v/>
      </c>
      <c r="T2276">
        <f>IMAGE("https://mitra.stanford.edu/kundaje/oak/projects/neuro-variants/variant_position/credible/roussos_2024/variant_figures/roussos_2024.adolescence.GLU/rs12617537_profile_position.png",4,220,900)</f>
        <v/>
      </c>
    </row>
    <row r="2277">
      <c r="A2277" t="inlineStr">
        <is>
          <t>chr2</t>
        </is>
      </c>
      <c r="B2277" t="n">
        <v>197126458</v>
      </c>
      <c r="C2277" t="inlineStr">
        <is>
          <t>G</t>
        </is>
      </c>
      <c r="D2277" t="inlineStr">
        <is>
          <t>A</t>
        </is>
      </c>
      <c r="E2277" t="inlineStr">
        <is>
          <t>rs62279220</t>
        </is>
      </c>
      <c r="F2277" t="n">
        <v>-0.00551396318</v>
      </c>
      <c r="G2277" t="n">
        <v>0.4451275122014245</v>
      </c>
      <c r="H2277" t="n">
        <v>0.0148340720191631</v>
      </c>
      <c r="I2277" t="n">
        <v>0.1623027300880893</v>
      </c>
      <c r="J2277" t="n">
        <v>0.1381614763058061</v>
      </c>
      <c r="K2277" t="n">
        <v>0.5064511164718842</v>
      </c>
      <c r="L2277" t="b">
        <v>0</v>
      </c>
      <c r="M2277" t="b">
        <v>0</v>
      </c>
      <c r="N2277" t="inlineStr">
        <is>
          <t>ref</t>
        </is>
      </c>
      <c r="O2277" t="n">
        <v>-100</v>
      </c>
      <c r="P2277" t="n">
        <v>0.003716</v>
      </c>
      <c r="Q2277" t="n">
        <v>100</v>
      </c>
      <c r="R2277" t="n">
        <v>0.08260000000000001</v>
      </c>
      <c r="S2277">
        <f>IMAGE("https://mitra.stanford.edu/kundaje/oak/projects/neuro-variants/variant_position/credible/roussos_2024/variant_figures/roussos_2024.adolescence.GLU/rs62279220_count_position.png",4,220,900)</f>
        <v/>
      </c>
      <c r="T2277">
        <f>IMAGE("https://mitra.stanford.edu/kundaje/oak/projects/neuro-variants/variant_position/credible/roussos_2024/variant_figures/roussos_2024.adolescence.GLU/rs62279220_profile_position.png",4,220,900)</f>
        <v/>
      </c>
    </row>
    <row r="2278">
      <c r="A2278" t="inlineStr">
        <is>
          <t>chr2</t>
        </is>
      </c>
      <c r="B2278" t="n">
        <v>197135526</v>
      </c>
      <c r="C2278" t="inlineStr">
        <is>
          <t>C</t>
        </is>
      </c>
      <c r="D2278" t="inlineStr">
        <is>
          <t>A</t>
        </is>
      </c>
      <c r="E2278" t="inlineStr">
        <is>
          <t>rs10191006</t>
        </is>
      </c>
      <c r="F2278" t="n">
        <v>-0.0130129949</v>
      </c>
      <c r="G2278" t="n">
        <v>0.4436308570179253</v>
      </c>
      <c r="H2278" t="n">
        <v>0.012190460721066</v>
      </c>
      <c r="I2278" t="n">
        <v>0.3253972582735431</v>
      </c>
      <c r="J2278" t="n">
        <v>0.1289281351137021</v>
      </c>
      <c r="K2278" t="n">
        <v>0.5219747938739359</v>
      </c>
      <c r="L2278" t="b">
        <v>0</v>
      </c>
      <c r="M2278" t="b">
        <v>0</v>
      </c>
      <c r="N2278" t="inlineStr">
        <is>
          <t>ref</t>
        </is>
      </c>
      <c r="O2278" t="n">
        <v>-30</v>
      </c>
      <c r="P2278" t="n">
        <v>0.002739</v>
      </c>
      <c r="Q2278" t="n">
        <v>95</v>
      </c>
      <c r="R2278" t="n">
        <v>0.06759999999999999</v>
      </c>
      <c r="S2278">
        <f>IMAGE("https://mitra.stanford.edu/kundaje/oak/projects/neuro-variants/variant_position/credible/roussos_2024/variant_figures/roussos_2024.adolescence.GLU/rs10191006_count_position.png",4,220,900)</f>
        <v/>
      </c>
      <c r="T2278">
        <f>IMAGE("https://mitra.stanford.edu/kundaje/oak/projects/neuro-variants/variant_position/credible/roussos_2024/variant_figures/roussos_2024.adolescence.GLU/rs10191006_profile_position.png",4,220,900)</f>
        <v/>
      </c>
    </row>
    <row r="2279">
      <c r="A2279" t="inlineStr">
        <is>
          <t>chr2</t>
        </is>
      </c>
      <c r="B2279" t="n">
        <v>197140324</v>
      </c>
      <c r="C2279" t="inlineStr">
        <is>
          <t>T</t>
        </is>
      </c>
      <c r="D2279" t="inlineStr">
        <is>
          <t>C</t>
        </is>
      </c>
      <c r="E2279" t="inlineStr">
        <is>
          <t>rs2697260</t>
        </is>
      </c>
      <c r="F2279" t="n">
        <v>0.0188751106</v>
      </c>
      <c r="G2279" t="n">
        <v>0.2971487117920316</v>
      </c>
      <c r="H2279" t="n">
        <v>0.0160649467762876</v>
      </c>
      <c r="I2279" t="n">
        <v>0.1301795558913451</v>
      </c>
      <c r="J2279" t="n">
        <v>0.0323124075701394</v>
      </c>
      <c r="K2279" t="n">
        <v>0.7643450521738533</v>
      </c>
      <c r="L2279" t="b">
        <v>0</v>
      </c>
      <c r="M2279" t="b">
        <v>0</v>
      </c>
      <c r="N2279" t="inlineStr">
        <is>
          <t>alt</t>
        </is>
      </c>
      <c r="O2279" t="n">
        <v>45</v>
      </c>
      <c r="P2279" t="n">
        <v>0.01466</v>
      </c>
      <c r="Q2279" t="n">
        <v>35</v>
      </c>
      <c r="R2279" t="n">
        <v>0.01611</v>
      </c>
      <c r="S2279">
        <f>IMAGE("https://mitra.stanford.edu/kundaje/oak/projects/neuro-variants/variant_position/credible/roussos_2024/variant_figures/roussos_2024.adolescence.GLU/rs2697260_count_position.png",4,220,900)</f>
        <v/>
      </c>
      <c r="T2279">
        <f>IMAGE("https://mitra.stanford.edu/kundaje/oak/projects/neuro-variants/variant_position/credible/roussos_2024/variant_figures/roussos_2024.adolescence.GLU/rs2697260_profile_position.png",4,220,900)</f>
        <v/>
      </c>
    </row>
    <row r="2280">
      <c r="A2280" t="inlineStr">
        <is>
          <t>chr2</t>
        </is>
      </c>
      <c r="B2280" t="n">
        <v>197166561</v>
      </c>
      <c r="C2280" t="inlineStr">
        <is>
          <t>C</t>
        </is>
      </c>
      <c r="D2280" t="inlineStr">
        <is>
          <t>A</t>
        </is>
      </c>
      <c r="E2280" t="inlineStr">
        <is>
          <t>rs7595352</t>
        </is>
      </c>
      <c r="F2280" t="n">
        <v>-0.020459292</v>
      </c>
      <c r="G2280" t="n">
        <v>0.2896932162477851</v>
      </c>
      <c r="H2280" t="n">
        <v>0.0141717607567178</v>
      </c>
      <c r="I2280" t="n">
        <v>0.1964089107537805</v>
      </c>
      <c r="J2280" t="n">
        <v>0.142398068171264</v>
      </c>
      <c r="K2280" t="n">
        <v>0.4897781366547898</v>
      </c>
      <c r="L2280" t="b">
        <v>0</v>
      </c>
      <c r="M2280" t="b">
        <v>0</v>
      </c>
      <c r="N2280" t="inlineStr">
        <is>
          <t>ref</t>
        </is>
      </c>
      <c r="O2280" t="n">
        <v>95</v>
      </c>
      <c r="P2280" t="n">
        <v>0.005157</v>
      </c>
      <c r="Q2280" t="n">
        <v>-65</v>
      </c>
      <c r="R2280" t="n">
        <v>0.03186</v>
      </c>
      <c r="S2280">
        <f>IMAGE("https://mitra.stanford.edu/kundaje/oak/projects/neuro-variants/variant_position/credible/roussos_2024/variant_figures/roussos_2024.adolescence.GLU/rs7595352_count_position.png",4,220,900)</f>
        <v/>
      </c>
      <c r="T2280">
        <f>IMAGE("https://mitra.stanford.edu/kundaje/oak/projects/neuro-variants/variant_position/credible/roussos_2024/variant_figures/roussos_2024.adolescence.GLU/rs7595352_profile_position.png",4,220,900)</f>
        <v/>
      </c>
    </row>
    <row r="2281">
      <c r="A2281" t="inlineStr">
        <is>
          <t>chr2</t>
        </is>
      </c>
      <c r="B2281" t="n">
        <v>197368952</v>
      </c>
      <c r="C2281" t="inlineStr">
        <is>
          <t>T</t>
        </is>
      </c>
      <c r="D2281" t="inlineStr">
        <is>
          <t>G</t>
        </is>
      </c>
      <c r="E2281" t="inlineStr">
        <is>
          <t>rs788007</t>
        </is>
      </c>
      <c r="F2281" t="n">
        <v>0.0064860579</v>
      </c>
      <c r="G2281" t="n">
        <v>0.6650941052753194</v>
      </c>
      <c r="H2281" t="n">
        <v>0.0210483826244811</v>
      </c>
      <c r="I2281" t="n">
        <v>0.0423801723610001</v>
      </c>
      <c r="J2281" t="n">
        <v>0.246939723228383</v>
      </c>
      <c r="K2281" t="n">
        <v>0.3378735689563391</v>
      </c>
      <c r="L2281" t="b">
        <v>0</v>
      </c>
      <c r="M2281" t="b">
        <v>0</v>
      </c>
      <c r="N2281" t="inlineStr">
        <is>
          <t>alt</t>
        </is>
      </c>
      <c r="O2281" t="n">
        <v>100</v>
      </c>
      <c r="P2281" t="n">
        <v>0.000738</v>
      </c>
      <c r="Q2281" t="n">
        <v>100</v>
      </c>
      <c r="R2281" t="n">
        <v>0.0658</v>
      </c>
      <c r="S2281">
        <f>IMAGE("https://mitra.stanford.edu/kundaje/oak/projects/neuro-variants/variant_position/credible/roussos_2024/variant_figures/roussos_2024.adolescence.GLU/rs788007_count_position.png",4,220,900)</f>
        <v/>
      </c>
      <c r="T2281">
        <f>IMAGE("https://mitra.stanford.edu/kundaje/oak/projects/neuro-variants/variant_position/credible/roussos_2024/variant_figures/roussos_2024.adolescence.GLU/rs788007_profile_position.png",4,220,900)</f>
        <v/>
      </c>
    </row>
    <row r="2282">
      <c r="A2282" t="inlineStr">
        <is>
          <t>chr2</t>
        </is>
      </c>
      <c r="B2282" t="n">
        <v>197381241</v>
      </c>
      <c r="C2282" t="inlineStr">
        <is>
          <t>C</t>
        </is>
      </c>
      <c r="D2282" t="inlineStr">
        <is>
          <t>T</t>
        </is>
      </c>
      <c r="E2282" t="inlineStr">
        <is>
          <t>rs55775495</t>
        </is>
      </c>
      <c r="F2282" t="n">
        <v>-0.024481112</v>
      </c>
      <c r="G2282" t="n">
        <v>0.2384047317512503</v>
      </c>
      <c r="H2282" t="n">
        <v>0.0222259742288119</v>
      </c>
      <c r="I2282" t="n">
        <v>0.0340288551725336</v>
      </c>
      <c r="J2282" t="n">
        <v>0.2884940451950761</v>
      </c>
      <c r="K2282" t="n">
        <v>0.2840701762069102</v>
      </c>
      <c r="L2282" t="b">
        <v>0</v>
      </c>
      <c r="M2282" t="b">
        <v>0</v>
      </c>
      <c r="N2282" t="inlineStr">
        <is>
          <t>ref</t>
        </is>
      </c>
      <c r="O2282" t="n">
        <v>-65</v>
      </c>
      <c r="P2282" t="n">
        <v>0.002335</v>
      </c>
      <c r="Q2282" t="n">
        <v>100</v>
      </c>
      <c r="R2282" t="n">
        <v>0.02525</v>
      </c>
      <c r="S2282">
        <f>IMAGE("https://mitra.stanford.edu/kundaje/oak/projects/neuro-variants/variant_position/credible/roussos_2024/variant_figures/roussos_2024.adolescence.GLU/rs55775495_count_position.png",4,220,900)</f>
        <v/>
      </c>
      <c r="T2282">
        <f>IMAGE("https://mitra.stanford.edu/kundaje/oak/projects/neuro-variants/variant_position/credible/roussos_2024/variant_figures/roussos_2024.adolescence.GLU/rs55775495_profile_position.png",4,220,900)</f>
        <v/>
      </c>
    </row>
    <row r="2283">
      <c r="A2283" t="inlineStr">
        <is>
          <t>chr2</t>
        </is>
      </c>
      <c r="B2283" t="n">
        <v>197418581</v>
      </c>
      <c r="C2283" t="inlineStr">
        <is>
          <t>T</t>
        </is>
      </c>
      <c r="D2283" t="inlineStr">
        <is>
          <t>C</t>
        </is>
      </c>
      <c r="E2283" t="inlineStr">
        <is>
          <t>rs788023</t>
        </is>
      </c>
      <c r="F2283" t="n">
        <v>-0.01533711368</v>
      </c>
      <c r="G2283" t="n">
        <v>0.4023235903576859</v>
      </c>
      <c r="H2283" t="n">
        <v>0.0188011689971962</v>
      </c>
      <c r="I2283" t="n">
        <v>0.0750875617792271</v>
      </c>
      <c r="J2283" t="n">
        <v>0.0239978281215394</v>
      </c>
      <c r="K2283" t="n">
        <v>0.7970012987411663</v>
      </c>
      <c r="L2283" t="b">
        <v>0</v>
      </c>
      <c r="M2283" t="b">
        <v>0</v>
      </c>
      <c r="N2283" t="inlineStr">
        <is>
          <t>ref</t>
        </is>
      </c>
      <c r="O2283" t="n">
        <v>100</v>
      </c>
      <c r="P2283" t="n">
        <v>0.01117</v>
      </c>
      <c r="Q2283" t="n">
        <v>-35</v>
      </c>
      <c r="R2283" t="n">
        <v>0.03967</v>
      </c>
      <c r="S2283">
        <f>IMAGE("https://mitra.stanford.edu/kundaje/oak/projects/neuro-variants/variant_position/credible/roussos_2024/variant_figures/roussos_2024.adolescence.GLU/rs788023_count_position.png",4,220,900)</f>
        <v/>
      </c>
      <c r="T2283">
        <f>IMAGE("https://mitra.stanford.edu/kundaje/oak/projects/neuro-variants/variant_position/credible/roussos_2024/variant_figures/roussos_2024.adolescence.GLU/rs788023_profile_position.png",4,220,900)</f>
        <v/>
      </c>
    </row>
    <row r="2284">
      <c r="A2284" t="inlineStr">
        <is>
          <t>chr2</t>
        </is>
      </c>
      <c r="B2284" t="n">
        <v>197500319</v>
      </c>
      <c r="C2284" t="inlineStr">
        <is>
          <t>C</t>
        </is>
      </c>
      <c r="D2284" t="inlineStr">
        <is>
          <t>G</t>
        </is>
      </c>
      <c r="E2284" t="inlineStr">
        <is>
          <t>rs1116734</t>
        </is>
      </c>
      <c r="F2284" t="n">
        <v>0.01129970126</v>
      </c>
      <c r="G2284" t="n">
        <v>0.5058676262310102</v>
      </c>
      <c r="H2284" t="n">
        <v>0.0132380099733773</v>
      </c>
      <c r="I2284" t="n">
        <v>0.2694717530660385</v>
      </c>
      <c r="J2284" t="n">
        <v>0.9804573804573804</v>
      </c>
      <c r="K2284" t="n">
        <v>0.0003275401834583</v>
      </c>
      <c r="L2284" t="b">
        <v>0</v>
      </c>
      <c r="M2284" t="b">
        <v>0</v>
      </c>
      <c r="N2284" t="inlineStr">
        <is>
          <t>alt</t>
        </is>
      </c>
      <c r="O2284" t="n">
        <v>-65</v>
      </c>
      <c r="P2284" t="n">
        <v>0.009339999999999999</v>
      </c>
      <c r="Q2284" t="n">
        <v>-70</v>
      </c>
      <c r="R2284" t="n">
        <v>0.135</v>
      </c>
      <c r="S2284">
        <f>IMAGE("https://mitra.stanford.edu/kundaje/oak/projects/neuro-variants/variant_position/credible/roussos_2024/variant_figures/roussos_2024.adolescence.GLU/rs1116734_count_position.png",4,220,900)</f>
        <v/>
      </c>
      <c r="T2284">
        <f>IMAGE("https://mitra.stanford.edu/kundaje/oak/projects/neuro-variants/variant_position/credible/roussos_2024/variant_figures/roussos_2024.adolescence.GLU/rs1116734_profile_position.png",4,220,900)</f>
        <v/>
      </c>
    </row>
    <row r="2285">
      <c r="A2285" t="inlineStr">
        <is>
          <t>chr2</t>
        </is>
      </c>
      <c r="B2285" t="n">
        <v>197545160</v>
      </c>
      <c r="C2285" t="inlineStr">
        <is>
          <t>A</t>
        </is>
      </c>
      <c r="D2285" t="inlineStr">
        <is>
          <t>G</t>
        </is>
      </c>
      <c r="E2285" t="inlineStr">
        <is>
          <t>rs11680291</t>
        </is>
      </c>
      <c r="F2285" t="n">
        <v>0.0280558304</v>
      </c>
      <c r="G2285" t="n">
        <v>0.18303799184525</v>
      </c>
      <c r="H2285" t="n">
        <v>0.0117558455329379</v>
      </c>
      <c r="I2285" t="n">
        <v>0.3473963310177596</v>
      </c>
      <c r="J2285" t="n">
        <v>0.0450679069235769</v>
      </c>
      <c r="K2285" t="n">
        <v>0.7163398737481382</v>
      </c>
      <c r="L2285" t="b">
        <v>0</v>
      </c>
      <c r="M2285" t="b">
        <v>0</v>
      </c>
      <c r="N2285" t="inlineStr">
        <is>
          <t>alt</t>
        </is>
      </c>
      <c r="O2285" t="n">
        <v>25</v>
      </c>
      <c r="P2285" t="n">
        <v>0.00518</v>
      </c>
      <c r="Q2285" t="n">
        <v>-70</v>
      </c>
      <c r="R2285" t="n">
        <v>0.0698</v>
      </c>
      <c r="S2285">
        <f>IMAGE("https://mitra.stanford.edu/kundaje/oak/projects/neuro-variants/variant_position/credible/roussos_2024/variant_figures/roussos_2024.adolescence.GLU/rs11680291_count_position.png",4,220,900)</f>
        <v/>
      </c>
      <c r="T2285">
        <f>IMAGE("https://mitra.stanford.edu/kundaje/oak/projects/neuro-variants/variant_position/credible/roussos_2024/variant_figures/roussos_2024.adolescence.GLU/rs11680291_profile_position.png",4,220,900)</f>
        <v/>
      </c>
    </row>
    <row r="2286">
      <c r="A2286" t="inlineStr">
        <is>
          <t>chr2</t>
        </is>
      </c>
      <c r="B2286" t="n">
        <v>197613596</v>
      </c>
      <c r="C2286" t="inlineStr">
        <is>
          <t>G</t>
        </is>
      </c>
      <c r="D2286" t="inlineStr">
        <is>
          <t>A</t>
        </is>
      </c>
      <c r="E2286" t="inlineStr">
        <is>
          <t>rs1455653</t>
        </is>
      </c>
      <c r="F2286" t="n">
        <v>-0.0303727096</v>
      </c>
      <c r="G2286" t="n">
        <v>0.1821026843926605</v>
      </c>
      <c r="H2286" t="n">
        <v>0.0081675594998472</v>
      </c>
      <c r="I2286" t="n">
        <v>0.7546869710228711</v>
      </c>
      <c r="J2286" t="n">
        <v>0.044947882061284</v>
      </c>
      <c r="K2286" t="n">
        <v>0.7192236477949734</v>
      </c>
      <c r="L2286" t="b">
        <v>0</v>
      </c>
      <c r="M2286" t="b">
        <v>0</v>
      </c>
      <c r="N2286" t="inlineStr">
        <is>
          <t>ref</t>
        </is>
      </c>
      <c r="O2286" t="n">
        <v>65</v>
      </c>
      <c r="P2286" t="n">
        <v>0.010056</v>
      </c>
      <c r="Q2286" t="n">
        <v>-55</v>
      </c>
      <c r="R2286" t="n">
        <v>0.05133</v>
      </c>
      <c r="S2286">
        <f>IMAGE("https://mitra.stanford.edu/kundaje/oak/projects/neuro-variants/variant_position/credible/roussos_2024/variant_figures/roussos_2024.adolescence.GLU/rs1455653_count_position.png",4,220,900)</f>
        <v/>
      </c>
      <c r="T2286">
        <f>IMAGE("https://mitra.stanford.edu/kundaje/oak/projects/neuro-variants/variant_position/credible/roussos_2024/variant_figures/roussos_2024.adolescence.GLU/rs1455653_profile_position.png",4,220,900)</f>
        <v/>
      </c>
    </row>
    <row r="2287">
      <c r="A2287" t="inlineStr">
        <is>
          <t>chr2</t>
        </is>
      </c>
      <c r="B2287" t="n">
        <v>197624529</v>
      </c>
      <c r="C2287" t="inlineStr">
        <is>
          <t>C</t>
        </is>
      </c>
      <c r="D2287" t="inlineStr">
        <is>
          <t>T</t>
        </is>
      </c>
      <c r="E2287" t="inlineStr">
        <is>
          <t>rs34139878</t>
        </is>
      </c>
      <c r="F2287" t="n">
        <v>-0.0639040444</v>
      </c>
      <c r="G2287" t="n">
        <v>0.0307305528246496</v>
      </c>
      <c r="H2287" t="n">
        <v>0.0118321960754973</v>
      </c>
      <c r="I2287" t="n">
        <v>0.338153566437757</v>
      </c>
      <c r="J2287" t="n">
        <v>0.2189882189882189</v>
      </c>
      <c r="K2287" t="n">
        <v>0.3747575176092425</v>
      </c>
      <c r="L2287" t="b">
        <v>0</v>
      </c>
      <c r="M2287" t="b">
        <v>0</v>
      </c>
      <c r="N2287" t="inlineStr">
        <is>
          <t>ref</t>
        </is>
      </c>
      <c r="O2287" t="n">
        <v>40</v>
      </c>
      <c r="P2287" t="n">
        <v>0.008059999999999999</v>
      </c>
      <c r="Q2287" t="n">
        <v>-100</v>
      </c>
      <c r="R2287" t="n">
        <v>0.158</v>
      </c>
      <c r="S2287">
        <f>IMAGE("https://mitra.stanford.edu/kundaje/oak/projects/neuro-variants/variant_position/credible/roussos_2024/variant_figures/roussos_2024.adolescence.GLU/rs34139878_count_position.png",4,220,900)</f>
        <v/>
      </c>
      <c r="T2287">
        <f>IMAGE("https://mitra.stanford.edu/kundaje/oak/projects/neuro-variants/variant_position/credible/roussos_2024/variant_figures/roussos_2024.adolescence.GLU/rs34139878_profile_position.png",4,220,900)</f>
        <v/>
      </c>
    </row>
    <row r="2288">
      <c r="A2288" t="inlineStr">
        <is>
          <t>chr2</t>
        </is>
      </c>
      <c r="B2288" t="n">
        <v>199144171</v>
      </c>
      <c r="C2288" t="inlineStr">
        <is>
          <t>A</t>
        </is>
      </c>
      <c r="D2288" t="inlineStr">
        <is>
          <t>G</t>
        </is>
      </c>
      <c r="E2288" t="inlineStr">
        <is>
          <t>rs1376584</t>
        </is>
      </c>
      <c r="F2288" t="n">
        <v>-0.00035779022</v>
      </c>
      <c r="G2288" t="n">
        <v>0.8283845591427748</v>
      </c>
      <c r="H2288" t="n">
        <v>0.0224983604426942</v>
      </c>
      <c r="I2288" t="n">
        <v>0.0344248045547148</v>
      </c>
      <c r="J2288" t="n">
        <v>0.319671932043066</v>
      </c>
      <c r="K2288" t="n">
        <v>0.2423640901457432</v>
      </c>
      <c r="L2288" t="b">
        <v>0</v>
      </c>
      <c r="M2288" t="b">
        <v>0</v>
      </c>
      <c r="N2288" t="inlineStr">
        <is>
          <t>ref</t>
        </is>
      </c>
      <c r="O2288" t="n">
        <v>100</v>
      </c>
      <c r="P2288" t="n">
        <v>0.0624</v>
      </c>
      <c r="Q2288" t="n">
        <v>100</v>
      </c>
      <c r="R2288" t="n">
        <v>0.2131</v>
      </c>
      <c r="S2288">
        <f>IMAGE("https://mitra.stanford.edu/kundaje/oak/projects/neuro-variants/variant_position/credible/roussos_2024/variant_figures/roussos_2024.adolescence.GLU/rs1376584_count_position.png",4,220,900)</f>
        <v/>
      </c>
      <c r="T2288">
        <f>IMAGE("https://mitra.stanford.edu/kundaje/oak/projects/neuro-variants/variant_position/credible/roussos_2024/variant_figures/roussos_2024.adolescence.GLU/rs1376584_profile_position.png",4,220,900)</f>
        <v/>
      </c>
    </row>
    <row r="2289">
      <c r="A2289" t="inlineStr">
        <is>
          <t>chr2</t>
        </is>
      </c>
      <c r="B2289" t="n">
        <v>199146723</v>
      </c>
      <c r="C2289" t="inlineStr">
        <is>
          <t>G</t>
        </is>
      </c>
      <c r="D2289" t="inlineStr">
        <is>
          <t>T</t>
        </is>
      </c>
      <c r="E2289" t="inlineStr">
        <is>
          <t>rs6733580</t>
        </is>
      </c>
      <c r="F2289" t="n">
        <v>0.01748158602</v>
      </c>
      <c r="G2289" t="n">
        <v>0.3444719014173317</v>
      </c>
      <c r="H2289" t="n">
        <v>0.0216595646268983</v>
      </c>
      <c r="I2289" t="n">
        <v>0.0419279452801828</v>
      </c>
      <c r="J2289" t="n">
        <v>0.2319623350551184</v>
      </c>
      <c r="K2289" t="n">
        <v>0.3482552307513893</v>
      </c>
      <c r="L2289" t="b">
        <v>0</v>
      </c>
      <c r="M2289" t="b">
        <v>0</v>
      </c>
      <c r="N2289" t="inlineStr">
        <is>
          <t>alt</t>
        </is>
      </c>
      <c r="O2289" t="n">
        <v>-100</v>
      </c>
      <c r="P2289" t="n">
        <v>0.004093</v>
      </c>
      <c r="Q2289" t="n">
        <v>100</v>
      </c>
      <c r="R2289" t="n">
        <v>0.03937</v>
      </c>
      <c r="S2289">
        <f>IMAGE("https://mitra.stanford.edu/kundaje/oak/projects/neuro-variants/variant_position/credible/roussos_2024/variant_figures/roussos_2024.adolescence.GLU/rs6733580_count_position.png",4,220,900)</f>
        <v/>
      </c>
      <c r="T2289">
        <f>IMAGE("https://mitra.stanford.edu/kundaje/oak/projects/neuro-variants/variant_position/credible/roussos_2024/variant_figures/roussos_2024.adolescence.GLU/rs6733580_profile_position.png",4,220,900)</f>
        <v/>
      </c>
    </row>
    <row r="2290">
      <c r="A2290" t="inlineStr">
        <is>
          <t>chr2</t>
        </is>
      </c>
      <c r="B2290" t="n">
        <v>199149294</v>
      </c>
      <c r="C2290" t="inlineStr">
        <is>
          <t>G</t>
        </is>
      </c>
      <c r="D2290" t="inlineStr">
        <is>
          <t>T</t>
        </is>
      </c>
      <c r="E2290" t="inlineStr">
        <is>
          <t>rs2345458</t>
        </is>
      </c>
      <c r="F2290" t="n">
        <v>-0.0497161625999999</v>
      </c>
      <c r="G2290" t="n">
        <v>0.0689790399408806</v>
      </c>
      <c r="H2290" t="n">
        <v>0.0116960168792313</v>
      </c>
      <c r="I2290" t="n">
        <v>0.3634146728853538</v>
      </c>
      <c r="J2290" t="n">
        <v>0.06345600160033139</v>
      </c>
      <c r="K2290" t="n">
        <v>0.6611867939391224</v>
      </c>
      <c r="L2290" t="b">
        <v>0</v>
      </c>
      <c r="M2290" t="b">
        <v>0</v>
      </c>
      <c r="N2290" t="inlineStr">
        <is>
          <t>ref</t>
        </is>
      </c>
      <c r="O2290" t="n">
        <v>-95</v>
      </c>
      <c r="P2290" t="n">
        <v>0.01153</v>
      </c>
      <c r="Q2290" t="n">
        <v>100</v>
      </c>
      <c r="R2290" t="n">
        <v>0.0503</v>
      </c>
      <c r="S2290">
        <f>IMAGE("https://mitra.stanford.edu/kundaje/oak/projects/neuro-variants/variant_position/credible/roussos_2024/variant_figures/roussos_2024.adolescence.GLU/rs2345458_count_position.png",4,220,900)</f>
        <v/>
      </c>
      <c r="T2290">
        <f>IMAGE("https://mitra.stanford.edu/kundaje/oak/projects/neuro-variants/variant_position/credible/roussos_2024/variant_figures/roussos_2024.adolescence.GLU/rs2345458_profile_position.png",4,220,900)</f>
        <v/>
      </c>
    </row>
    <row r="2291">
      <c r="A2291" t="inlineStr">
        <is>
          <t>chr2</t>
        </is>
      </c>
      <c r="B2291" t="n">
        <v>199150705</v>
      </c>
      <c r="C2291" t="inlineStr">
        <is>
          <t>G</t>
        </is>
      </c>
      <c r="D2291" t="inlineStr">
        <is>
          <t>T</t>
        </is>
      </c>
      <c r="E2291" t="inlineStr">
        <is>
          <t>rs921465</t>
        </is>
      </c>
      <c r="F2291" t="n">
        <v>0.01800103626</v>
      </c>
      <c r="G2291" t="n">
        <v>0.3267786791831444</v>
      </c>
      <c r="H2291" t="n">
        <v>0.0134748346208713</v>
      </c>
      <c r="I2291" t="n">
        <v>0.2351118145131913</v>
      </c>
      <c r="J2291" t="n">
        <v>0.1036800480099448</v>
      </c>
      <c r="K2291" t="n">
        <v>0.5685621581458625</v>
      </c>
      <c r="L2291" t="b">
        <v>0</v>
      </c>
      <c r="M2291" t="b">
        <v>0</v>
      </c>
      <c r="N2291" t="inlineStr">
        <is>
          <t>alt</t>
        </is>
      </c>
      <c r="O2291" t="n">
        <v>-95</v>
      </c>
      <c r="P2291" t="n">
        <v>0.003334</v>
      </c>
      <c r="Q2291" t="n">
        <v>100</v>
      </c>
      <c r="R2291" t="n">
        <v>0.04477</v>
      </c>
      <c r="S2291">
        <f>IMAGE("https://mitra.stanford.edu/kundaje/oak/projects/neuro-variants/variant_position/credible/roussos_2024/variant_figures/roussos_2024.adolescence.GLU/rs921465_count_position.png",4,220,900)</f>
        <v/>
      </c>
      <c r="T2291">
        <f>IMAGE("https://mitra.stanford.edu/kundaje/oak/projects/neuro-variants/variant_position/credible/roussos_2024/variant_figures/roussos_2024.adolescence.GLU/rs921465_profile_position.png",4,220,900)</f>
        <v/>
      </c>
    </row>
    <row r="2292">
      <c r="A2292" t="inlineStr">
        <is>
          <t>chr2</t>
        </is>
      </c>
      <c r="B2292" t="n">
        <v>199150838</v>
      </c>
      <c r="C2292" t="inlineStr">
        <is>
          <t>C</t>
        </is>
      </c>
      <c r="D2292" t="inlineStr">
        <is>
          <t>A</t>
        </is>
      </c>
      <c r="E2292" t="inlineStr">
        <is>
          <t>rs1868915</t>
        </is>
      </c>
      <c r="F2292" t="n">
        <v>0.0556568797999999</v>
      </c>
      <c r="G2292" t="n">
        <v>0.0431740610381995</v>
      </c>
      <c r="H2292" t="n">
        <v>0.0169173767006757</v>
      </c>
      <c r="I2292" t="n">
        <v>0.0968384216279327</v>
      </c>
      <c r="J2292" t="n">
        <v>0.1594601738931635</v>
      </c>
      <c r="K2292" t="n">
        <v>0.4666999217381817</v>
      </c>
      <c r="L2292" t="b">
        <v>0</v>
      </c>
      <c r="M2292" t="b">
        <v>0</v>
      </c>
      <c r="N2292" t="inlineStr">
        <is>
          <t>alt</t>
        </is>
      </c>
      <c r="O2292" t="n">
        <v>100</v>
      </c>
      <c r="P2292" t="n">
        <v>0.02145</v>
      </c>
      <c r="Q2292" t="n">
        <v>-25</v>
      </c>
      <c r="R2292" t="n">
        <v>0.01984</v>
      </c>
      <c r="S2292">
        <f>IMAGE("https://mitra.stanford.edu/kundaje/oak/projects/neuro-variants/variant_position/credible/roussos_2024/variant_figures/roussos_2024.adolescence.GLU/rs1868915_count_position.png",4,220,900)</f>
        <v/>
      </c>
      <c r="T2292">
        <f>IMAGE("https://mitra.stanford.edu/kundaje/oak/projects/neuro-variants/variant_position/credible/roussos_2024/variant_figures/roussos_2024.adolescence.GLU/rs1868915_profile_position.png",4,220,900)</f>
        <v/>
      </c>
    </row>
    <row r="2293">
      <c r="A2293" t="inlineStr">
        <is>
          <t>chr2</t>
        </is>
      </c>
      <c r="B2293" t="n">
        <v>199154272</v>
      </c>
      <c r="C2293" t="inlineStr">
        <is>
          <t>G</t>
        </is>
      </c>
      <c r="D2293" t="inlineStr">
        <is>
          <t>A</t>
        </is>
      </c>
      <c r="E2293" t="inlineStr">
        <is>
          <t>rs1376593</t>
        </is>
      </c>
      <c r="F2293" t="n">
        <v>-0.0613402486</v>
      </c>
      <c r="G2293" t="n">
        <v>0.0369082750799051</v>
      </c>
      <c r="H2293" t="n">
        <v>0.0139460176055938</v>
      </c>
      <c r="I2293" t="n">
        <v>0.22298690521961</v>
      </c>
      <c r="J2293" t="n">
        <v>0.2738781604760986</v>
      </c>
      <c r="K2293" t="n">
        <v>0.3036528672674528</v>
      </c>
      <c r="L2293" t="b">
        <v>0</v>
      </c>
      <c r="M2293" t="b">
        <v>0</v>
      </c>
      <c r="N2293" t="inlineStr">
        <is>
          <t>ref</t>
        </is>
      </c>
      <c r="O2293" t="n">
        <v>90</v>
      </c>
      <c r="P2293" t="n">
        <v>0.003223</v>
      </c>
      <c r="Q2293" t="n">
        <v>-55</v>
      </c>
      <c r="R2293" t="n">
        <v>0.012085</v>
      </c>
      <c r="S2293">
        <f>IMAGE("https://mitra.stanford.edu/kundaje/oak/projects/neuro-variants/variant_position/credible/roussos_2024/variant_figures/roussos_2024.adolescence.GLU/rs1376593_count_position.png",4,220,900)</f>
        <v/>
      </c>
      <c r="T2293">
        <f>IMAGE("https://mitra.stanford.edu/kundaje/oak/projects/neuro-variants/variant_position/credible/roussos_2024/variant_figures/roussos_2024.adolescence.GLU/rs1376593_profile_position.png",4,220,900)</f>
        <v/>
      </c>
    </row>
    <row r="2294">
      <c r="A2294" t="inlineStr">
        <is>
          <t>chr2</t>
        </is>
      </c>
      <c r="B2294" t="n">
        <v>199158357</v>
      </c>
      <c r="C2294" t="inlineStr">
        <is>
          <t>A</t>
        </is>
      </c>
      <c r="D2294" t="inlineStr">
        <is>
          <t>C</t>
        </is>
      </c>
      <c r="E2294" t="inlineStr">
        <is>
          <t>rs6731445</t>
        </is>
      </c>
      <c r="F2294" t="n">
        <v>0.0296985564</v>
      </c>
      <c r="G2294" t="n">
        <v>0.1730084196648149</v>
      </c>
      <c r="H2294" t="n">
        <v>0.0134758130303787</v>
      </c>
      <c r="I2294" t="n">
        <v>0.2281263006337499</v>
      </c>
      <c r="J2294" t="n">
        <v>0.0147544848575775</v>
      </c>
      <c r="K2294" t="n">
        <v>0.8466392519091891</v>
      </c>
      <c r="L2294" t="b">
        <v>0</v>
      </c>
      <c r="M2294" t="b">
        <v>0</v>
      </c>
      <c r="N2294" t="inlineStr">
        <is>
          <t>alt</t>
        </is>
      </c>
      <c r="O2294" t="n">
        <v>-65</v>
      </c>
      <c r="P2294" t="n">
        <v>0.00206</v>
      </c>
      <c r="Q2294" t="n">
        <v>10</v>
      </c>
      <c r="R2294" t="n">
        <v>0.00299</v>
      </c>
      <c r="S2294">
        <f>IMAGE("https://mitra.stanford.edu/kundaje/oak/projects/neuro-variants/variant_position/credible/roussos_2024/variant_figures/roussos_2024.adolescence.GLU/rs6731445_count_position.png",4,220,900)</f>
        <v/>
      </c>
      <c r="T2294">
        <f>IMAGE("https://mitra.stanford.edu/kundaje/oak/projects/neuro-variants/variant_position/credible/roussos_2024/variant_figures/roussos_2024.adolescence.GLU/rs6731445_profile_position.png",4,220,900)</f>
        <v/>
      </c>
    </row>
    <row r="2295">
      <c r="A2295" t="inlineStr">
        <is>
          <t>chr2</t>
        </is>
      </c>
      <c r="B2295" t="n">
        <v>199161140</v>
      </c>
      <c r="C2295" t="inlineStr">
        <is>
          <t>A</t>
        </is>
      </c>
      <c r="D2295" t="inlineStr">
        <is>
          <t>T</t>
        </is>
      </c>
      <c r="E2295" t="inlineStr">
        <is>
          <t>rs6743084</t>
        </is>
      </c>
      <c r="F2295" t="n">
        <v>-0.002733407484</v>
      </c>
      <c r="G2295" t="n">
        <v>0.8698406013188567</v>
      </c>
      <c r="H2295" t="n">
        <v>0.0127360243438404</v>
      </c>
      <c r="I2295" t="n">
        <v>0.275661888399379</v>
      </c>
      <c r="J2295" t="n">
        <v>0.0447078323366982</v>
      </c>
      <c r="K2295" t="n">
        <v>0.7167044282484113</v>
      </c>
      <c r="L2295" t="b">
        <v>0</v>
      </c>
      <c r="M2295" t="b">
        <v>0</v>
      </c>
      <c r="N2295" t="inlineStr">
        <is>
          <t>ref</t>
        </is>
      </c>
      <c r="O2295" t="n">
        <v>100</v>
      </c>
      <c r="P2295" t="n">
        <v>0.01192</v>
      </c>
      <c r="Q2295" t="n">
        <v>-90</v>
      </c>
      <c r="R2295" t="n">
        <v>0.04453</v>
      </c>
      <c r="S2295">
        <f>IMAGE("https://mitra.stanford.edu/kundaje/oak/projects/neuro-variants/variant_position/credible/roussos_2024/variant_figures/roussos_2024.adolescence.GLU/rs6743084_count_position.png",4,220,900)</f>
        <v/>
      </c>
      <c r="T2295">
        <f>IMAGE("https://mitra.stanford.edu/kundaje/oak/projects/neuro-variants/variant_position/credible/roussos_2024/variant_figures/roussos_2024.adolescence.GLU/rs6743084_profile_position.png",4,220,900)</f>
        <v/>
      </c>
    </row>
    <row r="2296">
      <c r="A2296" t="inlineStr">
        <is>
          <t>chr2</t>
        </is>
      </c>
      <c r="B2296" t="n">
        <v>199163975</v>
      </c>
      <c r="C2296" t="inlineStr">
        <is>
          <t>T</t>
        </is>
      </c>
      <c r="D2296" t="inlineStr">
        <is>
          <t>C</t>
        </is>
      </c>
      <c r="E2296" t="inlineStr">
        <is>
          <t>rs60642146</t>
        </is>
      </c>
      <c r="F2296" t="n">
        <v>0.0110193061999999</v>
      </c>
      <c r="G2296" t="n">
        <v>0.4797117444975554</v>
      </c>
      <c r="H2296" t="n">
        <v>0.0109394193906184</v>
      </c>
      <c r="I2296" t="n">
        <v>0.4172914605788193</v>
      </c>
      <c r="J2296" t="n">
        <v>0.1821091511813161</v>
      </c>
      <c r="K2296" t="n">
        <v>0.4268531874839225</v>
      </c>
      <c r="L2296" t="b">
        <v>0</v>
      </c>
      <c r="M2296" t="b">
        <v>0</v>
      </c>
      <c r="N2296" t="inlineStr">
        <is>
          <t>alt</t>
        </is>
      </c>
      <c r="O2296" t="n">
        <v>20</v>
      </c>
      <c r="P2296" t="n">
        <v>0.0065</v>
      </c>
      <c r="Q2296" t="n">
        <v>-90</v>
      </c>
      <c r="R2296" t="n">
        <v>0.0428</v>
      </c>
      <c r="S2296">
        <f>IMAGE("https://mitra.stanford.edu/kundaje/oak/projects/neuro-variants/variant_position/credible/roussos_2024/variant_figures/roussos_2024.adolescence.GLU/rs60642146_count_position.png",4,220,900)</f>
        <v/>
      </c>
      <c r="T2296">
        <f>IMAGE("https://mitra.stanford.edu/kundaje/oak/projects/neuro-variants/variant_position/credible/roussos_2024/variant_figures/roussos_2024.adolescence.GLU/rs60642146_profile_position.png",4,220,900)</f>
        <v/>
      </c>
    </row>
    <row r="2297">
      <c r="A2297" t="inlineStr">
        <is>
          <t>chr2</t>
        </is>
      </c>
      <c r="B2297" t="n">
        <v>199163981</v>
      </c>
      <c r="C2297" t="inlineStr">
        <is>
          <t>G</t>
        </is>
      </c>
      <c r="D2297" t="inlineStr">
        <is>
          <t>A</t>
        </is>
      </c>
      <c r="E2297" t="inlineStr">
        <is>
          <t>rs896350</t>
        </is>
      </c>
      <c r="F2297" t="n">
        <v>-0.0133943692</v>
      </c>
      <c r="G2297" t="n">
        <v>0.4491730608824437</v>
      </c>
      <c r="H2297" t="n">
        <v>0.0090979628573196</v>
      </c>
      <c r="I2297" t="n">
        <v>0.6577284363871774</v>
      </c>
      <c r="J2297" t="n">
        <v>0.1770538182909316</v>
      </c>
      <c r="K2297" t="n">
        <v>0.4349183730558996</v>
      </c>
      <c r="L2297" t="b">
        <v>0</v>
      </c>
      <c r="M2297" t="b">
        <v>0</v>
      </c>
      <c r="N2297" t="inlineStr">
        <is>
          <t>ref</t>
        </is>
      </c>
      <c r="O2297" t="n">
        <v>20</v>
      </c>
      <c r="P2297" t="n">
        <v>0.00702</v>
      </c>
      <c r="Q2297" t="n">
        <v>-95</v>
      </c>
      <c r="R2297" t="n">
        <v>0.0464</v>
      </c>
      <c r="S2297">
        <f>IMAGE("https://mitra.stanford.edu/kundaje/oak/projects/neuro-variants/variant_position/credible/roussos_2024/variant_figures/roussos_2024.adolescence.GLU/rs896350_count_position.png",4,220,900)</f>
        <v/>
      </c>
      <c r="T2297">
        <f>IMAGE("https://mitra.stanford.edu/kundaje/oak/projects/neuro-variants/variant_position/credible/roussos_2024/variant_figures/roussos_2024.adolescence.GLU/rs896350_profile_position.png",4,220,900)</f>
        <v/>
      </c>
    </row>
    <row r="2298">
      <c r="A2298" t="inlineStr">
        <is>
          <t>chr2</t>
        </is>
      </c>
      <c r="B2298" t="n">
        <v>199167672</v>
      </c>
      <c r="C2298" t="inlineStr">
        <is>
          <t>C</t>
        </is>
      </c>
      <c r="D2298" t="inlineStr">
        <is>
          <t>T</t>
        </is>
      </c>
      <c r="E2298" t="inlineStr">
        <is>
          <t>rs2122844</t>
        </is>
      </c>
      <c r="F2298" t="n">
        <v>-0.0398455692</v>
      </c>
      <c r="G2298" t="n">
        <v>0.1136728236723829</v>
      </c>
      <c r="H2298" t="n">
        <v>0.0111416441983445</v>
      </c>
      <c r="I2298" t="n">
        <v>0.4233751163586059</v>
      </c>
      <c r="J2298" t="n">
        <v>0.120292060498246</v>
      </c>
      <c r="K2298" t="n">
        <v>0.5357803289639885</v>
      </c>
      <c r="L2298" t="b">
        <v>0</v>
      </c>
      <c r="M2298" t="b">
        <v>0</v>
      </c>
      <c r="N2298" t="inlineStr">
        <is>
          <t>ref</t>
        </is>
      </c>
      <c r="O2298" t="n">
        <v>95</v>
      </c>
      <c r="P2298" t="n">
        <v>0.004204</v>
      </c>
      <c r="Q2298" t="n">
        <v>-95</v>
      </c>
      <c r="R2298" t="n">
        <v>0.0573</v>
      </c>
      <c r="S2298">
        <f>IMAGE("https://mitra.stanford.edu/kundaje/oak/projects/neuro-variants/variant_position/credible/roussos_2024/variant_figures/roussos_2024.adolescence.GLU/rs2122844_count_position.png",4,220,900)</f>
        <v/>
      </c>
      <c r="T2298">
        <f>IMAGE("https://mitra.stanford.edu/kundaje/oak/projects/neuro-variants/variant_position/credible/roussos_2024/variant_figures/roussos_2024.adolescence.GLU/rs2122844_profile_position.png",4,220,900)</f>
        <v/>
      </c>
    </row>
    <row r="2299">
      <c r="A2299" t="inlineStr">
        <is>
          <t>chr2</t>
        </is>
      </c>
      <c r="B2299" t="n">
        <v>199923081</v>
      </c>
      <c r="C2299" t="inlineStr">
        <is>
          <t>A</t>
        </is>
      </c>
      <c r="D2299" t="inlineStr">
        <is>
          <t>G</t>
        </is>
      </c>
      <c r="E2299" t="inlineStr">
        <is>
          <t>rs281760</t>
        </is>
      </c>
      <c r="F2299" t="n">
        <v>-0.000467386462</v>
      </c>
      <c r="G2299" t="n">
        <v>0.7254625133794861</v>
      </c>
      <c r="H2299" t="n">
        <v>0.0089870688052617</v>
      </c>
      <c r="I2299" t="n">
        <v>0.6264045642238811</v>
      </c>
      <c r="J2299" t="n">
        <v>0.0883497295868429</v>
      </c>
      <c r="K2299" t="n">
        <v>0.6069788350024852</v>
      </c>
      <c r="L2299" t="b">
        <v>0</v>
      </c>
      <c r="M2299" t="b">
        <v>0</v>
      </c>
      <c r="N2299" t="inlineStr">
        <is>
          <t>ref</t>
        </is>
      </c>
      <c r="O2299" t="n">
        <v>-5</v>
      </c>
      <c r="P2299" t="n">
        <v>0.000248</v>
      </c>
      <c r="Q2299" t="n">
        <v>-85</v>
      </c>
      <c r="R2299" t="n">
        <v>0.0987</v>
      </c>
      <c r="S2299">
        <f>IMAGE("https://mitra.stanford.edu/kundaje/oak/projects/neuro-variants/variant_position/credible/roussos_2024/variant_figures/roussos_2024.adolescence.GLU/rs281760_count_position.png",4,220,900)</f>
        <v/>
      </c>
      <c r="T2299">
        <f>IMAGE("https://mitra.stanford.edu/kundaje/oak/projects/neuro-variants/variant_position/credible/roussos_2024/variant_figures/roussos_2024.adolescence.GLU/rs281760_profile_position.png",4,220,900)</f>
        <v/>
      </c>
    </row>
    <row r="2300">
      <c r="A2300" t="inlineStr">
        <is>
          <t>chr2</t>
        </is>
      </c>
      <c r="B2300" t="n">
        <v>199949997</v>
      </c>
      <c r="C2300" t="inlineStr">
        <is>
          <t>A</t>
        </is>
      </c>
      <c r="D2300" t="inlineStr">
        <is>
          <t>T</t>
        </is>
      </c>
      <c r="E2300" t="inlineStr">
        <is>
          <t>rs176008</t>
        </is>
      </c>
      <c r="F2300" t="n">
        <v>-0.01615230772</v>
      </c>
      <c r="G2300" t="n">
        <v>0.3696474787697412</v>
      </c>
      <c r="H2300" t="n">
        <v>0.0220522523968486</v>
      </c>
      <c r="I2300" t="n">
        <v>0.0370554971783137</v>
      </c>
      <c r="J2300" t="n">
        <v>0.0803523587028741</v>
      </c>
      <c r="K2300" t="n">
        <v>0.6206596763105238</v>
      </c>
      <c r="L2300" t="b">
        <v>0</v>
      </c>
      <c r="M2300" t="b">
        <v>0</v>
      </c>
      <c r="N2300" t="inlineStr">
        <is>
          <t>ref</t>
        </is>
      </c>
      <c r="O2300" t="n">
        <v>-100</v>
      </c>
      <c r="P2300" t="n">
        <v>0.01219</v>
      </c>
      <c r="Q2300" t="n">
        <v>55</v>
      </c>
      <c r="R2300" t="n">
        <v>0.01996</v>
      </c>
      <c r="S2300">
        <f>IMAGE("https://mitra.stanford.edu/kundaje/oak/projects/neuro-variants/variant_position/credible/roussos_2024/variant_figures/roussos_2024.adolescence.GLU/rs176008_count_position.png",4,220,900)</f>
        <v/>
      </c>
      <c r="T2300">
        <f>IMAGE("https://mitra.stanford.edu/kundaje/oak/projects/neuro-variants/variant_position/credible/roussos_2024/variant_figures/roussos_2024.adolescence.GLU/rs176008_profile_position.png",4,220,900)</f>
        <v/>
      </c>
    </row>
    <row r="2301">
      <c r="A2301" t="inlineStr">
        <is>
          <t>chr2</t>
        </is>
      </c>
      <c r="B2301" t="n">
        <v>199955782</v>
      </c>
      <c r="C2301" t="inlineStr">
        <is>
          <t>T</t>
        </is>
      </c>
      <c r="D2301" t="inlineStr">
        <is>
          <t>G</t>
        </is>
      </c>
      <c r="E2301" t="inlineStr">
        <is>
          <t>rs281766</t>
        </is>
      </c>
      <c r="F2301" t="n">
        <v>-0.0112169614</v>
      </c>
      <c r="G2301" t="n">
        <v>0.4838024029256437</v>
      </c>
      <c r="H2301" t="n">
        <v>0.0109743123973032</v>
      </c>
      <c r="I2301" t="n">
        <v>0.4078749735051624</v>
      </c>
      <c r="J2301" t="n">
        <v>0.7528402311907466</v>
      </c>
      <c r="K2301" t="n">
        <v>0.0104395477778802</v>
      </c>
      <c r="L2301" t="b">
        <v>0</v>
      </c>
      <c r="M2301" t="b">
        <v>0</v>
      </c>
      <c r="N2301" t="inlineStr">
        <is>
          <t>ref</t>
        </is>
      </c>
      <c r="O2301" t="n">
        <v>-100</v>
      </c>
      <c r="P2301" t="n">
        <v>0.0139</v>
      </c>
      <c r="Q2301" t="n">
        <v>80</v>
      </c>
      <c r="R2301" t="n">
        <v>0.1436</v>
      </c>
      <c r="S2301">
        <f>IMAGE("https://mitra.stanford.edu/kundaje/oak/projects/neuro-variants/variant_position/credible/roussos_2024/variant_figures/roussos_2024.adolescence.GLU/rs281766_count_position.png",4,220,900)</f>
        <v/>
      </c>
      <c r="T2301">
        <f>IMAGE("https://mitra.stanford.edu/kundaje/oak/projects/neuro-variants/variant_position/credible/roussos_2024/variant_figures/roussos_2024.adolescence.GLU/rs281766_profile_position.png",4,220,900)</f>
        <v/>
      </c>
    </row>
    <row r="2302">
      <c r="A2302" t="inlineStr">
        <is>
          <t>chr2</t>
        </is>
      </c>
      <c r="B2302" t="n">
        <v>199965270</v>
      </c>
      <c r="C2302" t="inlineStr">
        <is>
          <t>G</t>
        </is>
      </c>
      <c r="D2302" t="inlineStr">
        <is>
          <t>A</t>
        </is>
      </c>
      <c r="E2302" t="inlineStr">
        <is>
          <t>rs10178177</t>
        </is>
      </c>
      <c r="F2302" t="n">
        <v>-0.0182085706</v>
      </c>
      <c r="G2302" t="n">
        <v>0.338471840995508</v>
      </c>
      <c r="H2302" t="n">
        <v>0.009846655189267899</v>
      </c>
      <c r="I2302" t="n">
        <v>0.5628963688062832</v>
      </c>
      <c r="J2302" t="n">
        <v>0.0031849454529866</v>
      </c>
      <c r="K2302" t="n">
        <v>0.940349955439192</v>
      </c>
      <c r="L2302" t="b">
        <v>0</v>
      </c>
      <c r="M2302" t="b">
        <v>0</v>
      </c>
      <c r="N2302" t="inlineStr">
        <is>
          <t>ref</t>
        </is>
      </c>
      <c r="O2302" t="n">
        <v>10</v>
      </c>
      <c r="P2302" t="n">
        <v>0.0005999999999999999</v>
      </c>
      <c r="Q2302" t="n">
        <v>60</v>
      </c>
      <c r="R2302" t="n">
        <v>0.01477</v>
      </c>
      <c r="S2302">
        <f>IMAGE("https://mitra.stanford.edu/kundaje/oak/projects/neuro-variants/variant_position/credible/roussos_2024/variant_figures/roussos_2024.adolescence.GLU/rs10178177_count_position.png",4,220,900)</f>
        <v/>
      </c>
      <c r="T2302">
        <f>IMAGE("https://mitra.stanford.edu/kundaje/oak/projects/neuro-variants/variant_position/credible/roussos_2024/variant_figures/roussos_2024.adolescence.GLU/rs10178177_profile_position.png",4,220,900)</f>
        <v/>
      </c>
    </row>
    <row r="2303">
      <c r="A2303" t="inlineStr">
        <is>
          <t>chr2</t>
        </is>
      </c>
      <c r="B2303" t="n">
        <v>199983267</v>
      </c>
      <c r="C2303" t="inlineStr">
        <is>
          <t>G</t>
        </is>
      </c>
      <c r="D2303" t="inlineStr">
        <is>
          <t>A</t>
        </is>
      </c>
      <c r="E2303" t="inlineStr">
        <is>
          <t>rs281793</t>
        </is>
      </c>
      <c r="F2303" t="n">
        <v>-0.052901587</v>
      </c>
      <c r="G2303" t="n">
        <v>0.0577340494573286</v>
      </c>
      <c r="H2303" t="n">
        <v>0.0104848425197499</v>
      </c>
      <c r="I2303" t="n">
        <v>0.4813450149447947</v>
      </c>
      <c r="J2303" t="n">
        <v>0.256758900057869</v>
      </c>
      <c r="K2303" t="n">
        <v>0.3269290966532499</v>
      </c>
      <c r="L2303" t="b">
        <v>0</v>
      </c>
      <c r="M2303" t="b">
        <v>0</v>
      </c>
      <c r="N2303" t="inlineStr">
        <is>
          <t>ref</t>
        </is>
      </c>
      <c r="O2303" t="n">
        <v>100</v>
      </c>
      <c r="P2303" t="n">
        <v>0.01407</v>
      </c>
      <c r="Q2303" t="n">
        <v>25</v>
      </c>
      <c r="R2303" t="n">
        <v>0.01221</v>
      </c>
      <c r="S2303">
        <f>IMAGE("https://mitra.stanford.edu/kundaje/oak/projects/neuro-variants/variant_position/credible/roussos_2024/variant_figures/roussos_2024.adolescence.GLU/rs281793_count_position.png",4,220,900)</f>
        <v/>
      </c>
      <c r="T2303">
        <f>IMAGE("https://mitra.stanford.edu/kundaje/oak/projects/neuro-variants/variant_position/credible/roussos_2024/variant_figures/roussos_2024.adolescence.GLU/rs281793_profile_position.png",4,220,900)</f>
        <v/>
      </c>
    </row>
    <row r="2304">
      <c r="A2304" t="inlineStr">
        <is>
          <t>chr2</t>
        </is>
      </c>
      <c r="B2304" t="n">
        <v>200017887</v>
      </c>
      <c r="C2304" t="inlineStr">
        <is>
          <t>C</t>
        </is>
      </c>
      <c r="D2304" t="inlineStr">
        <is>
          <t>T</t>
        </is>
      </c>
      <c r="E2304" t="inlineStr">
        <is>
          <t>rs2202922</t>
        </is>
      </c>
      <c r="F2304" t="n">
        <v>-0.00453210256</v>
      </c>
      <c r="G2304" t="n">
        <v>0.6103175089657553</v>
      </c>
      <c r="H2304" t="n">
        <v>0.0097796570065284</v>
      </c>
      <c r="I2304" t="n">
        <v>0.5641262978167195</v>
      </c>
      <c r="J2304" t="n">
        <v>0.1754434847218351</v>
      </c>
      <c r="K2304" t="n">
        <v>0.443146740001181</v>
      </c>
      <c r="L2304" t="b">
        <v>0</v>
      </c>
      <c r="M2304" t="b">
        <v>0</v>
      </c>
      <c r="N2304" t="inlineStr">
        <is>
          <t>ref</t>
        </is>
      </c>
      <c r="O2304" t="n">
        <v>-10</v>
      </c>
      <c r="P2304" t="n">
        <v>0.0004883</v>
      </c>
      <c r="Q2304" t="n">
        <v>95</v>
      </c>
      <c r="R2304" t="n">
        <v>0.03842</v>
      </c>
      <c r="S2304">
        <f>IMAGE("https://mitra.stanford.edu/kundaje/oak/projects/neuro-variants/variant_position/credible/roussos_2024/variant_figures/roussos_2024.adolescence.GLU/rs2202922_count_position.png",4,220,900)</f>
        <v/>
      </c>
      <c r="T2304">
        <f>IMAGE("https://mitra.stanford.edu/kundaje/oak/projects/neuro-variants/variant_position/credible/roussos_2024/variant_figures/roussos_2024.adolescence.GLU/rs2202922_profile_position.png",4,220,900)</f>
        <v/>
      </c>
    </row>
    <row r="2305">
      <c r="A2305" t="inlineStr">
        <is>
          <t>chr2</t>
        </is>
      </c>
      <c r="B2305" t="n">
        <v>200019892</v>
      </c>
      <c r="C2305" t="inlineStr">
        <is>
          <t>A</t>
        </is>
      </c>
      <c r="D2305" t="inlineStr">
        <is>
          <t>C</t>
        </is>
      </c>
      <c r="E2305" t="inlineStr">
        <is>
          <t>rs3106089</t>
        </is>
      </c>
      <c r="F2305" t="n">
        <v>0.00624154358</v>
      </c>
      <c r="G2305" t="n">
        <v>0.6180428186726361</v>
      </c>
      <c r="H2305" t="n">
        <v>0.0262829857410159</v>
      </c>
      <c r="I2305" t="n">
        <v>0.0155952983769831</v>
      </c>
      <c r="J2305" t="n">
        <v>0.0084574661894249</v>
      </c>
      <c r="K2305" t="n">
        <v>0.8883791467897098</v>
      </c>
      <c r="L2305" t="b">
        <v>0</v>
      </c>
      <c r="M2305" t="b">
        <v>0</v>
      </c>
      <c r="N2305" t="inlineStr">
        <is>
          <t>alt</t>
        </is>
      </c>
      <c r="O2305" t="n">
        <v>5</v>
      </c>
      <c r="P2305" t="n">
        <v>0.000717</v>
      </c>
      <c r="Q2305" t="n">
        <v>-95</v>
      </c>
      <c r="R2305" t="n">
        <v>0.03314</v>
      </c>
      <c r="S2305">
        <f>IMAGE("https://mitra.stanford.edu/kundaje/oak/projects/neuro-variants/variant_position/credible/roussos_2024/variant_figures/roussos_2024.adolescence.GLU/rs3106089_count_position.png",4,220,900)</f>
        <v/>
      </c>
      <c r="T2305">
        <f>IMAGE("https://mitra.stanford.edu/kundaje/oak/projects/neuro-variants/variant_position/credible/roussos_2024/variant_figures/roussos_2024.adolescence.GLU/rs3106089_profile_position.png",4,220,900)</f>
        <v/>
      </c>
    </row>
    <row r="2306">
      <c r="A2306" t="inlineStr">
        <is>
          <t>chr2</t>
        </is>
      </c>
      <c r="B2306" t="n">
        <v>200043420</v>
      </c>
      <c r="C2306" t="inlineStr">
        <is>
          <t>G</t>
        </is>
      </c>
      <c r="D2306" t="inlineStr">
        <is>
          <t>A</t>
        </is>
      </c>
      <c r="E2306" t="inlineStr">
        <is>
          <t>rs1509830</t>
        </is>
      </c>
      <c r="F2306" t="n">
        <v>-0.00760616006</v>
      </c>
      <c r="G2306" t="n">
        <v>0.6178128830646183</v>
      </c>
      <c r="H2306" t="n">
        <v>0.0155878919507357</v>
      </c>
      <c r="I2306" t="n">
        <v>0.1434327155773336</v>
      </c>
      <c r="J2306" t="n">
        <v>0.0381164669824463</v>
      </c>
      <c r="K2306" t="n">
        <v>0.7437308303159305</v>
      </c>
      <c r="L2306" t="b">
        <v>0</v>
      </c>
      <c r="M2306" t="b">
        <v>0</v>
      </c>
      <c r="N2306" t="inlineStr">
        <is>
          <t>ref</t>
        </is>
      </c>
      <c r="O2306" t="n">
        <v>70</v>
      </c>
      <c r="P2306" t="n">
        <v>0.004684</v>
      </c>
      <c r="Q2306" t="n">
        <v>-95</v>
      </c>
      <c r="R2306" t="n">
        <v>0.06370000000000001</v>
      </c>
      <c r="S2306">
        <f>IMAGE("https://mitra.stanford.edu/kundaje/oak/projects/neuro-variants/variant_position/credible/roussos_2024/variant_figures/roussos_2024.adolescence.GLU/rs1509830_count_position.png",4,220,900)</f>
        <v/>
      </c>
      <c r="T2306">
        <f>IMAGE("https://mitra.stanford.edu/kundaje/oak/projects/neuro-variants/variant_position/credible/roussos_2024/variant_figures/roussos_2024.adolescence.GLU/rs1509830_profile_position.png",4,220,900)</f>
        <v/>
      </c>
    </row>
    <row r="2307">
      <c r="A2307" t="inlineStr">
        <is>
          <t>chr2</t>
        </is>
      </c>
      <c r="B2307" t="n">
        <v>200046051</v>
      </c>
      <c r="C2307" t="inlineStr">
        <is>
          <t>C</t>
        </is>
      </c>
      <c r="D2307" t="inlineStr">
        <is>
          <t>A</t>
        </is>
      </c>
      <c r="E2307" t="inlineStr">
        <is>
          <t>rs2079196</t>
        </is>
      </c>
      <c r="F2307" t="n">
        <v>-0.00181058256</v>
      </c>
      <c r="G2307" t="n">
        <v>0.9010822882556568</v>
      </c>
      <c r="H2307" t="n">
        <v>0.0159685982651118</v>
      </c>
      <c r="I2307" t="n">
        <v>0.134499369259219</v>
      </c>
      <c r="J2307" t="n">
        <v>0.1594201656057325</v>
      </c>
      <c r="K2307" t="n">
        <v>0.4678180612470748</v>
      </c>
      <c r="L2307" t="b">
        <v>0</v>
      </c>
      <c r="M2307" t="b">
        <v>0</v>
      </c>
      <c r="N2307" t="inlineStr">
        <is>
          <t>ref</t>
        </is>
      </c>
      <c r="O2307" t="n">
        <v>100</v>
      </c>
      <c r="P2307" t="n">
        <v>0.06274</v>
      </c>
      <c r="Q2307" t="n">
        <v>80</v>
      </c>
      <c r="R2307" t="n">
        <v>0.061</v>
      </c>
      <c r="S2307">
        <f>IMAGE("https://mitra.stanford.edu/kundaje/oak/projects/neuro-variants/variant_position/credible/roussos_2024/variant_figures/roussos_2024.adolescence.GLU/rs2079196_count_position.png",4,220,900)</f>
        <v/>
      </c>
      <c r="T2307">
        <f>IMAGE("https://mitra.stanford.edu/kundaje/oak/projects/neuro-variants/variant_position/credible/roussos_2024/variant_figures/roussos_2024.adolescence.GLU/rs2079196_profile_position.png",4,220,900)</f>
        <v/>
      </c>
    </row>
    <row r="2308">
      <c r="A2308" t="inlineStr">
        <is>
          <t>chr2</t>
        </is>
      </c>
      <c r="B2308" t="n">
        <v>200048521</v>
      </c>
      <c r="C2308" t="inlineStr">
        <is>
          <t>A</t>
        </is>
      </c>
      <c r="D2308" t="inlineStr">
        <is>
          <t>C</t>
        </is>
      </c>
      <c r="E2308" t="inlineStr">
        <is>
          <t>rs3115414</t>
        </is>
      </c>
      <c r="F2308" t="n">
        <v>0.0155086166</v>
      </c>
      <c r="G2308" t="n">
        <v>0.3529995704088571</v>
      </c>
      <c r="H2308" t="n">
        <v>0.0121190522067708</v>
      </c>
      <c r="I2308" t="n">
        <v>0.3009857146708505</v>
      </c>
      <c r="J2308" t="n">
        <v>0.0183109358367089</v>
      </c>
      <c r="K2308" t="n">
        <v>0.8269032986337683</v>
      </c>
      <c r="L2308" t="b">
        <v>0</v>
      </c>
      <c r="M2308" t="b">
        <v>0</v>
      </c>
      <c r="N2308" t="inlineStr">
        <is>
          <t>alt</t>
        </is>
      </c>
      <c r="O2308" t="n">
        <v>90</v>
      </c>
      <c r="P2308" t="n">
        <v>0.006058</v>
      </c>
      <c r="Q2308" t="n">
        <v>100</v>
      </c>
      <c r="R2308" t="n">
        <v>0.06304999999999999</v>
      </c>
      <c r="S2308">
        <f>IMAGE("https://mitra.stanford.edu/kundaje/oak/projects/neuro-variants/variant_position/credible/roussos_2024/variant_figures/roussos_2024.adolescence.GLU/rs3115414_count_position.png",4,220,900)</f>
        <v/>
      </c>
      <c r="T2308">
        <f>IMAGE("https://mitra.stanford.edu/kundaje/oak/projects/neuro-variants/variant_position/credible/roussos_2024/variant_figures/roussos_2024.adolescence.GLU/rs3115414_profile_position.png",4,220,900)</f>
        <v/>
      </c>
    </row>
    <row r="2309">
      <c r="A2309" t="inlineStr">
        <is>
          <t>chr2</t>
        </is>
      </c>
      <c r="B2309" t="n">
        <v>200064808</v>
      </c>
      <c r="C2309" t="inlineStr">
        <is>
          <t>C</t>
        </is>
      </c>
      <c r="D2309" t="inlineStr">
        <is>
          <t>T</t>
        </is>
      </c>
      <c r="E2309" t="inlineStr">
        <is>
          <t>rs76568708</t>
        </is>
      </c>
      <c r="F2309" t="n">
        <v>0.09625796759999999</v>
      </c>
      <c r="G2309" t="n">
        <v>0.0122615929071379</v>
      </c>
      <c r="H2309" t="n">
        <v>0.0264148233608764</v>
      </c>
      <c r="I2309" t="n">
        <v>0.0219562108373583</v>
      </c>
      <c r="J2309" t="n">
        <v>0.2402711990340856</v>
      </c>
      <c r="K2309" t="n">
        <v>0.3406074576457624</v>
      </c>
      <c r="L2309" t="b">
        <v>1</v>
      </c>
      <c r="M2309" t="b">
        <v>0</v>
      </c>
      <c r="N2309" t="inlineStr">
        <is>
          <t>alt</t>
        </is>
      </c>
      <c r="O2309" t="n">
        <v>-100</v>
      </c>
      <c r="P2309" t="n">
        <v>0.004135</v>
      </c>
      <c r="Q2309" t="n">
        <v>-95</v>
      </c>
      <c r="R2309" t="n">
        <v>0.02661</v>
      </c>
      <c r="S2309">
        <f>IMAGE("https://mitra.stanford.edu/kundaje/oak/projects/neuro-variants/variant_position/credible/roussos_2024/variant_figures/roussos_2024.adolescence.GLU/rs76568708_count_position.png",4,220,900)</f>
        <v/>
      </c>
      <c r="T2309">
        <f>IMAGE("https://mitra.stanford.edu/kundaje/oak/projects/neuro-variants/variant_position/credible/roussos_2024/variant_figures/roussos_2024.adolescence.GLU/rs76568708_profile_position.png",4,220,900)</f>
        <v/>
      </c>
    </row>
    <row r="2310">
      <c r="A2310" t="inlineStr">
        <is>
          <t>chr2</t>
        </is>
      </c>
      <c r="B2310" t="n">
        <v>200104182</v>
      </c>
      <c r="C2310" t="inlineStr">
        <is>
          <t>G</t>
        </is>
      </c>
      <c r="D2310" t="inlineStr">
        <is>
          <t>A</t>
        </is>
      </c>
      <c r="E2310" t="inlineStr">
        <is>
          <t>rs10931887</t>
        </is>
      </c>
      <c r="F2310" t="n">
        <v>-0.0150614627</v>
      </c>
      <c r="G2310" t="n">
        <v>0.3891893446516038</v>
      </c>
      <c r="H2310" t="n">
        <v>0.0087112609470345</v>
      </c>
      <c r="I2310" t="n">
        <v>0.6906432821225836</v>
      </c>
      <c r="J2310" t="n">
        <v>0.0575876431546534</v>
      </c>
      <c r="K2310" t="n">
        <v>0.6740779507265789</v>
      </c>
      <c r="L2310" t="b">
        <v>0</v>
      </c>
      <c r="M2310" t="b">
        <v>0</v>
      </c>
      <c r="N2310" t="inlineStr">
        <is>
          <t>ref</t>
        </is>
      </c>
      <c r="O2310" t="n">
        <v>-100</v>
      </c>
      <c r="P2310" t="n">
        <v>0.001511</v>
      </c>
      <c r="Q2310" t="n">
        <v>5</v>
      </c>
      <c r="R2310" t="n">
        <v>0.00818</v>
      </c>
      <c r="S2310">
        <f>IMAGE("https://mitra.stanford.edu/kundaje/oak/projects/neuro-variants/variant_position/credible/roussos_2024/variant_figures/roussos_2024.adolescence.GLU/rs10931887_count_position.png",4,220,900)</f>
        <v/>
      </c>
      <c r="T2310">
        <f>IMAGE("https://mitra.stanford.edu/kundaje/oak/projects/neuro-variants/variant_position/credible/roussos_2024/variant_figures/roussos_2024.adolescence.GLU/rs10931887_profile_position.png",4,220,900)</f>
        <v/>
      </c>
    </row>
    <row r="2311">
      <c r="A2311" t="inlineStr">
        <is>
          <t>chr2</t>
        </is>
      </c>
      <c r="B2311" t="n">
        <v>200114365</v>
      </c>
      <c r="C2311" t="inlineStr">
        <is>
          <t>G</t>
        </is>
      </c>
      <c r="D2311" t="inlineStr">
        <is>
          <t>A</t>
        </is>
      </c>
      <c r="E2311" t="inlineStr">
        <is>
          <t>rs112403441</t>
        </is>
      </c>
      <c r="F2311" t="n">
        <v>-0.0440675815999999</v>
      </c>
      <c r="G2311" t="n">
        <v>0.0870664568439031</v>
      </c>
      <c r="H2311" t="n">
        <v>0.0122624817833797</v>
      </c>
      <c r="I2311" t="n">
        <v>0.3062410311899706</v>
      </c>
      <c r="J2311" t="n">
        <v>0.0547056175922155</v>
      </c>
      <c r="K2311" t="n">
        <v>0.6880302636369147</v>
      </c>
      <c r="L2311" t="b">
        <v>0</v>
      </c>
      <c r="M2311" t="b">
        <v>0</v>
      </c>
      <c r="N2311" t="inlineStr">
        <is>
          <t>ref</t>
        </is>
      </c>
      <c r="O2311" t="n">
        <v>-95</v>
      </c>
      <c r="P2311" t="n">
        <v>0.005142</v>
      </c>
      <c r="Q2311" t="n">
        <v>30</v>
      </c>
      <c r="R2311" t="n">
        <v>0.00641</v>
      </c>
      <c r="S2311">
        <f>IMAGE("https://mitra.stanford.edu/kundaje/oak/projects/neuro-variants/variant_position/credible/roussos_2024/variant_figures/roussos_2024.adolescence.GLU/rs112403441_count_position.png",4,220,900)</f>
        <v/>
      </c>
      <c r="T2311">
        <f>IMAGE("https://mitra.stanford.edu/kundaje/oak/projects/neuro-variants/variant_position/credible/roussos_2024/variant_figures/roussos_2024.adolescence.GLU/rs112403441_profile_position.png",4,220,900)</f>
        <v/>
      </c>
    </row>
    <row r="2312">
      <c r="A2312" t="inlineStr">
        <is>
          <t>chr2</t>
        </is>
      </c>
      <c r="B2312" t="n">
        <v>200141009</v>
      </c>
      <c r="C2312" t="inlineStr">
        <is>
          <t>G</t>
        </is>
      </c>
      <c r="D2312" t="inlineStr">
        <is>
          <t>A</t>
        </is>
      </c>
      <c r="E2312" t="inlineStr">
        <is>
          <t>rs74266489</t>
        </is>
      </c>
      <c r="F2312" t="n">
        <v>-0.00516283174</v>
      </c>
      <c r="G2312" t="n">
        <v>0.6269089871088027</v>
      </c>
      <c r="H2312" t="n">
        <v>0.0326742937598175</v>
      </c>
      <c r="I2312" t="n">
        <v>0.0067046570440051</v>
      </c>
      <c r="J2312" t="n">
        <v>0.0460366790263696</v>
      </c>
      <c r="K2312" t="n">
        <v>0.7223992765823659</v>
      </c>
      <c r="L2312" t="b">
        <v>1</v>
      </c>
      <c r="M2312" t="b">
        <v>0</v>
      </c>
      <c r="N2312" t="inlineStr">
        <is>
          <t>ref</t>
        </is>
      </c>
      <c r="O2312" t="n">
        <v>25</v>
      </c>
      <c r="P2312" t="n">
        <v>0.00361</v>
      </c>
      <c r="Q2312" t="n">
        <v>-50</v>
      </c>
      <c r="R2312" t="n">
        <v>0.01678</v>
      </c>
      <c r="S2312">
        <f>IMAGE("https://mitra.stanford.edu/kundaje/oak/projects/neuro-variants/variant_position/credible/roussos_2024/variant_figures/roussos_2024.adolescence.GLU/rs74266489_count_position.png",4,220,900)</f>
        <v/>
      </c>
      <c r="T2312">
        <f>IMAGE("https://mitra.stanford.edu/kundaje/oak/projects/neuro-variants/variant_position/credible/roussos_2024/variant_figures/roussos_2024.adolescence.GLU/rs74266489_profile_position.png",4,220,900)</f>
        <v/>
      </c>
    </row>
    <row r="2313">
      <c r="A2313" t="inlineStr">
        <is>
          <t>chr2</t>
        </is>
      </c>
      <c r="B2313" t="n">
        <v>200144413</v>
      </c>
      <c r="C2313" t="inlineStr">
        <is>
          <t>C</t>
        </is>
      </c>
      <c r="D2313" t="inlineStr">
        <is>
          <t>T</t>
        </is>
      </c>
      <c r="E2313" t="inlineStr">
        <is>
          <t>rs11684942</t>
        </is>
      </c>
      <c r="F2313" t="n">
        <v>-0.0509904716</v>
      </c>
      <c r="G2313" t="n">
        <v>0.06678560169394469</v>
      </c>
      <c r="H2313" t="n">
        <v>0.009013523486428501</v>
      </c>
      <c r="I2313" t="n">
        <v>0.6627319162749506</v>
      </c>
      <c r="J2313" t="n">
        <v>0.2610812239678218</v>
      </c>
      <c r="K2313" t="n">
        <v>0.3191143247434247</v>
      </c>
      <c r="L2313" t="b">
        <v>0</v>
      </c>
      <c r="M2313" t="b">
        <v>0</v>
      </c>
      <c r="N2313" t="inlineStr">
        <is>
          <t>ref</t>
        </is>
      </c>
      <c r="O2313" t="n">
        <v>5</v>
      </c>
      <c r="P2313" t="n">
        <v>0.000599</v>
      </c>
      <c r="Q2313" t="n">
        <v>-35</v>
      </c>
      <c r="R2313" t="n">
        <v>0.01843</v>
      </c>
      <c r="S2313">
        <f>IMAGE("https://mitra.stanford.edu/kundaje/oak/projects/neuro-variants/variant_position/credible/roussos_2024/variant_figures/roussos_2024.adolescence.GLU/rs11684942_count_position.png",4,220,900)</f>
        <v/>
      </c>
      <c r="T2313">
        <f>IMAGE("https://mitra.stanford.edu/kundaje/oak/projects/neuro-variants/variant_position/credible/roussos_2024/variant_figures/roussos_2024.adolescence.GLU/rs11684942_profile_position.png",4,220,900)</f>
        <v/>
      </c>
    </row>
    <row r="2314">
      <c r="A2314" t="inlineStr">
        <is>
          <t>chr2</t>
        </is>
      </c>
      <c r="B2314" t="n">
        <v>200154353</v>
      </c>
      <c r="C2314" t="inlineStr">
        <is>
          <t>G</t>
        </is>
      </c>
      <c r="D2314" t="inlineStr">
        <is>
          <t>A</t>
        </is>
      </c>
      <c r="E2314" t="inlineStr">
        <is>
          <t>rs72932296</t>
        </is>
      </c>
      <c r="F2314" t="n">
        <v>0.0014490820799999</v>
      </c>
      <c r="G2314" t="n">
        <v>0.6816255531598862</v>
      </c>
      <c r="H2314" t="n">
        <v>0.0089523276202838</v>
      </c>
      <c r="I2314" t="n">
        <v>0.6710568797912403</v>
      </c>
      <c r="J2314" t="n">
        <v>0.2025262375777839</v>
      </c>
      <c r="K2314" t="n">
        <v>0.4002467774197567</v>
      </c>
      <c r="L2314" t="b">
        <v>0</v>
      </c>
      <c r="M2314" t="b">
        <v>0</v>
      </c>
      <c r="N2314" t="inlineStr">
        <is>
          <t>alt</t>
        </is>
      </c>
      <c r="O2314" t="n">
        <v>-45</v>
      </c>
      <c r="P2314" t="n">
        <v>0.02145</v>
      </c>
      <c r="Q2314" t="n">
        <v>100</v>
      </c>
      <c r="R2314" t="n">
        <v>0.06726</v>
      </c>
      <c r="S2314">
        <f>IMAGE("https://mitra.stanford.edu/kundaje/oak/projects/neuro-variants/variant_position/credible/roussos_2024/variant_figures/roussos_2024.adolescence.GLU/rs72932296_count_position.png",4,220,900)</f>
        <v/>
      </c>
      <c r="T2314">
        <f>IMAGE("https://mitra.stanford.edu/kundaje/oak/projects/neuro-variants/variant_position/credible/roussos_2024/variant_figures/roussos_2024.adolescence.GLU/rs72932296_profile_position.png",4,220,900)</f>
        <v/>
      </c>
    </row>
    <row r="2315">
      <c r="A2315" t="inlineStr">
        <is>
          <t>chr2</t>
        </is>
      </c>
      <c r="B2315" t="n">
        <v>200159789</v>
      </c>
      <c r="C2315" t="inlineStr">
        <is>
          <t>T</t>
        </is>
      </c>
      <c r="D2315" t="inlineStr">
        <is>
          <t>C</t>
        </is>
      </c>
      <c r="E2315" t="inlineStr">
        <is>
          <t>rs1569178</t>
        </is>
      </c>
      <c r="F2315" t="n">
        <v>-0.003490566215</v>
      </c>
      <c r="G2315" t="n">
        <v>0.7578587064256623</v>
      </c>
      <c r="H2315" t="n">
        <v>0.0170110669031355</v>
      </c>
      <c r="I2315" t="n">
        <v>0.1018255777272728</v>
      </c>
      <c r="J2315" t="n">
        <v>0.3309685577726814</v>
      </c>
      <c r="K2315" t="n">
        <v>0.2324649184582123</v>
      </c>
      <c r="L2315" t="b">
        <v>0</v>
      </c>
      <c r="M2315" t="b">
        <v>0</v>
      </c>
      <c r="N2315" t="inlineStr">
        <is>
          <t>ref</t>
        </is>
      </c>
      <c r="O2315" t="n">
        <v>-75</v>
      </c>
      <c r="P2315" t="n">
        <v>0.007423</v>
      </c>
      <c r="Q2315" t="n">
        <v>15</v>
      </c>
      <c r="R2315" t="n">
        <v>0.01187</v>
      </c>
      <c r="S2315">
        <f>IMAGE("https://mitra.stanford.edu/kundaje/oak/projects/neuro-variants/variant_position/credible/roussos_2024/variant_figures/roussos_2024.adolescence.GLU/rs1569178_count_position.png",4,220,900)</f>
        <v/>
      </c>
      <c r="T2315">
        <f>IMAGE("https://mitra.stanford.edu/kundaje/oak/projects/neuro-variants/variant_position/credible/roussos_2024/variant_figures/roussos_2024.adolescence.GLU/rs1569178_profile_position.png",4,220,900)</f>
        <v/>
      </c>
    </row>
    <row r="2316">
      <c r="A2316" t="inlineStr">
        <is>
          <t>chr2</t>
        </is>
      </c>
      <c r="B2316" t="n">
        <v>200176258</v>
      </c>
      <c r="C2316" t="inlineStr">
        <is>
          <t>C</t>
        </is>
      </c>
      <c r="D2316" t="inlineStr">
        <is>
          <t>T</t>
        </is>
      </c>
      <c r="E2316" t="inlineStr">
        <is>
          <t>rs11679676</t>
        </is>
      </c>
      <c r="F2316" t="n">
        <v>-0.08039810999999999</v>
      </c>
      <c r="G2316" t="n">
        <v>0.015105186288061</v>
      </c>
      <c r="H2316" t="n">
        <v>0.0131154086357158</v>
      </c>
      <c r="I2316" t="n">
        <v>0.2523209221838187</v>
      </c>
      <c r="J2316" t="n">
        <v>0.2702131155739403</v>
      </c>
      <c r="K2316" t="n">
        <v>0.3074837688003431</v>
      </c>
      <c r="L2316" t="b">
        <v>1</v>
      </c>
      <c r="M2316" t="b">
        <v>0</v>
      </c>
      <c r="N2316" t="inlineStr">
        <is>
          <t>ref</t>
        </is>
      </c>
      <c r="O2316" t="n">
        <v>95</v>
      </c>
      <c r="P2316" t="n">
        <v>0.003613</v>
      </c>
      <c r="Q2316" t="n">
        <v>-80</v>
      </c>
      <c r="R2316" t="n">
        <v>0.01627</v>
      </c>
      <c r="S2316">
        <f>IMAGE("https://mitra.stanford.edu/kundaje/oak/projects/neuro-variants/variant_position/credible/roussos_2024/variant_figures/roussos_2024.adolescence.GLU/rs11679676_count_position.png",4,220,900)</f>
        <v/>
      </c>
      <c r="T2316">
        <f>IMAGE("https://mitra.stanford.edu/kundaje/oak/projects/neuro-variants/variant_position/credible/roussos_2024/variant_figures/roussos_2024.adolescence.GLU/rs11679676_profile_position.png",4,220,900)</f>
        <v/>
      </c>
    </row>
    <row r="2317">
      <c r="A2317" t="inlineStr">
        <is>
          <t>chr2</t>
        </is>
      </c>
      <c r="B2317" t="n">
        <v>200184663</v>
      </c>
      <c r="C2317" t="inlineStr">
        <is>
          <t>A</t>
        </is>
      </c>
      <c r="D2317" t="inlineStr">
        <is>
          <t>G</t>
        </is>
      </c>
      <c r="E2317" t="inlineStr">
        <is>
          <t>rs55906940</t>
        </is>
      </c>
      <c r="F2317" t="n">
        <v>0.000114588114</v>
      </c>
      <c r="G2317" t="n">
        <v>0.853515116019374</v>
      </c>
      <c r="H2317" t="n">
        <v>0.0239410378581752</v>
      </c>
      <c r="I2317" t="n">
        <v>0.0259270679238478</v>
      </c>
      <c r="J2317" t="n">
        <v>0.1876603010623629</v>
      </c>
      <c r="K2317" t="n">
        <v>0.4154845405974145</v>
      </c>
      <c r="L2317" t="b">
        <v>0</v>
      </c>
      <c r="M2317" t="b">
        <v>0</v>
      </c>
      <c r="N2317" t="inlineStr">
        <is>
          <t>alt</t>
        </is>
      </c>
      <c r="O2317" t="n">
        <v>-65</v>
      </c>
      <c r="P2317" t="n">
        <v>0.009926000000000001</v>
      </c>
      <c r="Q2317" t="n">
        <v>90</v>
      </c>
      <c r="R2317" t="n">
        <v>0.08110000000000001</v>
      </c>
      <c r="S2317">
        <f>IMAGE("https://mitra.stanford.edu/kundaje/oak/projects/neuro-variants/variant_position/credible/roussos_2024/variant_figures/roussos_2024.adolescence.GLU/rs55906940_count_position.png",4,220,900)</f>
        <v/>
      </c>
      <c r="T2317">
        <f>IMAGE("https://mitra.stanford.edu/kundaje/oak/projects/neuro-variants/variant_position/credible/roussos_2024/variant_figures/roussos_2024.adolescence.GLU/rs55906940_profile_position.png",4,220,900)</f>
        <v/>
      </c>
    </row>
    <row r="2318">
      <c r="A2318" t="inlineStr">
        <is>
          <t>chr2</t>
        </is>
      </c>
      <c r="B2318" t="n">
        <v>200206248</v>
      </c>
      <c r="C2318" t="inlineStr">
        <is>
          <t>C</t>
        </is>
      </c>
      <c r="D2318" t="inlineStr">
        <is>
          <t>T</t>
        </is>
      </c>
      <c r="E2318" t="inlineStr">
        <is>
          <t>rs149828043</t>
        </is>
      </c>
      <c r="F2318" t="n">
        <v>-0.0015067627</v>
      </c>
      <c r="G2318" t="n">
        <v>0.8332690221170559</v>
      </c>
      <c r="H2318" t="n">
        <v>0.0183398738200697</v>
      </c>
      <c r="I2318" t="n">
        <v>0.0797649050190109</v>
      </c>
      <c r="J2318" t="n">
        <v>0.0208257424752269</v>
      </c>
      <c r="K2318" t="n">
        <v>0.8110106378527885</v>
      </c>
      <c r="L2318" t="b">
        <v>0</v>
      </c>
      <c r="M2318" t="b">
        <v>0</v>
      </c>
      <c r="N2318" t="inlineStr">
        <is>
          <t>ref</t>
        </is>
      </c>
      <c r="O2318" t="n">
        <v>-85</v>
      </c>
      <c r="P2318" t="n">
        <v>0.005257</v>
      </c>
      <c r="Q2318" t="n">
        <v>-100</v>
      </c>
      <c r="R2318" t="n">
        <v>0.0735</v>
      </c>
      <c r="S2318">
        <f>IMAGE("https://mitra.stanford.edu/kundaje/oak/projects/neuro-variants/variant_position/credible/roussos_2024/variant_figures/roussos_2024.adolescence.GLU/rs149828043_count_position.png",4,220,900)</f>
        <v/>
      </c>
      <c r="T2318">
        <f>IMAGE("https://mitra.stanford.edu/kundaje/oak/projects/neuro-variants/variant_position/credible/roussos_2024/variant_figures/roussos_2024.adolescence.GLU/rs149828043_profile_position.png",4,220,900)</f>
        <v/>
      </c>
    </row>
    <row r="2319">
      <c r="A2319" t="inlineStr">
        <is>
          <t>chr2</t>
        </is>
      </c>
      <c r="B2319" t="n">
        <v>200252130</v>
      </c>
      <c r="C2319" t="inlineStr">
        <is>
          <t>A</t>
        </is>
      </c>
      <c r="D2319" t="inlineStr">
        <is>
          <t>G</t>
        </is>
      </c>
      <c r="E2319" t="inlineStr">
        <is>
          <t>rs77089299</t>
        </is>
      </c>
      <c r="F2319" t="n">
        <v>0.00373195218</v>
      </c>
      <c r="G2319" t="n">
        <v>0.7696727884451628</v>
      </c>
      <c r="H2319" t="n">
        <v>0.0156884827687205</v>
      </c>
      <c r="I2319" t="n">
        <v>0.1322567248508213</v>
      </c>
      <c r="J2319" t="n">
        <v>0.0554800637274863</v>
      </c>
      <c r="K2319" t="n">
        <v>0.6836356109280409</v>
      </c>
      <c r="L2319" t="b">
        <v>0</v>
      </c>
      <c r="M2319" t="b">
        <v>0</v>
      </c>
      <c r="N2319" t="inlineStr">
        <is>
          <t>alt</t>
        </is>
      </c>
      <c r="O2319" t="n">
        <v>-65</v>
      </c>
      <c r="P2319" t="n">
        <v>0.007126</v>
      </c>
      <c r="Q2319" t="n">
        <v>-100</v>
      </c>
      <c r="R2319" t="n">
        <v>0.0232</v>
      </c>
      <c r="S2319">
        <f>IMAGE("https://mitra.stanford.edu/kundaje/oak/projects/neuro-variants/variant_position/credible/roussos_2024/variant_figures/roussos_2024.adolescence.GLU/rs77089299_count_position.png",4,220,900)</f>
        <v/>
      </c>
      <c r="T2319">
        <f>IMAGE("https://mitra.stanford.edu/kundaje/oak/projects/neuro-variants/variant_position/credible/roussos_2024/variant_figures/roussos_2024.adolescence.GLU/rs77089299_profile_position.png",4,220,900)</f>
        <v/>
      </c>
    </row>
    <row r="2320">
      <c r="A2320" t="inlineStr">
        <is>
          <t>chr2</t>
        </is>
      </c>
      <c r="B2320" t="n">
        <v>200278008</v>
      </c>
      <c r="C2320" t="inlineStr">
        <is>
          <t>G</t>
        </is>
      </c>
      <c r="D2320" t="inlineStr">
        <is>
          <t>A</t>
        </is>
      </c>
      <c r="E2320" t="inlineStr">
        <is>
          <t>rs66621598</t>
        </is>
      </c>
      <c r="F2320" t="n">
        <v>0.04430458446</v>
      </c>
      <c r="G2320" t="n">
        <v>0.1026676909785418</v>
      </c>
      <c r="H2320" t="n">
        <v>0.014505579948836</v>
      </c>
      <c r="I2320" t="n">
        <v>0.2111632074510619</v>
      </c>
      <c r="J2320" t="n">
        <v>0.1202949182330625</v>
      </c>
      <c r="K2320" t="n">
        <v>0.5332492473388992</v>
      </c>
      <c r="L2320" t="b">
        <v>0</v>
      </c>
      <c r="M2320" t="b">
        <v>0</v>
      </c>
      <c r="N2320" t="inlineStr">
        <is>
          <t>alt</t>
        </is>
      </c>
      <c r="O2320" t="n">
        <v>5</v>
      </c>
      <c r="P2320" t="n">
        <v>0.003609</v>
      </c>
      <c r="Q2320" t="n">
        <v>100</v>
      </c>
      <c r="R2320" t="n">
        <v>0.1556</v>
      </c>
      <c r="S2320">
        <f>IMAGE("https://mitra.stanford.edu/kundaje/oak/projects/neuro-variants/variant_position/credible/roussos_2024/variant_figures/roussos_2024.adolescence.GLU/rs66621598_count_position.png",4,220,900)</f>
        <v/>
      </c>
      <c r="T2320">
        <f>IMAGE("https://mitra.stanford.edu/kundaje/oak/projects/neuro-variants/variant_position/credible/roussos_2024/variant_figures/roussos_2024.adolescence.GLU/rs66621598_profile_position.png",4,220,900)</f>
        <v/>
      </c>
    </row>
    <row r="2321">
      <c r="A2321" t="inlineStr">
        <is>
          <t>chr2</t>
        </is>
      </c>
      <c r="B2321" t="n">
        <v>200278601</v>
      </c>
      <c r="C2321" t="inlineStr">
        <is>
          <t>T</t>
        </is>
      </c>
      <c r="D2321" t="inlineStr">
        <is>
          <t>C</t>
        </is>
      </c>
      <c r="E2321" t="inlineStr">
        <is>
          <t>rs4673871</t>
        </is>
      </c>
      <c r="F2321" t="n">
        <v>-0.00239310906</v>
      </c>
      <c r="G2321" t="n">
        <v>0.5774045776428491</v>
      </c>
      <c r="H2321" t="n">
        <v>0.0282979201018576</v>
      </c>
      <c r="I2321" t="n">
        <v>0.0135062355013753</v>
      </c>
      <c r="J2321" t="n">
        <v>0.2380350215401761</v>
      </c>
      <c r="K2321" t="n">
        <v>0.3455012094245049</v>
      </c>
      <c r="L2321" t="b">
        <v>1</v>
      </c>
      <c r="M2321" t="b">
        <v>0</v>
      </c>
      <c r="N2321" t="inlineStr">
        <is>
          <t>ref</t>
        </is>
      </c>
      <c r="O2321" t="n">
        <v>-25</v>
      </c>
      <c r="P2321" t="n">
        <v>0.000923</v>
      </c>
      <c r="Q2321" t="n">
        <v>100</v>
      </c>
      <c r="R2321" t="n">
        <v>0.0779</v>
      </c>
      <c r="S2321">
        <f>IMAGE("https://mitra.stanford.edu/kundaje/oak/projects/neuro-variants/variant_position/credible/roussos_2024/variant_figures/roussos_2024.adolescence.GLU/rs4673871_count_position.png",4,220,900)</f>
        <v/>
      </c>
      <c r="T2321">
        <f>IMAGE("https://mitra.stanford.edu/kundaje/oak/projects/neuro-variants/variant_position/credible/roussos_2024/variant_figures/roussos_2024.adolescence.GLU/rs4673871_profile_position.png",4,220,900)</f>
        <v/>
      </c>
    </row>
    <row r="2322">
      <c r="A2322" t="inlineStr">
        <is>
          <t>chr2</t>
        </is>
      </c>
      <c r="B2322" t="n">
        <v>200278686</v>
      </c>
      <c r="C2322" t="inlineStr">
        <is>
          <t>T</t>
        </is>
      </c>
      <c r="D2322" t="inlineStr">
        <is>
          <t>C</t>
        </is>
      </c>
      <c r="E2322" t="inlineStr">
        <is>
          <t>rs11688415</t>
        </is>
      </c>
      <c r="F2322" t="n">
        <v>-0.0309929544</v>
      </c>
      <c r="G2322" t="n">
        <v>0.1713995061629368</v>
      </c>
      <c r="H2322" t="n">
        <v>0.0220323730870404</v>
      </c>
      <c r="I2322" t="n">
        <v>0.0412229508638383</v>
      </c>
      <c r="J2322" t="n">
        <v>0.2372062784433918</v>
      </c>
      <c r="K2322" t="n">
        <v>0.3454474180989235</v>
      </c>
      <c r="L2322" t="b">
        <v>0</v>
      </c>
      <c r="M2322" t="b">
        <v>0</v>
      </c>
      <c r="N2322" t="inlineStr">
        <is>
          <t>ref</t>
        </is>
      </c>
      <c r="O2322" t="n">
        <v>-100</v>
      </c>
      <c r="P2322" t="n">
        <v>0.010605</v>
      </c>
      <c r="Q2322" t="n">
        <v>85</v>
      </c>
      <c r="R2322" t="n">
        <v>0.0813</v>
      </c>
      <c r="S2322">
        <f>IMAGE("https://mitra.stanford.edu/kundaje/oak/projects/neuro-variants/variant_position/credible/roussos_2024/variant_figures/roussos_2024.adolescence.GLU/rs11688415_count_position.png",4,220,900)</f>
        <v/>
      </c>
      <c r="T2322">
        <f>IMAGE("https://mitra.stanford.edu/kundaje/oak/projects/neuro-variants/variant_position/credible/roussos_2024/variant_figures/roussos_2024.adolescence.GLU/rs11688415_profile_position.png",4,220,900)</f>
        <v/>
      </c>
    </row>
    <row r="2323">
      <c r="A2323" t="inlineStr">
        <is>
          <t>chr2</t>
        </is>
      </c>
      <c r="B2323" t="n">
        <v>200279387</v>
      </c>
      <c r="C2323" t="inlineStr">
        <is>
          <t>C</t>
        </is>
      </c>
      <c r="D2323" t="inlineStr">
        <is>
          <t>T</t>
        </is>
      </c>
      <c r="E2323" t="inlineStr">
        <is>
          <t>rs55826210</t>
        </is>
      </c>
      <c r="F2323" t="n">
        <v>-0.0148066116</v>
      </c>
      <c r="G2323" t="n">
        <v>0.3974242958849688</v>
      </c>
      <c r="H2323" t="n">
        <v>0.0093337463526599</v>
      </c>
      <c r="I2323" t="n">
        <v>0.6281295945352126</v>
      </c>
      <c r="J2323" t="n">
        <v>0.0598323938530123</v>
      </c>
      <c r="K2323" t="n">
        <v>0.6648829164013971</v>
      </c>
      <c r="L2323" t="b">
        <v>0</v>
      </c>
      <c r="M2323" t="b">
        <v>0</v>
      </c>
      <c r="N2323" t="inlineStr">
        <is>
          <t>ref</t>
        </is>
      </c>
      <c r="O2323" t="n">
        <v>-55</v>
      </c>
      <c r="P2323" t="n">
        <v>0.00341</v>
      </c>
      <c r="Q2323" t="n">
        <v>100</v>
      </c>
      <c r="R2323" t="n">
        <v>0.03955</v>
      </c>
      <c r="S2323">
        <f>IMAGE("https://mitra.stanford.edu/kundaje/oak/projects/neuro-variants/variant_position/credible/roussos_2024/variant_figures/roussos_2024.adolescence.GLU/rs55826210_count_position.png",4,220,900)</f>
        <v/>
      </c>
      <c r="T2323">
        <f>IMAGE("https://mitra.stanford.edu/kundaje/oak/projects/neuro-variants/variant_position/credible/roussos_2024/variant_figures/roussos_2024.adolescence.GLU/rs55826210_profile_position.png",4,220,900)</f>
        <v/>
      </c>
    </row>
    <row r="2324">
      <c r="A2324" t="inlineStr">
        <is>
          <t>chr2</t>
        </is>
      </c>
      <c r="B2324" t="n">
        <v>200285346</v>
      </c>
      <c r="C2324" t="inlineStr">
        <is>
          <t>A</t>
        </is>
      </c>
      <c r="D2324" t="inlineStr">
        <is>
          <t>C</t>
        </is>
      </c>
      <c r="E2324" t="inlineStr">
        <is>
          <t>rs1436162</t>
        </is>
      </c>
      <c r="F2324" t="n">
        <v>0.00697166932</v>
      </c>
      <c r="G2324" t="n">
        <v>0.6076471058478551</v>
      </c>
      <c r="H2324" t="n">
        <v>0.0240050263617113</v>
      </c>
      <c r="I2324" t="n">
        <v>0.0270573400093046</v>
      </c>
      <c r="J2324" t="n">
        <v>0.1197633795571939</v>
      </c>
      <c r="K2324" t="n">
        <v>0.5363247688803074</v>
      </c>
      <c r="L2324" t="b">
        <v>0</v>
      </c>
      <c r="M2324" t="b">
        <v>0</v>
      </c>
      <c r="N2324" t="inlineStr">
        <is>
          <t>alt</t>
        </is>
      </c>
      <c r="O2324" t="n">
        <v>100</v>
      </c>
      <c r="P2324" t="n">
        <v>0.009520000000000001</v>
      </c>
      <c r="Q2324" t="n">
        <v>95</v>
      </c>
      <c r="R2324" t="n">
        <v>0.06884999999999999</v>
      </c>
      <c r="S2324">
        <f>IMAGE("https://mitra.stanford.edu/kundaje/oak/projects/neuro-variants/variant_position/credible/roussos_2024/variant_figures/roussos_2024.adolescence.GLU/rs1436162_count_position.png",4,220,900)</f>
        <v/>
      </c>
      <c r="T2324">
        <f>IMAGE("https://mitra.stanford.edu/kundaje/oak/projects/neuro-variants/variant_position/credible/roussos_2024/variant_figures/roussos_2024.adolescence.GLU/rs1436162_profile_position.png",4,220,900)</f>
        <v/>
      </c>
    </row>
    <row r="2325">
      <c r="A2325" t="inlineStr">
        <is>
          <t>chr2</t>
        </is>
      </c>
      <c r="B2325" t="n">
        <v>200308897</v>
      </c>
      <c r="C2325" t="inlineStr">
        <is>
          <t>A</t>
        </is>
      </c>
      <c r="D2325" t="inlineStr">
        <is>
          <t>G</t>
        </is>
      </c>
      <c r="E2325" t="inlineStr">
        <is>
          <t>rs3769481</t>
        </is>
      </c>
      <c r="F2325" t="n">
        <v>-0.07937658</v>
      </c>
      <c r="G2325" t="n">
        <v>0.0244656598585064</v>
      </c>
      <c r="H2325" t="n">
        <v>0.0282994914457398</v>
      </c>
      <c r="I2325" t="n">
        <v>0.0176096173544494</v>
      </c>
      <c r="J2325" t="n">
        <v>0.2329125318816039</v>
      </c>
      <c r="K2325" t="n">
        <v>0.3538266397314057</v>
      </c>
      <c r="L2325" t="b">
        <v>1</v>
      </c>
      <c r="M2325" t="b">
        <v>0</v>
      </c>
      <c r="N2325" t="inlineStr">
        <is>
          <t>ref</t>
        </is>
      </c>
      <c r="O2325" t="n">
        <v>-85</v>
      </c>
      <c r="P2325" t="n">
        <v>0.006943</v>
      </c>
      <c r="Q2325" t="n">
        <v>100</v>
      </c>
      <c r="R2325" t="n">
        <v>0.1284</v>
      </c>
      <c r="S2325">
        <f>IMAGE("https://mitra.stanford.edu/kundaje/oak/projects/neuro-variants/variant_position/credible/roussos_2024/variant_figures/roussos_2024.adolescence.GLU/rs3769481_count_position.png",4,220,900)</f>
        <v/>
      </c>
      <c r="T2325">
        <f>IMAGE("https://mitra.stanford.edu/kundaje/oak/projects/neuro-variants/variant_position/credible/roussos_2024/variant_figures/roussos_2024.adolescence.GLU/rs3769481_profile_position.png",4,220,900)</f>
        <v/>
      </c>
    </row>
    <row r="2326">
      <c r="A2326" t="inlineStr">
        <is>
          <t>chr2</t>
        </is>
      </c>
      <c r="B2326" t="n">
        <v>200311348</v>
      </c>
      <c r="C2326" t="inlineStr">
        <is>
          <t>C</t>
        </is>
      </c>
      <c r="D2326" t="inlineStr">
        <is>
          <t>T</t>
        </is>
      </c>
      <c r="E2326" t="inlineStr">
        <is>
          <t>rs17592552</t>
        </is>
      </c>
      <c r="F2326" t="n">
        <v>-0.0382544836</v>
      </c>
      <c r="G2326" t="n">
        <v>0.1216249035818635</v>
      </c>
      <c r="H2326" t="n">
        <v>0.0112347189673276</v>
      </c>
      <c r="I2326" t="n">
        <v>0.4000257082206602</v>
      </c>
      <c r="J2326" t="n">
        <v>0.1781740503389987</v>
      </c>
      <c r="K2326" t="n">
        <v>0.4372122272991292</v>
      </c>
      <c r="L2326" t="b">
        <v>0</v>
      </c>
      <c r="M2326" t="b">
        <v>0</v>
      </c>
      <c r="N2326" t="inlineStr">
        <is>
          <t>ref</t>
        </is>
      </c>
      <c r="O2326" t="n">
        <v>-70</v>
      </c>
      <c r="P2326" t="n">
        <v>0.007286</v>
      </c>
      <c r="Q2326" t="n">
        <v>25</v>
      </c>
      <c r="R2326" t="n">
        <v>0.03247</v>
      </c>
      <c r="S2326">
        <f>IMAGE("https://mitra.stanford.edu/kundaje/oak/projects/neuro-variants/variant_position/credible/roussos_2024/variant_figures/roussos_2024.adolescence.GLU/rs17592552_count_position.png",4,220,900)</f>
        <v/>
      </c>
      <c r="T2326">
        <f>IMAGE("https://mitra.stanford.edu/kundaje/oak/projects/neuro-variants/variant_position/credible/roussos_2024/variant_figures/roussos_2024.adolescence.GLU/rs17592552_profile_position.png",4,220,900)</f>
        <v/>
      </c>
    </row>
    <row r="2327">
      <c r="A2327" t="inlineStr">
        <is>
          <t>chr2</t>
        </is>
      </c>
      <c r="B2327" t="n">
        <v>200317342</v>
      </c>
      <c r="C2327" t="inlineStr">
        <is>
          <t>C</t>
        </is>
      </c>
      <c r="D2327" t="inlineStr">
        <is>
          <t>T</t>
        </is>
      </c>
      <c r="E2327" t="inlineStr">
        <is>
          <t>rs67067836</t>
        </is>
      </c>
      <c r="F2327" t="n">
        <v>-0.0443791082</v>
      </c>
      <c r="G2327" t="n">
        <v>0.0890359311487879</v>
      </c>
      <c r="H2327" t="n">
        <v>0.0114661716085427</v>
      </c>
      <c r="I2327" t="n">
        <v>0.4067051132617117</v>
      </c>
      <c r="J2327" t="n">
        <v>0.1000135742403783</v>
      </c>
      <c r="K2327" t="n">
        <v>0.5756570968038948</v>
      </c>
      <c r="L2327" t="b">
        <v>0</v>
      </c>
      <c r="M2327" t="b">
        <v>0</v>
      </c>
      <c r="N2327" t="inlineStr">
        <is>
          <t>ref</t>
        </is>
      </c>
      <c r="O2327" t="n">
        <v>60</v>
      </c>
      <c r="P2327" t="n">
        <v>0.00351</v>
      </c>
      <c r="Q2327" t="n">
        <v>-50</v>
      </c>
      <c r="R2327" t="n">
        <v>0.01816</v>
      </c>
      <c r="S2327">
        <f>IMAGE("https://mitra.stanford.edu/kundaje/oak/projects/neuro-variants/variant_position/credible/roussos_2024/variant_figures/roussos_2024.adolescence.GLU/rs67067836_count_position.png",4,220,900)</f>
        <v/>
      </c>
      <c r="T2327">
        <f>IMAGE("https://mitra.stanford.edu/kundaje/oak/projects/neuro-variants/variant_position/credible/roussos_2024/variant_figures/roussos_2024.adolescence.GLU/rs67067836_profile_position.png",4,220,900)</f>
        <v/>
      </c>
    </row>
    <row r="2328">
      <c r="A2328" t="inlineStr">
        <is>
          <t>chr2</t>
        </is>
      </c>
      <c r="B2328" t="n">
        <v>200322935</v>
      </c>
      <c r="C2328" t="inlineStr">
        <is>
          <t>A</t>
        </is>
      </c>
      <c r="D2328" t="inlineStr">
        <is>
          <t>G</t>
        </is>
      </c>
      <c r="E2328" t="inlineStr">
        <is>
          <t>rs3769474</t>
        </is>
      </c>
      <c r="F2328" t="n">
        <v>0.001602542084</v>
      </c>
      <c r="G2328" t="n">
        <v>0.8685230079628029</v>
      </c>
      <c r="H2328" t="n">
        <v>0.0109452317568399</v>
      </c>
      <c r="I2328" t="n">
        <v>0.4298504559253308</v>
      </c>
      <c r="J2328" t="n">
        <v>0.0401668917132834</v>
      </c>
      <c r="K2328" t="n">
        <v>0.7391189334990822</v>
      </c>
      <c r="L2328" t="b">
        <v>0</v>
      </c>
      <c r="M2328" t="b">
        <v>0</v>
      </c>
      <c r="N2328" t="inlineStr">
        <is>
          <t>alt</t>
        </is>
      </c>
      <c r="O2328" t="n">
        <v>-30</v>
      </c>
      <c r="P2328" t="n">
        <v>0.005455</v>
      </c>
      <c r="Q2328" t="n">
        <v>-5</v>
      </c>
      <c r="R2328" t="n">
        <v>0.004456</v>
      </c>
      <c r="S2328">
        <f>IMAGE("https://mitra.stanford.edu/kundaje/oak/projects/neuro-variants/variant_position/credible/roussos_2024/variant_figures/roussos_2024.adolescence.GLU/rs3769474_count_position.png",4,220,900)</f>
        <v/>
      </c>
      <c r="T2328">
        <f>IMAGE("https://mitra.stanford.edu/kundaje/oak/projects/neuro-variants/variant_position/credible/roussos_2024/variant_figures/roussos_2024.adolescence.GLU/rs3769474_profile_position.png",4,220,900)</f>
        <v/>
      </c>
    </row>
    <row r="2329">
      <c r="A2329" t="inlineStr">
        <is>
          <t>chr2</t>
        </is>
      </c>
      <c r="B2329" t="n">
        <v>200362466</v>
      </c>
      <c r="C2329" t="inlineStr">
        <is>
          <t>A</t>
        </is>
      </c>
      <c r="D2329" t="inlineStr">
        <is>
          <t>G</t>
        </is>
      </c>
      <c r="E2329" t="inlineStr">
        <is>
          <t>rs295127</t>
        </is>
      </c>
      <c r="F2329" t="n">
        <v>-0.0129966645</v>
      </c>
      <c r="G2329" t="n">
        <v>0.4411303164182979</v>
      </c>
      <c r="H2329" t="n">
        <v>0.0190674106084058</v>
      </c>
      <c r="I2329" t="n">
        <v>0.0688166405954785</v>
      </c>
      <c r="J2329" t="n">
        <v>0.13651827878632</v>
      </c>
      <c r="K2329" t="n">
        <v>0.5050547662471855</v>
      </c>
      <c r="L2329" t="b">
        <v>0</v>
      </c>
      <c r="M2329" t="b">
        <v>0</v>
      </c>
      <c r="N2329" t="inlineStr">
        <is>
          <t>ref</t>
        </is>
      </c>
      <c r="O2329" t="n">
        <v>-90</v>
      </c>
      <c r="P2329" t="n">
        <v>0.01651</v>
      </c>
      <c r="Q2329" t="n">
        <v>-15</v>
      </c>
      <c r="R2329" t="n">
        <v>0.02252</v>
      </c>
      <c r="S2329">
        <f>IMAGE("https://mitra.stanford.edu/kundaje/oak/projects/neuro-variants/variant_position/credible/roussos_2024/variant_figures/roussos_2024.adolescence.GLU/rs295127_count_position.png",4,220,900)</f>
        <v/>
      </c>
      <c r="T2329">
        <f>IMAGE("https://mitra.stanford.edu/kundaje/oak/projects/neuro-variants/variant_position/credible/roussos_2024/variant_figures/roussos_2024.adolescence.GLU/rs295127_profile_position.png",4,220,900)</f>
        <v/>
      </c>
    </row>
    <row r="2330">
      <c r="A2330" t="inlineStr">
        <is>
          <t>chr2</t>
        </is>
      </c>
      <c r="B2330" t="n">
        <v>200364340</v>
      </c>
      <c r="C2330" t="inlineStr">
        <is>
          <t>G</t>
        </is>
      </c>
      <c r="D2330" t="inlineStr">
        <is>
          <t>A</t>
        </is>
      </c>
      <c r="E2330" t="inlineStr">
        <is>
          <t>rs78412932</t>
        </is>
      </c>
      <c r="F2330" t="n">
        <v>-0.0452011526</v>
      </c>
      <c r="G2330" t="n">
        <v>0.08210616429065561</v>
      </c>
      <c r="H2330" t="n">
        <v>0.0126837216304281</v>
      </c>
      <c r="I2330" t="n">
        <v>0.2926969357847918</v>
      </c>
      <c r="J2330" t="n">
        <v>0.2300833744132712</v>
      </c>
      <c r="K2330" t="n">
        <v>0.3592388764829334</v>
      </c>
      <c r="L2330" t="b">
        <v>0</v>
      </c>
      <c r="M2330" t="b">
        <v>0</v>
      </c>
      <c r="N2330" t="inlineStr">
        <is>
          <t>ref</t>
        </is>
      </c>
      <c r="O2330" t="n">
        <v>20</v>
      </c>
      <c r="P2330" t="n">
        <v>0.0004272</v>
      </c>
      <c r="Q2330" t="n">
        <v>60</v>
      </c>
      <c r="R2330" t="n">
        <v>0.02661</v>
      </c>
      <c r="S2330">
        <f>IMAGE("https://mitra.stanford.edu/kundaje/oak/projects/neuro-variants/variant_position/credible/roussos_2024/variant_figures/roussos_2024.adolescence.GLU/rs78412932_count_position.png",4,220,900)</f>
        <v/>
      </c>
      <c r="T2330">
        <f>IMAGE("https://mitra.stanford.edu/kundaje/oak/projects/neuro-variants/variant_position/credible/roussos_2024/variant_figures/roussos_2024.adolescence.GLU/rs78412932_profile_position.png",4,220,900)</f>
        <v/>
      </c>
    </row>
    <row r="2331">
      <c r="A2331" t="inlineStr">
        <is>
          <t>chr2</t>
        </is>
      </c>
      <c r="B2331" t="n">
        <v>200365261</v>
      </c>
      <c r="C2331" t="inlineStr">
        <is>
          <t>T</t>
        </is>
      </c>
      <c r="D2331" t="inlineStr">
        <is>
          <t>C</t>
        </is>
      </c>
      <c r="E2331" t="inlineStr">
        <is>
          <t>rs295130</t>
        </is>
      </c>
      <c r="F2331" t="n">
        <v>0.02007566732</v>
      </c>
      <c r="G2331" t="n">
        <v>0.3316982095837316</v>
      </c>
      <c r="H2331" t="n">
        <v>0.01874251731224</v>
      </c>
      <c r="I2331" t="n">
        <v>0.0726513073632931</v>
      </c>
      <c r="J2331" t="n">
        <v>0.0809153324617241</v>
      </c>
      <c r="K2331" t="n">
        <v>0.6182951601235692</v>
      </c>
      <c r="L2331" t="b">
        <v>0</v>
      </c>
      <c r="M2331" t="b">
        <v>0</v>
      </c>
      <c r="N2331" t="inlineStr">
        <is>
          <t>alt</t>
        </is>
      </c>
      <c r="O2331" t="n">
        <v>-30</v>
      </c>
      <c r="P2331" t="n">
        <v>0.004997</v>
      </c>
      <c r="Q2331" t="n">
        <v>85</v>
      </c>
      <c r="R2331" t="n">
        <v>0.04282</v>
      </c>
      <c r="S2331">
        <f>IMAGE("https://mitra.stanford.edu/kundaje/oak/projects/neuro-variants/variant_position/credible/roussos_2024/variant_figures/roussos_2024.adolescence.GLU/rs295130_count_position.png",4,220,900)</f>
        <v/>
      </c>
      <c r="T2331">
        <f>IMAGE("https://mitra.stanford.edu/kundaje/oak/projects/neuro-variants/variant_position/credible/roussos_2024/variant_figures/roussos_2024.adolescence.GLU/rs295130_profile_position.png",4,220,900)</f>
        <v/>
      </c>
    </row>
    <row r="2332">
      <c r="A2332" t="inlineStr">
        <is>
          <t>chr2</t>
        </is>
      </c>
      <c r="B2332" t="n">
        <v>200367999</v>
      </c>
      <c r="C2332" t="inlineStr">
        <is>
          <t>G</t>
        </is>
      </c>
      <c r="D2332" t="inlineStr">
        <is>
          <t>T</t>
        </is>
      </c>
      <c r="E2332" t="inlineStr">
        <is>
          <t>rs296789</t>
        </is>
      </c>
      <c r="F2332" t="n">
        <v>0.0066446693599999</v>
      </c>
      <c r="G2332" t="n">
        <v>0.6402789568834664</v>
      </c>
      <c r="H2332" t="n">
        <v>0.0232106568924361</v>
      </c>
      <c r="I2332" t="n">
        <v>0.028571870218791</v>
      </c>
      <c r="J2332" t="n">
        <v>0.041898679012081</v>
      </c>
      <c r="K2332" t="n">
        <v>0.7249036754696171</v>
      </c>
      <c r="L2332" t="b">
        <v>0</v>
      </c>
      <c r="M2332" t="b">
        <v>0</v>
      </c>
      <c r="N2332" t="inlineStr">
        <is>
          <t>alt</t>
        </is>
      </c>
      <c r="O2332" t="n">
        <v>100</v>
      </c>
      <c r="P2332" t="n">
        <v>0.00355</v>
      </c>
      <c r="Q2332" t="n">
        <v>95</v>
      </c>
      <c r="R2332" t="n">
        <v>0.082</v>
      </c>
      <c r="S2332">
        <f>IMAGE("https://mitra.stanford.edu/kundaje/oak/projects/neuro-variants/variant_position/credible/roussos_2024/variant_figures/roussos_2024.adolescence.GLU/rs296789_count_position.png",4,220,900)</f>
        <v/>
      </c>
      <c r="T2332">
        <f>IMAGE("https://mitra.stanford.edu/kundaje/oak/projects/neuro-variants/variant_position/credible/roussos_2024/variant_figures/roussos_2024.adolescence.GLU/rs296789_profile_position.png",4,220,900)</f>
        <v/>
      </c>
    </row>
    <row r="2333">
      <c r="A2333" t="inlineStr">
        <is>
          <t>chr2</t>
        </is>
      </c>
      <c r="B2333" t="n">
        <v>200369849</v>
      </c>
      <c r="C2333" t="inlineStr">
        <is>
          <t>T</t>
        </is>
      </c>
      <c r="D2333" t="inlineStr">
        <is>
          <t>G</t>
        </is>
      </c>
      <c r="E2333" t="inlineStr">
        <is>
          <t>rs3769459</t>
        </is>
      </c>
      <c r="F2333" t="n">
        <v>0.002834395214</v>
      </c>
      <c r="G2333" t="n">
        <v>0.6286476281858687</v>
      </c>
      <c r="H2333" t="n">
        <v>0.0204344824463448</v>
      </c>
      <c r="I2333" t="n">
        <v>0.05074250076157</v>
      </c>
      <c r="J2333" t="n">
        <v>0.0202256181637624</v>
      </c>
      <c r="K2333" t="n">
        <v>0.8207525089825771</v>
      </c>
      <c r="L2333" t="b">
        <v>0</v>
      </c>
      <c r="M2333" t="b">
        <v>0</v>
      </c>
      <c r="N2333" t="inlineStr">
        <is>
          <t>alt</t>
        </is>
      </c>
      <c r="O2333" t="n">
        <v>100</v>
      </c>
      <c r="P2333" t="n">
        <v>0.01337</v>
      </c>
      <c r="Q2333" t="n">
        <v>90</v>
      </c>
      <c r="R2333" t="n">
        <v>0.02415</v>
      </c>
      <c r="S2333">
        <f>IMAGE("https://mitra.stanford.edu/kundaje/oak/projects/neuro-variants/variant_position/credible/roussos_2024/variant_figures/roussos_2024.adolescence.GLU/rs3769459_count_position.png",4,220,900)</f>
        <v/>
      </c>
      <c r="T2333">
        <f>IMAGE("https://mitra.stanford.edu/kundaje/oak/projects/neuro-variants/variant_position/credible/roussos_2024/variant_figures/roussos_2024.adolescence.GLU/rs3769459_profile_position.png",4,220,900)</f>
        <v/>
      </c>
    </row>
    <row r="2334">
      <c r="A2334" t="inlineStr">
        <is>
          <t>chr2</t>
        </is>
      </c>
      <c r="B2334" t="n">
        <v>211421177</v>
      </c>
      <c r="C2334" t="inlineStr">
        <is>
          <t>G</t>
        </is>
      </c>
      <c r="D2334" t="inlineStr">
        <is>
          <t>A</t>
        </is>
      </c>
      <c r="E2334" t="inlineStr">
        <is>
          <t>rs3791705</t>
        </is>
      </c>
      <c r="F2334" t="n">
        <v>-0.00398200918</v>
      </c>
      <c r="G2334" t="n">
        <v>0.7593639132243271</v>
      </c>
      <c r="H2334" t="n">
        <v>0.0191398513904376</v>
      </c>
      <c r="I2334" t="n">
        <v>0.0686579515135643</v>
      </c>
      <c r="J2334" t="n">
        <v>0.0018203770781089</v>
      </c>
      <c r="K2334" t="n">
        <v>0.956129990033559</v>
      </c>
      <c r="L2334" t="b">
        <v>0</v>
      </c>
      <c r="M2334" t="b">
        <v>0</v>
      </c>
      <c r="N2334" t="inlineStr">
        <is>
          <t>ref</t>
        </is>
      </c>
      <c r="O2334" t="n">
        <v>-45</v>
      </c>
      <c r="P2334" t="n">
        <v>0.013336</v>
      </c>
      <c r="Q2334" t="n">
        <v>35</v>
      </c>
      <c r="R2334" t="n">
        <v>0.006027</v>
      </c>
      <c r="S2334">
        <f>IMAGE("https://mitra.stanford.edu/kundaje/oak/projects/neuro-variants/variant_position/credible/roussos_2024/variant_figures/roussos_2024.adolescence.GLU/rs3791705_count_position.png",4,220,900)</f>
        <v/>
      </c>
      <c r="T2334">
        <f>IMAGE("https://mitra.stanford.edu/kundaje/oak/projects/neuro-variants/variant_position/credible/roussos_2024/variant_figures/roussos_2024.adolescence.GLU/rs3791705_profile_position.png",4,220,900)</f>
        <v/>
      </c>
    </row>
    <row r="2335">
      <c r="A2335" t="inlineStr">
        <is>
          <t>chr2</t>
        </is>
      </c>
      <c r="B2335" t="n">
        <v>211436236</v>
      </c>
      <c r="C2335" t="inlineStr">
        <is>
          <t>A</t>
        </is>
      </c>
      <c r="D2335" t="inlineStr">
        <is>
          <t>G</t>
        </is>
      </c>
      <c r="E2335" t="inlineStr">
        <is>
          <t>rs6738323</t>
        </is>
      </c>
      <c r="F2335" t="n">
        <v>0.00681894784</v>
      </c>
      <c r="G2335" t="n">
        <v>0.6242761918546482</v>
      </c>
      <c r="H2335" t="n">
        <v>0.0139178214835583</v>
      </c>
      <c r="I2335" t="n">
        <v>0.21838332582249</v>
      </c>
      <c r="J2335" t="n">
        <v>0.0668324152860235</v>
      </c>
      <c r="K2335" t="n">
        <v>0.6544350960941989</v>
      </c>
      <c r="L2335" t="b">
        <v>0</v>
      </c>
      <c r="M2335" t="b">
        <v>0</v>
      </c>
      <c r="N2335" t="inlineStr">
        <is>
          <t>alt</t>
        </is>
      </c>
      <c r="O2335" t="n">
        <v>5</v>
      </c>
      <c r="P2335" t="n">
        <v>0.000702</v>
      </c>
      <c r="Q2335" t="n">
        <v>100</v>
      </c>
      <c r="R2335" t="n">
        <v>0.0363</v>
      </c>
      <c r="S2335">
        <f>IMAGE("https://mitra.stanford.edu/kundaje/oak/projects/neuro-variants/variant_position/credible/roussos_2024/variant_figures/roussos_2024.adolescence.GLU/rs6738323_count_position.png",4,220,900)</f>
        <v/>
      </c>
      <c r="T2335">
        <f>IMAGE("https://mitra.stanford.edu/kundaje/oak/projects/neuro-variants/variant_position/credible/roussos_2024/variant_figures/roussos_2024.adolescence.GLU/rs6738323_profile_position.png",4,220,900)</f>
        <v/>
      </c>
    </row>
    <row r="2336">
      <c r="A2336" t="inlineStr">
        <is>
          <t>chr2</t>
        </is>
      </c>
      <c r="B2336" t="n">
        <v>212537917</v>
      </c>
      <c r="C2336" t="inlineStr">
        <is>
          <t>G</t>
        </is>
      </c>
      <c r="D2336" t="inlineStr">
        <is>
          <t>C</t>
        </is>
      </c>
      <c r="E2336" t="inlineStr">
        <is>
          <t>rs1384292</t>
        </is>
      </c>
      <c r="F2336" t="n">
        <v>-0.1128327358</v>
      </c>
      <c r="G2336" t="n">
        <v>0.007472010499007</v>
      </c>
      <c r="H2336" t="n">
        <v>0.0347138857924783</v>
      </c>
      <c r="I2336" t="n">
        <v>0.007646283614788</v>
      </c>
      <c r="J2336" t="n">
        <v>0.7939987568853548</v>
      </c>
      <c r="K2336" t="n">
        <v>0.008069881879431201</v>
      </c>
      <c r="L2336" t="b">
        <v>1</v>
      </c>
      <c r="M2336" t="b">
        <v>1</v>
      </c>
      <c r="N2336" t="inlineStr">
        <is>
          <t>ref</t>
        </is>
      </c>
      <c r="O2336" t="n">
        <v>-95</v>
      </c>
      <c r="P2336" t="n">
        <v>0.01169</v>
      </c>
      <c r="Q2336" t="n">
        <v>25</v>
      </c>
      <c r="R2336" t="n">
        <v>0.0195</v>
      </c>
      <c r="S2336">
        <f>IMAGE("https://mitra.stanford.edu/kundaje/oak/projects/neuro-variants/variant_position/credible/roussos_2024/variant_figures/roussos_2024.adolescence.GLU/rs1384292_count_position.png",4,220,900)</f>
        <v/>
      </c>
      <c r="T2336">
        <f>IMAGE("https://mitra.stanford.edu/kundaje/oak/projects/neuro-variants/variant_position/credible/roussos_2024/variant_figures/roussos_2024.adolescence.GLU/rs1384292_profile_position.png",4,220,900)</f>
        <v/>
      </c>
    </row>
    <row r="2337">
      <c r="A2337" t="inlineStr">
        <is>
          <t>chr2</t>
        </is>
      </c>
      <c r="B2337" t="n">
        <v>212539248</v>
      </c>
      <c r="C2337" t="inlineStr">
        <is>
          <t>G</t>
        </is>
      </c>
      <c r="D2337" t="inlineStr">
        <is>
          <t>A</t>
        </is>
      </c>
      <c r="E2337" t="inlineStr">
        <is>
          <t>rs6735626</t>
        </is>
      </c>
      <c r="F2337" t="n">
        <v>-0.0366226954</v>
      </c>
      <c r="G2337" t="n">
        <v>0.134395389800312</v>
      </c>
      <c r="H2337" t="n">
        <v>0.0117455331254884</v>
      </c>
      <c r="I2337" t="n">
        <v>0.3485576712439364</v>
      </c>
      <c r="J2337" t="n">
        <v>0.8437762107865201</v>
      </c>
      <c r="K2337" t="n">
        <v>0.0058418474580056</v>
      </c>
      <c r="L2337" t="b">
        <v>0</v>
      </c>
      <c r="M2337" t="b">
        <v>0</v>
      </c>
      <c r="N2337" t="inlineStr">
        <is>
          <t>ref</t>
        </is>
      </c>
      <c r="O2337" t="n">
        <v>-25</v>
      </c>
      <c r="P2337" t="n">
        <v>0.0003662</v>
      </c>
      <c r="Q2337" t="n">
        <v>-35</v>
      </c>
      <c r="R2337" t="n">
        <v>0.0825</v>
      </c>
      <c r="S2337">
        <f>IMAGE("https://mitra.stanford.edu/kundaje/oak/projects/neuro-variants/variant_position/credible/roussos_2024/variant_figures/roussos_2024.adolescence.GLU/rs6735626_count_position.png",4,220,900)</f>
        <v/>
      </c>
      <c r="T2337">
        <f>IMAGE("https://mitra.stanford.edu/kundaje/oak/projects/neuro-variants/variant_position/credible/roussos_2024/variant_figures/roussos_2024.adolescence.GLU/rs6735626_profile_position.png",4,220,900)</f>
        <v/>
      </c>
    </row>
    <row r="2338">
      <c r="A2338" t="inlineStr">
        <is>
          <t>chr2</t>
        </is>
      </c>
      <c r="B2338" t="n">
        <v>212540110</v>
      </c>
      <c r="C2338" t="inlineStr">
        <is>
          <t>T</t>
        </is>
      </c>
      <c r="D2338" t="inlineStr">
        <is>
          <t>C</t>
        </is>
      </c>
      <c r="E2338" t="inlineStr">
        <is>
          <t>rs10182996</t>
        </is>
      </c>
      <c r="F2338" t="n">
        <v>0.0524896778</v>
      </c>
      <c r="G2338" t="n">
        <v>0.0534672082307366</v>
      </c>
      <c r="H2338" t="n">
        <v>0.008508819161612899</v>
      </c>
      <c r="I2338" t="n">
        <v>0.7252648797997959</v>
      </c>
      <c r="J2338" t="n">
        <v>0.4182523522729708</v>
      </c>
      <c r="K2338" t="n">
        <v>0.1510731455383143</v>
      </c>
      <c r="L2338" t="b">
        <v>0</v>
      </c>
      <c r="M2338" t="b">
        <v>0</v>
      </c>
      <c r="N2338" t="inlineStr">
        <is>
          <t>alt</t>
        </is>
      </c>
      <c r="O2338" t="n">
        <v>-100</v>
      </c>
      <c r="P2338" t="n">
        <v>0.012146</v>
      </c>
      <c r="Q2338" t="n">
        <v>80</v>
      </c>
      <c r="R2338" t="n">
        <v>0.0844</v>
      </c>
      <c r="S2338">
        <f>IMAGE("https://mitra.stanford.edu/kundaje/oak/projects/neuro-variants/variant_position/credible/roussos_2024/variant_figures/roussos_2024.adolescence.GLU/rs10182996_count_position.png",4,220,900)</f>
        <v/>
      </c>
      <c r="T2338">
        <f>IMAGE("https://mitra.stanford.edu/kundaje/oak/projects/neuro-variants/variant_position/credible/roussos_2024/variant_figures/roussos_2024.adolescence.GLU/rs10182996_profile_position.png",4,220,900)</f>
        <v/>
      </c>
    </row>
    <row r="2339">
      <c r="A2339" t="inlineStr">
        <is>
          <t>chr2</t>
        </is>
      </c>
      <c r="B2339" t="n">
        <v>212544613</v>
      </c>
      <c r="C2339" t="inlineStr">
        <is>
          <t>A</t>
        </is>
      </c>
      <c r="D2339" t="inlineStr">
        <is>
          <t>G</t>
        </is>
      </c>
      <c r="E2339" t="inlineStr">
        <is>
          <t>rs10207878</t>
        </is>
      </c>
      <c r="F2339" t="n">
        <v>-0.0251250144999999</v>
      </c>
      <c r="G2339" t="n">
        <v>0.2475171096796202</v>
      </c>
      <c r="H2339" t="n">
        <v>0.0150597742577077</v>
      </c>
      <c r="I2339" t="n">
        <v>0.1662206689452228</v>
      </c>
      <c r="J2339" t="n">
        <v>0.0150288273999614</v>
      </c>
      <c r="K2339" t="n">
        <v>0.8460319260340584</v>
      </c>
      <c r="L2339" t="b">
        <v>0</v>
      </c>
      <c r="M2339" t="b">
        <v>0</v>
      </c>
      <c r="N2339" t="inlineStr">
        <is>
          <t>ref</t>
        </is>
      </c>
      <c r="O2339" t="n">
        <v>-100</v>
      </c>
      <c r="P2339" t="n">
        <v>0.03766</v>
      </c>
      <c r="Q2339" t="n">
        <v>-100</v>
      </c>
      <c r="R2339" t="n">
        <v>0.008545000000000001</v>
      </c>
      <c r="S2339">
        <f>IMAGE("https://mitra.stanford.edu/kundaje/oak/projects/neuro-variants/variant_position/credible/roussos_2024/variant_figures/roussos_2024.adolescence.GLU/rs10207878_count_position.png",4,220,900)</f>
        <v/>
      </c>
      <c r="T2339">
        <f>IMAGE("https://mitra.stanford.edu/kundaje/oak/projects/neuro-variants/variant_position/credible/roussos_2024/variant_figures/roussos_2024.adolescence.GLU/rs10207878_profile_position.png",4,220,900)</f>
        <v/>
      </c>
    </row>
    <row r="2340">
      <c r="A2340" t="inlineStr">
        <is>
          <t>chr2</t>
        </is>
      </c>
      <c r="B2340" t="n">
        <v>224444261</v>
      </c>
      <c r="C2340" t="inlineStr">
        <is>
          <t>T</t>
        </is>
      </c>
      <c r="D2340" t="inlineStr">
        <is>
          <t>C</t>
        </is>
      </c>
      <c r="E2340" t="inlineStr">
        <is>
          <t>rs1523921</t>
        </is>
      </c>
      <c r="F2340" t="n">
        <v>0.0213104382</v>
      </c>
      <c r="G2340" t="n">
        <v>0.2869251036091846</v>
      </c>
      <c r="H2340" t="n">
        <v>0.0119080371834944</v>
      </c>
      <c r="I2340" t="n">
        <v>0.3416805108798348</v>
      </c>
      <c r="J2340" t="n">
        <v>0.4953383200805881</v>
      </c>
      <c r="K2340" t="n">
        <v>0.0920282819936329</v>
      </c>
      <c r="L2340" t="b">
        <v>0</v>
      </c>
      <c r="M2340" t="b">
        <v>0</v>
      </c>
      <c r="N2340" t="inlineStr">
        <is>
          <t>alt</t>
        </is>
      </c>
      <c r="O2340" t="n">
        <v>75</v>
      </c>
      <c r="P2340" t="n">
        <v>0.00537</v>
      </c>
      <c r="Q2340" t="n">
        <v>50</v>
      </c>
      <c r="R2340" t="n">
        <v>0.1013</v>
      </c>
      <c r="S2340">
        <f>IMAGE("https://mitra.stanford.edu/kundaje/oak/projects/neuro-variants/variant_position/credible/roussos_2024/variant_figures/roussos_2024.adolescence.GLU/rs1523921_count_position.png",4,220,900)</f>
        <v/>
      </c>
      <c r="T2340">
        <f>IMAGE("https://mitra.stanford.edu/kundaje/oak/projects/neuro-variants/variant_position/credible/roussos_2024/variant_figures/roussos_2024.adolescence.GLU/rs1523921_profile_position.png",4,220,900)</f>
        <v/>
      </c>
    </row>
    <row r="2341">
      <c r="A2341" t="inlineStr">
        <is>
          <t>chr2</t>
        </is>
      </c>
      <c r="B2341" t="n">
        <v>224470254</v>
      </c>
      <c r="C2341" t="inlineStr">
        <is>
          <t>T</t>
        </is>
      </c>
      <c r="D2341" t="inlineStr">
        <is>
          <t>C</t>
        </is>
      </c>
      <c r="E2341" t="inlineStr">
        <is>
          <t>rs12470077</t>
        </is>
      </c>
      <c r="F2341" t="n">
        <v>0.00372259642</v>
      </c>
      <c r="G2341" t="n">
        <v>0.7328930294966348</v>
      </c>
      <c r="H2341" t="n">
        <v>0.015405174721818</v>
      </c>
      <c r="I2341" t="n">
        <v>0.1451102851719922</v>
      </c>
      <c r="J2341" t="n">
        <v>0.1241628623071921</v>
      </c>
      <c r="K2341" t="n">
        <v>0.5227117730327597</v>
      </c>
      <c r="L2341" t="b">
        <v>0</v>
      </c>
      <c r="M2341" t="b">
        <v>0</v>
      </c>
      <c r="N2341" t="inlineStr">
        <is>
          <t>alt</t>
        </is>
      </c>
      <c r="O2341" t="n">
        <v>-100</v>
      </c>
      <c r="P2341" t="n">
        <v>0.00813</v>
      </c>
      <c r="Q2341" t="n">
        <v>90</v>
      </c>
      <c r="R2341" t="n">
        <v>0.0731</v>
      </c>
      <c r="S2341">
        <f>IMAGE("https://mitra.stanford.edu/kundaje/oak/projects/neuro-variants/variant_position/credible/roussos_2024/variant_figures/roussos_2024.adolescence.GLU/rs12470077_count_position.png",4,220,900)</f>
        <v/>
      </c>
      <c r="T2341">
        <f>IMAGE("https://mitra.stanford.edu/kundaje/oak/projects/neuro-variants/variant_position/credible/roussos_2024/variant_figures/roussos_2024.adolescence.GLU/rs12470077_profile_position.png",4,220,900)</f>
        <v/>
      </c>
    </row>
    <row r="2342">
      <c r="A2342" t="inlineStr">
        <is>
          <t>chr2</t>
        </is>
      </c>
      <c r="B2342" t="n">
        <v>224488932</v>
      </c>
      <c r="C2342" t="inlineStr">
        <is>
          <t>T</t>
        </is>
      </c>
      <c r="D2342" t="inlineStr">
        <is>
          <t>C</t>
        </is>
      </c>
      <c r="E2342" t="inlineStr">
        <is>
          <t>rs147137183</t>
        </is>
      </c>
      <c r="F2342" t="n">
        <v>-0.01263041092</v>
      </c>
      <c r="G2342" t="n">
        <v>0.4847686754297663</v>
      </c>
      <c r="H2342" t="n">
        <v>0.0146887090259423</v>
      </c>
      <c r="I2342" t="n">
        <v>0.1936942739552752</v>
      </c>
      <c r="J2342" t="n">
        <v>0.0795336176779475</v>
      </c>
      <c r="K2342" t="n">
        <v>0.6197428525080395</v>
      </c>
      <c r="L2342" t="b">
        <v>0</v>
      </c>
      <c r="M2342" t="b">
        <v>0</v>
      </c>
      <c r="N2342" t="inlineStr">
        <is>
          <t>ref</t>
        </is>
      </c>
      <c r="O2342" t="n">
        <v>10</v>
      </c>
      <c r="P2342" t="n">
        <v>0.000763</v>
      </c>
      <c r="Q2342" t="n">
        <v>15</v>
      </c>
      <c r="R2342" t="n">
        <v>0.008999999999999999</v>
      </c>
      <c r="S2342">
        <f>IMAGE("https://mitra.stanford.edu/kundaje/oak/projects/neuro-variants/variant_position/credible/roussos_2024/variant_figures/roussos_2024.adolescence.GLU/rs147137183_count_position.png",4,220,900)</f>
        <v/>
      </c>
      <c r="T2342">
        <f>IMAGE("https://mitra.stanford.edu/kundaje/oak/projects/neuro-variants/variant_position/credible/roussos_2024/variant_figures/roussos_2024.adolescence.GLU/rs147137183_profile_position.png",4,220,900)</f>
        <v/>
      </c>
    </row>
    <row r="2343">
      <c r="A2343" t="inlineStr">
        <is>
          <t>chr2</t>
        </is>
      </c>
      <c r="B2343" t="n">
        <v>224567753</v>
      </c>
      <c r="C2343" t="inlineStr">
        <is>
          <t>C</t>
        </is>
      </c>
      <c r="D2343" t="inlineStr">
        <is>
          <t>A</t>
        </is>
      </c>
      <c r="E2343" t="inlineStr">
        <is>
          <t>rs72974238</t>
        </is>
      </c>
      <c r="F2343" t="n">
        <v>0.000999367188</v>
      </c>
      <c r="G2343" t="n">
        <v>0.789228972515403</v>
      </c>
      <c r="H2343" t="n">
        <v>0.0235192101398846</v>
      </c>
      <c r="I2343" t="n">
        <v>0.0261662042284804</v>
      </c>
      <c r="J2343" t="n">
        <v>0.1235855998742596</v>
      </c>
      <c r="K2343" t="n">
        <v>0.5314571766239361</v>
      </c>
      <c r="L2343" t="b">
        <v>0</v>
      </c>
      <c r="M2343" t="b">
        <v>0</v>
      </c>
      <c r="N2343" t="inlineStr">
        <is>
          <t>alt</t>
        </is>
      </c>
      <c r="O2343" t="n">
        <v>-100</v>
      </c>
      <c r="P2343" t="n">
        <v>0.02422</v>
      </c>
      <c r="Q2343" t="n">
        <v>-100</v>
      </c>
      <c r="R2343" t="n">
        <v>0.0401</v>
      </c>
      <c r="S2343">
        <f>IMAGE("https://mitra.stanford.edu/kundaje/oak/projects/neuro-variants/variant_position/credible/roussos_2024/variant_figures/roussos_2024.adolescence.GLU/rs72974238_count_position.png",4,220,900)</f>
        <v/>
      </c>
      <c r="T2343">
        <f>IMAGE("https://mitra.stanford.edu/kundaje/oak/projects/neuro-variants/variant_position/credible/roussos_2024/variant_figures/roussos_2024.adolescence.GLU/rs72974238_profile_position.png",4,220,900)</f>
        <v/>
      </c>
    </row>
    <row r="2344">
      <c r="A2344" t="inlineStr">
        <is>
          <t>chr2</t>
        </is>
      </c>
      <c r="B2344" t="n">
        <v>224577415</v>
      </c>
      <c r="C2344" t="inlineStr">
        <is>
          <t>A</t>
        </is>
      </c>
      <c r="D2344" t="inlineStr">
        <is>
          <t>G</t>
        </is>
      </c>
      <c r="E2344" t="inlineStr">
        <is>
          <t>rs80236857</t>
        </is>
      </c>
      <c r="F2344" t="n">
        <v>-0.0012044487659999</v>
      </c>
      <c r="G2344" t="n">
        <v>0.8309419711984584</v>
      </c>
      <c r="H2344" t="n">
        <v>0.0247563199698726</v>
      </c>
      <c r="I2344" t="n">
        <v>0.0230128090376736</v>
      </c>
      <c r="J2344" t="n">
        <v>0.1246729679719369</v>
      </c>
      <c r="K2344" t="n">
        <v>0.5248331337258807</v>
      </c>
      <c r="L2344" t="b">
        <v>0</v>
      </c>
      <c r="M2344" t="b">
        <v>0</v>
      </c>
      <c r="N2344" t="inlineStr">
        <is>
          <t>ref</t>
        </is>
      </c>
      <c r="O2344" t="n">
        <v>80</v>
      </c>
      <c r="P2344" t="n">
        <v>0.02881</v>
      </c>
      <c r="Q2344" t="n">
        <v>10</v>
      </c>
      <c r="R2344" t="n">
        <v>0.0202</v>
      </c>
      <c r="S2344">
        <f>IMAGE("https://mitra.stanford.edu/kundaje/oak/projects/neuro-variants/variant_position/credible/roussos_2024/variant_figures/roussos_2024.adolescence.GLU/rs80236857_count_position.png",4,220,900)</f>
        <v/>
      </c>
      <c r="T2344">
        <f>IMAGE("https://mitra.stanford.edu/kundaje/oak/projects/neuro-variants/variant_position/credible/roussos_2024/variant_figures/roussos_2024.adolescence.GLU/rs80236857_profile_position.png",4,220,900)</f>
        <v/>
      </c>
    </row>
    <row r="2345">
      <c r="A2345" t="inlineStr">
        <is>
          <t>chr2</t>
        </is>
      </c>
      <c r="B2345" t="n">
        <v>227390758</v>
      </c>
      <c r="C2345" t="inlineStr">
        <is>
          <t>G</t>
        </is>
      </c>
      <c r="D2345" t="inlineStr">
        <is>
          <t>A</t>
        </is>
      </c>
      <c r="E2345" t="inlineStr">
        <is>
          <t>rs73090183</t>
        </is>
      </c>
      <c r="F2345" t="n">
        <v>-0.0677347548</v>
      </c>
      <c r="G2345" t="n">
        <v>0.0261143992907811</v>
      </c>
      <c r="H2345" t="n">
        <v>0.0117335184881032</v>
      </c>
      <c r="I2345" t="n">
        <v>0.3411949216415476</v>
      </c>
      <c r="J2345" t="n">
        <v>0.4594580305920512</v>
      </c>
      <c r="K2345" t="n">
        <v>0.1170853511268642</v>
      </c>
      <c r="L2345" t="b">
        <v>0</v>
      </c>
      <c r="M2345" t="b">
        <v>0</v>
      </c>
      <c r="N2345" t="inlineStr">
        <is>
          <t>ref</t>
        </is>
      </c>
      <c r="O2345" t="n">
        <v>-75</v>
      </c>
      <c r="P2345" t="n">
        <v>0.00409</v>
      </c>
      <c r="Q2345" t="n">
        <v>-5</v>
      </c>
      <c r="R2345" t="n">
        <v>0.03394</v>
      </c>
      <c r="S2345">
        <f>IMAGE("https://mitra.stanford.edu/kundaje/oak/projects/neuro-variants/variant_position/credible/roussos_2024/variant_figures/roussos_2024.adolescence.GLU/rs73090183_count_position.png",4,220,900)</f>
        <v/>
      </c>
      <c r="T2345">
        <f>IMAGE("https://mitra.stanford.edu/kundaje/oak/projects/neuro-variants/variant_position/credible/roussos_2024/variant_figures/roussos_2024.adolescence.GLU/rs73090183_profile_position.png",4,220,900)</f>
        <v/>
      </c>
    </row>
    <row r="2346">
      <c r="A2346" t="inlineStr">
        <is>
          <t>chr2</t>
        </is>
      </c>
      <c r="B2346" t="n">
        <v>227399077</v>
      </c>
      <c r="C2346" t="inlineStr">
        <is>
          <t>A</t>
        </is>
      </c>
      <c r="D2346" t="inlineStr">
        <is>
          <t>C</t>
        </is>
      </c>
      <c r="E2346" t="inlineStr">
        <is>
          <t>rs34376789</t>
        </is>
      </c>
      <c r="F2346" t="n">
        <v>0.0005841995</v>
      </c>
      <c r="G2346" t="n">
        <v>0.8120655805695519</v>
      </c>
      <c r="H2346" t="n">
        <v>0.0225205397335146</v>
      </c>
      <c r="I2346" t="n">
        <v>0.0324625540059128</v>
      </c>
      <c r="J2346" t="n">
        <v>0.07953218881053919</v>
      </c>
      <c r="K2346" t="n">
        <v>0.630469403090349</v>
      </c>
      <c r="L2346" t="b">
        <v>0</v>
      </c>
      <c r="M2346" t="b">
        <v>0</v>
      </c>
      <c r="N2346" t="inlineStr">
        <is>
          <t>alt</t>
        </is>
      </c>
      <c r="O2346" t="n">
        <v>30</v>
      </c>
      <c r="P2346" t="n">
        <v>0.008240000000000001</v>
      </c>
      <c r="Q2346" t="n">
        <v>-10</v>
      </c>
      <c r="R2346" t="n">
        <v>0.006393</v>
      </c>
      <c r="S2346">
        <f>IMAGE("https://mitra.stanford.edu/kundaje/oak/projects/neuro-variants/variant_position/credible/roussos_2024/variant_figures/roussos_2024.adolescence.GLU/rs34376789_count_position.png",4,220,900)</f>
        <v/>
      </c>
      <c r="T2346">
        <f>IMAGE("https://mitra.stanford.edu/kundaje/oak/projects/neuro-variants/variant_position/credible/roussos_2024/variant_figures/roussos_2024.adolescence.GLU/rs34376789_profile_position.png",4,220,900)</f>
        <v/>
      </c>
    </row>
    <row r="2347">
      <c r="A2347" t="inlineStr">
        <is>
          <t>chr2</t>
        </is>
      </c>
      <c r="B2347" t="n">
        <v>227401845</v>
      </c>
      <c r="C2347" t="inlineStr">
        <is>
          <t>C</t>
        </is>
      </c>
      <c r="D2347" t="inlineStr">
        <is>
          <t>T</t>
        </is>
      </c>
      <c r="E2347" t="inlineStr">
        <is>
          <t>rs11884034</t>
        </is>
      </c>
      <c r="F2347" t="n">
        <v>-0.021267682</v>
      </c>
      <c r="G2347" t="n">
        <v>0.2836027354140412</v>
      </c>
      <c r="H2347" t="n">
        <v>0.0102640518323317</v>
      </c>
      <c r="I2347" t="n">
        <v>0.5031124454825452</v>
      </c>
      <c r="J2347" t="n">
        <v>0.3681219681219681</v>
      </c>
      <c r="K2347" t="n">
        <v>0.1982291026383723</v>
      </c>
      <c r="L2347" t="b">
        <v>0</v>
      </c>
      <c r="M2347" t="b">
        <v>0</v>
      </c>
      <c r="N2347" t="inlineStr">
        <is>
          <t>ref</t>
        </is>
      </c>
      <c r="O2347" t="n">
        <v>95</v>
      </c>
      <c r="P2347" t="n">
        <v>0.03275</v>
      </c>
      <c r="Q2347" t="n">
        <v>95</v>
      </c>
      <c r="R2347" t="n">
        <v>0.103</v>
      </c>
      <c r="S2347">
        <f>IMAGE("https://mitra.stanford.edu/kundaje/oak/projects/neuro-variants/variant_position/credible/roussos_2024/variant_figures/roussos_2024.adolescence.GLU/rs11884034_count_position.png",4,220,900)</f>
        <v/>
      </c>
      <c r="T2347">
        <f>IMAGE("https://mitra.stanford.edu/kundaje/oak/projects/neuro-variants/variant_position/credible/roussos_2024/variant_figures/roussos_2024.adolescence.GLU/rs11884034_profile_position.png",4,220,900)</f>
        <v/>
      </c>
    </row>
    <row r="2348">
      <c r="A2348" t="inlineStr">
        <is>
          <t>chr2</t>
        </is>
      </c>
      <c r="B2348" t="n">
        <v>227402151</v>
      </c>
      <c r="C2348" t="inlineStr">
        <is>
          <t>C</t>
        </is>
      </c>
      <c r="D2348" t="inlineStr">
        <is>
          <t>T</t>
        </is>
      </c>
      <c r="E2348" t="inlineStr">
        <is>
          <t>rs55828602</t>
        </is>
      </c>
      <c r="F2348" t="n">
        <v>-0.0443582545999999</v>
      </c>
      <c r="G2348" t="n">
        <v>0.0918909309763881</v>
      </c>
      <c r="H2348" t="n">
        <v>0.0111370319283772</v>
      </c>
      <c r="I2348" t="n">
        <v>0.404802125058054</v>
      </c>
      <c r="J2348" t="n">
        <v>0.3682905744761414</v>
      </c>
      <c r="K2348" t="n">
        <v>0.1979414799327185</v>
      </c>
      <c r="L2348" t="b">
        <v>0</v>
      </c>
      <c r="M2348" t="b">
        <v>0</v>
      </c>
      <c r="N2348" t="inlineStr">
        <is>
          <t>ref</t>
        </is>
      </c>
      <c r="O2348" t="n">
        <v>-45</v>
      </c>
      <c r="P2348" t="n">
        <v>0.008880000000000001</v>
      </c>
      <c r="Q2348" t="n">
        <v>-100</v>
      </c>
      <c r="R2348" t="n">
        <v>0.09130000000000001</v>
      </c>
      <c r="S2348">
        <f>IMAGE("https://mitra.stanford.edu/kundaje/oak/projects/neuro-variants/variant_position/credible/roussos_2024/variant_figures/roussos_2024.adolescence.GLU/rs55828602_count_position.png",4,220,900)</f>
        <v/>
      </c>
      <c r="T2348">
        <f>IMAGE("https://mitra.stanford.edu/kundaje/oak/projects/neuro-variants/variant_position/credible/roussos_2024/variant_figures/roussos_2024.adolescence.GLU/rs55828602_profile_position.png",4,220,900)</f>
        <v/>
      </c>
    </row>
    <row r="2349">
      <c r="A2349" t="inlineStr">
        <is>
          <t>chr2</t>
        </is>
      </c>
      <c r="B2349" t="n">
        <v>227403944</v>
      </c>
      <c r="C2349" t="inlineStr">
        <is>
          <t>T</t>
        </is>
      </c>
      <c r="D2349" t="inlineStr">
        <is>
          <t>G</t>
        </is>
      </c>
      <c r="E2349" t="inlineStr">
        <is>
          <t>rs56161331</t>
        </is>
      </c>
      <c r="F2349" t="n">
        <v>-0.00620961742</v>
      </c>
      <c r="G2349" t="n">
        <v>0.6852669970291925</v>
      </c>
      <c r="H2349" t="n">
        <v>0.01762780148175</v>
      </c>
      <c r="I2349" t="n">
        <v>0.09106263941161399</v>
      </c>
      <c r="J2349" t="n">
        <v>0.3891406076973086</v>
      </c>
      <c r="K2349" t="n">
        <v>0.1765000462563409</v>
      </c>
      <c r="L2349" t="b">
        <v>0</v>
      </c>
      <c r="M2349" t="b">
        <v>0</v>
      </c>
      <c r="N2349" t="inlineStr">
        <is>
          <t>ref</t>
        </is>
      </c>
      <c r="O2349" t="n">
        <v>-40</v>
      </c>
      <c r="P2349" t="n">
        <v>0.001454</v>
      </c>
      <c r="Q2349" t="n">
        <v>100</v>
      </c>
      <c r="R2349" t="n">
        <v>0.121</v>
      </c>
      <c r="S2349">
        <f>IMAGE("https://mitra.stanford.edu/kundaje/oak/projects/neuro-variants/variant_position/credible/roussos_2024/variant_figures/roussos_2024.adolescence.GLU/rs56161331_count_position.png",4,220,900)</f>
        <v/>
      </c>
      <c r="T2349">
        <f>IMAGE("https://mitra.stanford.edu/kundaje/oak/projects/neuro-variants/variant_position/credible/roussos_2024/variant_figures/roussos_2024.adolescence.GLU/rs56161331_profile_position.png",4,220,900)</f>
        <v/>
      </c>
    </row>
    <row r="2350">
      <c r="A2350" t="inlineStr">
        <is>
          <t>chr2</t>
        </is>
      </c>
      <c r="B2350" t="n">
        <v>228111817</v>
      </c>
      <c r="C2350" t="inlineStr">
        <is>
          <t>C</t>
        </is>
      </c>
      <c r="D2350" t="inlineStr">
        <is>
          <t>T</t>
        </is>
      </c>
      <c r="E2350" t="inlineStr">
        <is>
          <t>rs12620112</t>
        </is>
      </c>
      <c r="F2350" t="n">
        <v>-0.09579682199999991</v>
      </c>
      <c r="G2350" t="n">
        <v>0.0090957830216546</v>
      </c>
      <c r="H2350" t="n">
        <v>0.0363280966321751</v>
      </c>
      <c r="I2350" t="n">
        <v>0.0043643870382355</v>
      </c>
      <c r="J2350" t="n">
        <v>0.0430331997342306</v>
      </c>
      <c r="K2350" t="n">
        <v>0.7292002590756101</v>
      </c>
      <c r="L2350" t="b">
        <v>1</v>
      </c>
      <c r="M2350" t="b">
        <v>1</v>
      </c>
      <c r="N2350" t="inlineStr">
        <is>
          <t>ref</t>
        </is>
      </c>
      <c r="O2350" t="n">
        <v>40</v>
      </c>
      <c r="P2350" t="n">
        <v>0.006363</v>
      </c>
      <c r="Q2350" t="n">
        <v>75</v>
      </c>
      <c r="R2350" t="n">
        <v>0.01917</v>
      </c>
      <c r="S2350">
        <f>IMAGE("https://mitra.stanford.edu/kundaje/oak/projects/neuro-variants/variant_position/credible/roussos_2024/variant_figures/roussos_2024.adolescence.GLU/rs12620112_count_position.png",4,220,900)</f>
        <v/>
      </c>
      <c r="T2350">
        <f>IMAGE("https://mitra.stanford.edu/kundaje/oak/projects/neuro-variants/variant_position/credible/roussos_2024/variant_figures/roussos_2024.adolescence.GLU/rs12620112_profile_position.png",4,220,900)</f>
        <v/>
      </c>
    </row>
    <row r="2351">
      <c r="A2351" t="inlineStr">
        <is>
          <t>chr2</t>
        </is>
      </c>
      <c r="B2351" t="n">
        <v>228111818</v>
      </c>
      <c r="C2351" t="inlineStr">
        <is>
          <t>A</t>
        </is>
      </c>
      <c r="D2351" t="inlineStr">
        <is>
          <t>G</t>
        </is>
      </c>
      <c r="E2351" t="inlineStr">
        <is>
          <t>rs12613751</t>
        </is>
      </c>
      <c r="F2351" t="n">
        <v>0.07089543280000001</v>
      </c>
      <c r="G2351" t="n">
        <v>0.0223581931206022</v>
      </c>
      <c r="H2351" t="n">
        <v>0.0161399568055636</v>
      </c>
      <c r="I2351" t="n">
        <v>0.1307124183688751</v>
      </c>
      <c r="J2351" t="n">
        <v>0.0608225989669288</v>
      </c>
      <c r="K2351" t="n">
        <v>0.6743105959421843</v>
      </c>
      <c r="L2351" t="b">
        <v>0</v>
      </c>
      <c r="M2351" t="b">
        <v>0</v>
      </c>
      <c r="N2351" t="inlineStr">
        <is>
          <t>alt</t>
        </is>
      </c>
      <c r="O2351" t="n">
        <v>70</v>
      </c>
      <c r="P2351" t="n">
        <v>0.01149</v>
      </c>
      <c r="Q2351" t="n">
        <v>70</v>
      </c>
      <c r="R2351" t="n">
        <v>0.0227</v>
      </c>
      <c r="S2351">
        <f>IMAGE("https://mitra.stanford.edu/kundaje/oak/projects/neuro-variants/variant_position/credible/roussos_2024/variant_figures/roussos_2024.adolescence.GLU/rs12613751_count_position.png",4,220,900)</f>
        <v/>
      </c>
      <c r="T2351">
        <f>IMAGE("https://mitra.stanford.edu/kundaje/oak/projects/neuro-variants/variant_position/credible/roussos_2024/variant_figures/roussos_2024.adolescence.GLU/rs12613751_profile_position.png",4,220,900)</f>
        <v/>
      </c>
    </row>
    <row r="2352">
      <c r="A2352" t="inlineStr">
        <is>
          <t>chr2</t>
        </is>
      </c>
      <c r="B2352" t="n">
        <v>228114794</v>
      </c>
      <c r="C2352" t="inlineStr">
        <is>
          <t>C</t>
        </is>
      </c>
      <c r="D2352" t="inlineStr">
        <is>
          <t>T</t>
        </is>
      </c>
      <c r="E2352" t="inlineStr">
        <is>
          <t>rs10933235</t>
        </is>
      </c>
      <c r="F2352" t="n">
        <v>-0.0046138791</v>
      </c>
      <c r="G2352" t="n">
        <v>0.6719515547517567</v>
      </c>
      <c r="H2352" t="n">
        <v>0.0116817137930461</v>
      </c>
      <c r="I2352" t="n">
        <v>0.3597024440540427</v>
      </c>
      <c r="J2352" t="n">
        <v>0.1113330618485257</v>
      </c>
      <c r="K2352" t="n">
        <v>0.5512701059284708</v>
      </c>
      <c r="L2352" t="b">
        <v>0</v>
      </c>
      <c r="M2352" t="b">
        <v>0</v>
      </c>
      <c r="N2352" t="inlineStr">
        <is>
          <t>ref</t>
        </is>
      </c>
      <c r="O2352" t="n">
        <v>-35</v>
      </c>
      <c r="P2352" t="n">
        <v>0.000328</v>
      </c>
      <c r="Q2352" t="n">
        <v>100</v>
      </c>
      <c r="R2352" t="n">
        <v>0.02734</v>
      </c>
      <c r="S2352">
        <f>IMAGE("https://mitra.stanford.edu/kundaje/oak/projects/neuro-variants/variant_position/credible/roussos_2024/variant_figures/roussos_2024.adolescence.GLU/rs10933235_count_position.png",4,220,900)</f>
        <v/>
      </c>
      <c r="T2352">
        <f>IMAGE("https://mitra.stanford.edu/kundaje/oak/projects/neuro-variants/variant_position/credible/roussos_2024/variant_figures/roussos_2024.adolescence.GLU/rs10933235_profile_position.png",4,220,900)</f>
        <v/>
      </c>
    </row>
    <row r="2353">
      <c r="A2353" t="inlineStr">
        <is>
          <t>chr2</t>
        </is>
      </c>
      <c r="B2353" t="n">
        <v>228115397</v>
      </c>
      <c r="C2353" t="inlineStr">
        <is>
          <t>T</t>
        </is>
      </c>
      <c r="D2353" t="inlineStr">
        <is>
          <t>G</t>
        </is>
      </c>
      <c r="E2353" t="inlineStr">
        <is>
          <t>rs10175063</t>
        </is>
      </c>
      <c r="F2353" t="n">
        <v>0.01049078038</v>
      </c>
      <c r="G2353" t="n">
        <v>0.501632099811581</v>
      </c>
      <c r="H2353" t="n">
        <v>0.0114796907313419</v>
      </c>
      <c r="I2353" t="n">
        <v>0.3703516539993676</v>
      </c>
      <c r="J2353" t="n">
        <v>0.0865965092769216</v>
      </c>
      <c r="K2353" t="n">
        <v>0.6058519530080856</v>
      </c>
      <c r="L2353" t="b">
        <v>0</v>
      </c>
      <c r="M2353" t="b">
        <v>0</v>
      </c>
      <c r="N2353" t="inlineStr">
        <is>
          <t>alt</t>
        </is>
      </c>
      <c r="O2353" t="n">
        <v>55</v>
      </c>
      <c r="P2353" t="n">
        <v>0.01797</v>
      </c>
      <c r="Q2353" t="n">
        <v>-5</v>
      </c>
      <c r="R2353" t="n">
        <v>0.002594</v>
      </c>
      <c r="S2353">
        <f>IMAGE("https://mitra.stanford.edu/kundaje/oak/projects/neuro-variants/variant_position/credible/roussos_2024/variant_figures/roussos_2024.adolescence.GLU/rs10175063_count_position.png",4,220,900)</f>
        <v/>
      </c>
      <c r="T2353">
        <f>IMAGE("https://mitra.stanford.edu/kundaje/oak/projects/neuro-variants/variant_position/credible/roussos_2024/variant_figures/roussos_2024.adolescence.GLU/rs10175063_profile_position.png",4,220,900)</f>
        <v/>
      </c>
    </row>
    <row r="2354">
      <c r="A2354" t="inlineStr">
        <is>
          <t>chr2</t>
        </is>
      </c>
      <c r="B2354" t="n">
        <v>228119268</v>
      </c>
      <c r="C2354" t="inlineStr">
        <is>
          <t>G</t>
        </is>
      </c>
      <c r="D2354" t="inlineStr">
        <is>
          <t>A</t>
        </is>
      </c>
      <c r="E2354" t="inlineStr">
        <is>
          <t>rs67681818</t>
        </is>
      </c>
      <c r="F2354" t="n">
        <v>0.0019020778</v>
      </c>
      <c r="G2354" t="n">
        <v>0.8524799101630032</v>
      </c>
      <c r="H2354" t="n">
        <v>0.0112639342328158</v>
      </c>
      <c r="I2354" t="n">
        <v>0.3989894583406177</v>
      </c>
      <c r="J2354" t="n">
        <v>0.1320030577762536</v>
      </c>
      <c r="K2354" t="n">
        <v>0.5076565473284683</v>
      </c>
      <c r="L2354" t="b">
        <v>0</v>
      </c>
      <c r="M2354" t="b">
        <v>0</v>
      </c>
      <c r="N2354" t="inlineStr">
        <is>
          <t>alt</t>
        </is>
      </c>
      <c r="O2354" t="n">
        <v>100</v>
      </c>
      <c r="P2354" t="n">
        <v>0.0081</v>
      </c>
      <c r="Q2354" t="n">
        <v>-85</v>
      </c>
      <c r="R2354" t="n">
        <v>0.10596</v>
      </c>
      <c r="S2354">
        <f>IMAGE("https://mitra.stanford.edu/kundaje/oak/projects/neuro-variants/variant_position/credible/roussos_2024/variant_figures/roussos_2024.adolescence.GLU/rs67681818_count_position.png",4,220,900)</f>
        <v/>
      </c>
      <c r="T2354">
        <f>IMAGE("https://mitra.stanford.edu/kundaje/oak/projects/neuro-variants/variant_position/credible/roussos_2024/variant_figures/roussos_2024.adolescence.GLU/rs67681818_profile_position.png",4,220,900)</f>
        <v/>
      </c>
    </row>
    <row r="2355">
      <c r="A2355" t="inlineStr">
        <is>
          <t>chr2</t>
        </is>
      </c>
      <c r="B2355" t="n">
        <v>228119928</v>
      </c>
      <c r="C2355" t="inlineStr">
        <is>
          <t>C</t>
        </is>
      </c>
      <c r="D2355" t="inlineStr">
        <is>
          <t>A</t>
        </is>
      </c>
      <c r="E2355" t="inlineStr">
        <is>
          <t>rs67890737</t>
        </is>
      </c>
      <c r="F2355" t="n">
        <v>0.0487838738</v>
      </c>
      <c r="G2355" t="n">
        <v>0.0985734858092885</v>
      </c>
      <c r="H2355" t="n">
        <v>0.0236135462149958</v>
      </c>
      <c r="I2355" t="n">
        <v>0.0694059941443336</v>
      </c>
      <c r="J2355" t="n">
        <v>0.0775503497152981</v>
      </c>
      <c r="K2355" t="n">
        <v>0.6226542528535316</v>
      </c>
      <c r="L2355" t="b">
        <v>0</v>
      </c>
      <c r="M2355" t="b">
        <v>0</v>
      </c>
      <c r="N2355" t="inlineStr">
        <is>
          <t>alt</t>
        </is>
      </c>
      <c r="O2355" t="n">
        <v>-95</v>
      </c>
      <c r="P2355" t="n">
        <v>0.0433</v>
      </c>
      <c r="Q2355" t="n">
        <v>-95</v>
      </c>
      <c r="R2355" t="n">
        <v>0.0437</v>
      </c>
      <c r="S2355">
        <f>IMAGE("https://mitra.stanford.edu/kundaje/oak/projects/neuro-variants/variant_position/credible/roussos_2024/variant_figures/roussos_2024.adolescence.GLU/rs67890737_count_position.png",4,220,900)</f>
        <v/>
      </c>
      <c r="T2355">
        <f>IMAGE("https://mitra.stanford.edu/kundaje/oak/projects/neuro-variants/variant_position/credible/roussos_2024/variant_figures/roussos_2024.adolescence.GLU/rs67890737_profile_position.png",4,220,900)</f>
        <v/>
      </c>
    </row>
    <row r="2356">
      <c r="A2356" t="inlineStr">
        <is>
          <t>chr2</t>
        </is>
      </c>
      <c r="B2356" t="n">
        <v>228122334</v>
      </c>
      <c r="C2356" t="inlineStr">
        <is>
          <t>A</t>
        </is>
      </c>
      <c r="D2356" t="inlineStr">
        <is>
          <t>G</t>
        </is>
      </c>
      <c r="E2356" t="inlineStr">
        <is>
          <t>rs10191681</t>
        </is>
      </c>
      <c r="F2356" t="n">
        <v>0.0473124231999999</v>
      </c>
      <c r="G2356" t="n">
        <v>0.0736166986972123</v>
      </c>
      <c r="H2356" t="n">
        <v>0.0142737224936726</v>
      </c>
      <c r="I2356" t="n">
        <v>0.2001109475065304</v>
      </c>
      <c r="J2356" t="n">
        <v>0.1798801180244479</v>
      </c>
      <c r="K2356" t="n">
        <v>0.4322105058524036</v>
      </c>
      <c r="L2356" t="b">
        <v>0</v>
      </c>
      <c r="M2356" t="b">
        <v>0</v>
      </c>
      <c r="N2356" t="inlineStr">
        <is>
          <t>alt</t>
        </is>
      </c>
      <c r="O2356" t="n">
        <v>-15</v>
      </c>
      <c r="P2356" t="n">
        <v>0.001343</v>
      </c>
      <c r="Q2356" t="n">
        <v>65</v>
      </c>
      <c r="R2356" t="n">
        <v>0.03268</v>
      </c>
      <c r="S2356">
        <f>IMAGE("https://mitra.stanford.edu/kundaje/oak/projects/neuro-variants/variant_position/credible/roussos_2024/variant_figures/roussos_2024.adolescence.GLU/rs10191681_count_position.png",4,220,900)</f>
        <v/>
      </c>
      <c r="T2356">
        <f>IMAGE("https://mitra.stanford.edu/kundaje/oak/projects/neuro-variants/variant_position/credible/roussos_2024/variant_figures/roussos_2024.adolescence.GLU/rs10191681_profile_position.png",4,220,900)</f>
        <v/>
      </c>
    </row>
    <row r="2357">
      <c r="A2357" t="inlineStr">
        <is>
          <t>chr2</t>
        </is>
      </c>
      <c r="B2357" t="n">
        <v>228125369</v>
      </c>
      <c r="C2357" t="inlineStr">
        <is>
          <t>T</t>
        </is>
      </c>
      <c r="D2357" t="inlineStr">
        <is>
          <t>C</t>
        </is>
      </c>
      <c r="E2357" t="inlineStr">
        <is>
          <t>rs12618505</t>
        </is>
      </c>
      <c r="F2357" t="n">
        <v>0.001599735412</v>
      </c>
      <c r="G2357" t="n">
        <v>0.7715788030208106</v>
      </c>
      <c r="H2357" t="n">
        <v>0.0319129715276812</v>
      </c>
      <c r="I2357" t="n">
        <v>0.0070747606837591</v>
      </c>
      <c r="J2357" t="n">
        <v>0.0531338634431417</v>
      </c>
      <c r="K2357" t="n">
        <v>0.6907442304842517</v>
      </c>
      <c r="L2357" t="b">
        <v>1</v>
      </c>
      <c r="M2357" t="b">
        <v>1</v>
      </c>
      <c r="N2357" t="inlineStr">
        <is>
          <t>alt</t>
        </is>
      </c>
      <c r="O2357" t="n">
        <v>-90</v>
      </c>
      <c r="P2357" t="n">
        <v>0.00432</v>
      </c>
      <c r="Q2357" t="n">
        <v>95</v>
      </c>
      <c r="R2357" t="n">
        <v>0.10095</v>
      </c>
      <c r="S2357">
        <f>IMAGE("https://mitra.stanford.edu/kundaje/oak/projects/neuro-variants/variant_position/credible/roussos_2024/variant_figures/roussos_2024.adolescence.GLU/rs12618505_count_position.png",4,220,900)</f>
        <v/>
      </c>
      <c r="T2357">
        <f>IMAGE("https://mitra.stanford.edu/kundaje/oak/projects/neuro-variants/variant_position/credible/roussos_2024/variant_figures/roussos_2024.adolescence.GLU/rs12618505_profile_position.png",4,220,900)</f>
        <v/>
      </c>
    </row>
    <row r="2358">
      <c r="A2358" t="inlineStr">
        <is>
          <t>chr2</t>
        </is>
      </c>
      <c r="B2358" t="n">
        <v>228125644</v>
      </c>
      <c r="C2358" t="inlineStr">
        <is>
          <t>T</t>
        </is>
      </c>
      <c r="D2358" t="inlineStr">
        <is>
          <t>C</t>
        </is>
      </c>
      <c r="E2358" t="inlineStr">
        <is>
          <t>rs4450589</t>
        </is>
      </c>
      <c r="F2358" t="n">
        <v>0.00570506492</v>
      </c>
      <c r="G2358" t="n">
        <v>0.6708175562139089</v>
      </c>
      <c r="H2358" t="n">
        <v>0.0231223272382231</v>
      </c>
      <c r="I2358" t="n">
        <v>0.0312098966082601</v>
      </c>
      <c r="J2358" t="n">
        <v>0.0282729994070199</v>
      </c>
      <c r="K2358" t="n">
        <v>0.7793653578406351</v>
      </c>
      <c r="L2358" t="b">
        <v>0</v>
      </c>
      <c r="M2358" t="b">
        <v>0</v>
      </c>
      <c r="N2358" t="inlineStr">
        <is>
          <t>alt</t>
        </is>
      </c>
      <c r="O2358" t="n">
        <v>5</v>
      </c>
      <c r="P2358" t="n">
        <v>0.000759</v>
      </c>
      <c r="Q2358" t="n">
        <v>-10</v>
      </c>
      <c r="R2358" t="n">
        <v>0.01926</v>
      </c>
      <c r="S2358">
        <f>IMAGE("https://mitra.stanford.edu/kundaje/oak/projects/neuro-variants/variant_position/credible/roussos_2024/variant_figures/roussos_2024.adolescence.GLU/rs4450589_count_position.png",4,220,900)</f>
        <v/>
      </c>
      <c r="T2358">
        <f>IMAGE("https://mitra.stanford.edu/kundaje/oak/projects/neuro-variants/variant_position/credible/roussos_2024/variant_figures/roussos_2024.adolescence.GLU/rs4450589_profile_position.png",4,220,900)</f>
        <v/>
      </c>
    </row>
    <row r="2359">
      <c r="A2359" t="inlineStr">
        <is>
          <t>chr2</t>
        </is>
      </c>
      <c r="B2359" t="n">
        <v>228127142</v>
      </c>
      <c r="C2359" t="inlineStr">
        <is>
          <t>G</t>
        </is>
      </c>
      <c r="D2359" t="inlineStr">
        <is>
          <t>A</t>
        </is>
      </c>
      <c r="E2359" t="inlineStr">
        <is>
          <t>rs10933236</t>
        </is>
      </c>
      <c r="F2359" t="n">
        <v>-0.004537974152</v>
      </c>
      <c r="G2359" t="n">
        <v>0.4689721437150951</v>
      </c>
      <c r="H2359" t="n">
        <v>0.008306460144925899</v>
      </c>
      <c r="I2359" t="n">
        <v>0.7493223394906001</v>
      </c>
      <c r="J2359" t="n">
        <v>0.0326453336762614</v>
      </c>
      <c r="K2359" t="n">
        <v>0.7629811138777339</v>
      </c>
      <c r="L2359" t="b">
        <v>0</v>
      </c>
      <c r="M2359" t="b">
        <v>0</v>
      </c>
      <c r="N2359" t="inlineStr">
        <is>
          <t>ref</t>
        </is>
      </c>
      <c r="O2359" t="n">
        <v>55</v>
      </c>
      <c r="P2359" t="n">
        <v>0.00575</v>
      </c>
      <c r="Q2359" t="n">
        <v>-5</v>
      </c>
      <c r="R2359" t="n">
        <v>0.006775</v>
      </c>
      <c r="S2359">
        <f>IMAGE("https://mitra.stanford.edu/kundaje/oak/projects/neuro-variants/variant_position/credible/roussos_2024/variant_figures/roussos_2024.adolescence.GLU/rs10933236_count_position.png",4,220,900)</f>
        <v/>
      </c>
      <c r="T2359">
        <f>IMAGE("https://mitra.stanford.edu/kundaje/oak/projects/neuro-variants/variant_position/credible/roussos_2024/variant_figures/roussos_2024.adolescence.GLU/rs10933236_profile_position.png",4,220,900)</f>
        <v/>
      </c>
    </row>
    <row r="2360">
      <c r="A2360" t="inlineStr">
        <is>
          <t>chr2</t>
        </is>
      </c>
      <c r="B2360" t="n">
        <v>228129701</v>
      </c>
      <c r="C2360" t="inlineStr">
        <is>
          <t>A</t>
        </is>
      </c>
      <c r="D2360" t="inlineStr">
        <is>
          <t>C</t>
        </is>
      </c>
      <c r="E2360" t="inlineStr">
        <is>
          <t>rs66499548</t>
        </is>
      </c>
      <c r="F2360" t="n">
        <v>0.00040532278</v>
      </c>
      <c r="G2360" t="n">
        <v>0.7478406135049438</v>
      </c>
      <c r="H2360" t="n">
        <v>0.0197418695675561</v>
      </c>
      <c r="I2360" t="n">
        <v>0.0615727859672805</v>
      </c>
      <c r="J2360" t="n">
        <v>0.013247029741875</v>
      </c>
      <c r="K2360" t="n">
        <v>0.8531839682484623</v>
      </c>
      <c r="L2360" t="b">
        <v>0</v>
      </c>
      <c r="M2360" t="b">
        <v>0</v>
      </c>
      <c r="N2360" t="inlineStr">
        <is>
          <t>alt</t>
        </is>
      </c>
      <c r="O2360" t="n">
        <v>15</v>
      </c>
      <c r="P2360" t="n">
        <v>0.0006104</v>
      </c>
      <c r="Q2360" t="n">
        <v>45</v>
      </c>
      <c r="R2360" t="n">
        <v>0.03357</v>
      </c>
      <c r="S2360">
        <f>IMAGE("https://mitra.stanford.edu/kundaje/oak/projects/neuro-variants/variant_position/credible/roussos_2024/variant_figures/roussos_2024.adolescence.GLU/rs66499548_count_position.png",4,220,900)</f>
        <v/>
      </c>
      <c r="T2360">
        <f>IMAGE("https://mitra.stanford.edu/kundaje/oak/projects/neuro-variants/variant_position/credible/roussos_2024/variant_figures/roussos_2024.adolescence.GLU/rs66499548_profile_position.png",4,220,900)</f>
        <v/>
      </c>
    </row>
    <row r="2361">
      <c r="A2361" t="inlineStr">
        <is>
          <t>chr2</t>
        </is>
      </c>
      <c r="B2361" t="n">
        <v>228129788</v>
      </c>
      <c r="C2361" t="inlineStr">
        <is>
          <t>T</t>
        </is>
      </c>
      <c r="D2361" t="inlineStr">
        <is>
          <t>C</t>
        </is>
      </c>
      <c r="E2361" t="inlineStr">
        <is>
          <t>rs13388454</t>
        </is>
      </c>
      <c r="F2361" t="n">
        <v>0.00412491282</v>
      </c>
      <c r="G2361" t="n">
        <v>0.7029280342542494</v>
      </c>
      <c r="H2361" t="n">
        <v>0.0138393419416668</v>
      </c>
      <c r="I2361" t="n">
        <v>0.2189762334778453</v>
      </c>
      <c r="J2361" t="n">
        <v>0.0132827514270813</v>
      </c>
      <c r="K2361" t="n">
        <v>0.8526816048158409</v>
      </c>
      <c r="L2361" t="b">
        <v>0</v>
      </c>
      <c r="M2361" t="b">
        <v>0</v>
      </c>
      <c r="N2361" t="inlineStr">
        <is>
          <t>alt</t>
        </is>
      </c>
      <c r="O2361" t="n">
        <v>-75</v>
      </c>
      <c r="P2361" t="n">
        <v>0.008970000000000001</v>
      </c>
      <c r="Q2361" t="n">
        <v>70</v>
      </c>
      <c r="R2361" t="n">
        <v>0.05743</v>
      </c>
      <c r="S2361">
        <f>IMAGE("https://mitra.stanford.edu/kundaje/oak/projects/neuro-variants/variant_position/credible/roussos_2024/variant_figures/roussos_2024.adolescence.GLU/rs13388454_count_position.png",4,220,900)</f>
        <v/>
      </c>
      <c r="T2361">
        <f>IMAGE("https://mitra.stanford.edu/kundaje/oak/projects/neuro-variants/variant_position/credible/roussos_2024/variant_figures/roussos_2024.adolescence.GLU/rs13388454_profile_position.png",4,220,900)</f>
        <v/>
      </c>
    </row>
    <row r="2362">
      <c r="A2362" t="inlineStr">
        <is>
          <t>chr2</t>
        </is>
      </c>
      <c r="B2362" t="n">
        <v>228130469</v>
      </c>
      <c r="C2362" t="inlineStr">
        <is>
          <t>A</t>
        </is>
      </c>
      <c r="D2362" t="inlineStr">
        <is>
          <t>G</t>
        </is>
      </c>
      <c r="E2362" t="inlineStr">
        <is>
          <t>rs4973071</t>
        </is>
      </c>
      <c r="F2362" t="n">
        <v>0.0045107887799999</v>
      </c>
      <c r="G2362" t="n">
        <v>0.7280602492917699</v>
      </c>
      <c r="H2362" t="n">
        <v>0.0140179279466024</v>
      </c>
      <c r="I2362" t="n">
        <v>0.1983307037706928</v>
      </c>
      <c r="J2362" t="n">
        <v>0.0038522265326388</v>
      </c>
      <c r="K2362" t="n">
        <v>0.9317960054639324</v>
      </c>
      <c r="L2362" t="b">
        <v>0</v>
      </c>
      <c r="M2362" t="b">
        <v>0</v>
      </c>
      <c r="N2362" t="inlineStr">
        <is>
          <t>alt</t>
        </is>
      </c>
      <c r="O2362" t="n">
        <v>95</v>
      </c>
      <c r="P2362" t="n">
        <v>0.008529999999999999</v>
      </c>
      <c r="Q2362" t="n">
        <v>-50</v>
      </c>
      <c r="R2362" t="n">
        <v>0.036</v>
      </c>
      <c r="S2362">
        <f>IMAGE("https://mitra.stanford.edu/kundaje/oak/projects/neuro-variants/variant_position/credible/roussos_2024/variant_figures/roussos_2024.adolescence.GLU/rs4973071_count_position.png",4,220,900)</f>
        <v/>
      </c>
      <c r="T2362">
        <f>IMAGE("https://mitra.stanford.edu/kundaje/oak/projects/neuro-variants/variant_position/credible/roussos_2024/variant_figures/roussos_2024.adolescence.GLU/rs4973071_profile_position.png",4,220,900)</f>
        <v/>
      </c>
    </row>
    <row r="2363">
      <c r="A2363" t="inlineStr">
        <is>
          <t>chr2</t>
        </is>
      </c>
      <c r="B2363" t="n">
        <v>228131708</v>
      </c>
      <c r="C2363" t="inlineStr">
        <is>
          <t>A</t>
        </is>
      </c>
      <c r="D2363" t="inlineStr">
        <is>
          <t>G</t>
        </is>
      </c>
      <c r="E2363" t="inlineStr">
        <is>
          <t>rs4246653</t>
        </is>
      </c>
      <c r="F2363" t="n">
        <v>0.0068570851999999</v>
      </c>
      <c r="G2363" t="n">
        <v>0.1865976220625374</v>
      </c>
      <c r="H2363" t="n">
        <v>0.0127089222783438</v>
      </c>
      <c r="I2363" t="n">
        <v>0.3028562934499459</v>
      </c>
      <c r="J2363" t="n">
        <v>0.1665116345528716</v>
      </c>
      <c r="K2363" t="n">
        <v>0.4381219170388387</v>
      </c>
      <c r="L2363" t="b">
        <v>0</v>
      </c>
      <c r="M2363" t="b">
        <v>0</v>
      </c>
      <c r="N2363" t="inlineStr">
        <is>
          <t>alt</t>
        </is>
      </c>
      <c r="O2363" t="n">
        <v>-15</v>
      </c>
      <c r="P2363" t="n">
        <v>0.000391</v>
      </c>
      <c r="Q2363" t="n">
        <v>-50</v>
      </c>
      <c r="R2363" t="n">
        <v>0.0524</v>
      </c>
      <c r="S2363">
        <f>IMAGE("https://mitra.stanford.edu/kundaje/oak/projects/neuro-variants/variant_position/credible/roussos_2024/variant_figures/roussos_2024.adolescence.GLU/rs4246653_count_position.png",4,220,900)</f>
        <v/>
      </c>
      <c r="T2363">
        <f>IMAGE("https://mitra.stanford.edu/kundaje/oak/projects/neuro-variants/variant_position/credible/roussos_2024/variant_figures/roussos_2024.adolescence.GLU/rs4246653_profile_position.png",4,220,900)</f>
        <v/>
      </c>
    </row>
    <row r="2364">
      <c r="A2364" t="inlineStr">
        <is>
          <t>chr2</t>
        </is>
      </c>
      <c r="B2364" t="n">
        <v>228134826</v>
      </c>
      <c r="C2364" t="inlineStr">
        <is>
          <t>T</t>
        </is>
      </c>
      <c r="D2364" t="inlineStr">
        <is>
          <t>C</t>
        </is>
      </c>
      <c r="E2364" t="inlineStr">
        <is>
          <t>rs6436754</t>
        </is>
      </c>
      <c r="F2364" t="n">
        <v>0.00413312653</v>
      </c>
      <c r="G2364" t="n">
        <v>0.7408664897346953</v>
      </c>
      <c r="H2364" t="n">
        <v>0.0058110280488955</v>
      </c>
      <c r="I2364" t="n">
        <v>0.9774743014484616</v>
      </c>
      <c r="J2364" t="n">
        <v>0.1711040144029834</v>
      </c>
      <c r="K2364" t="n">
        <v>0.4565640807007009</v>
      </c>
      <c r="L2364" t="b">
        <v>0</v>
      </c>
      <c r="M2364" t="b">
        <v>0</v>
      </c>
      <c r="N2364" t="inlineStr">
        <is>
          <t>alt</t>
        </is>
      </c>
      <c r="O2364" t="n">
        <v>-80</v>
      </c>
      <c r="P2364" t="n">
        <v>0.01959</v>
      </c>
      <c r="Q2364" t="n">
        <v>90</v>
      </c>
      <c r="R2364" t="n">
        <v>0.04465</v>
      </c>
      <c r="S2364">
        <f>IMAGE("https://mitra.stanford.edu/kundaje/oak/projects/neuro-variants/variant_position/credible/roussos_2024/variant_figures/roussos_2024.adolescence.GLU/rs6436754_count_position.png",4,220,900)</f>
        <v/>
      </c>
      <c r="T2364">
        <f>IMAGE("https://mitra.stanford.edu/kundaje/oak/projects/neuro-variants/variant_position/credible/roussos_2024/variant_figures/roussos_2024.adolescence.GLU/rs6436754_profile_position.png",4,220,900)</f>
        <v/>
      </c>
    </row>
    <row r="2365">
      <c r="A2365" t="inlineStr">
        <is>
          <t>chr2</t>
        </is>
      </c>
      <c r="B2365" t="n">
        <v>228138147</v>
      </c>
      <c r="C2365" t="inlineStr">
        <is>
          <t>C</t>
        </is>
      </c>
      <c r="D2365" t="inlineStr">
        <is>
          <t>T</t>
        </is>
      </c>
      <c r="E2365" t="inlineStr">
        <is>
          <t>rs4246655</t>
        </is>
      </c>
      <c r="F2365" t="n">
        <v>-0.07300497019999989</v>
      </c>
      <c r="G2365" t="n">
        <v>0.021848725810646</v>
      </c>
      <c r="H2365" t="n">
        <v>0.0126679487461265</v>
      </c>
      <c r="I2365" t="n">
        <v>0.2849474220642828</v>
      </c>
      <c r="J2365" t="n">
        <v>0.0702702702702702</v>
      </c>
      <c r="K2365" t="n">
        <v>0.6475640298458655</v>
      </c>
      <c r="L2365" t="b">
        <v>0</v>
      </c>
      <c r="M2365" t="b">
        <v>0</v>
      </c>
      <c r="N2365" t="inlineStr">
        <is>
          <t>ref</t>
        </is>
      </c>
      <c r="O2365" t="n">
        <v>100</v>
      </c>
      <c r="P2365" t="n">
        <v>0.003677</v>
      </c>
      <c r="Q2365" t="n">
        <v>60</v>
      </c>
      <c r="R2365" t="n">
        <v>0.03546</v>
      </c>
      <c r="S2365">
        <f>IMAGE("https://mitra.stanford.edu/kundaje/oak/projects/neuro-variants/variant_position/credible/roussos_2024/variant_figures/roussos_2024.adolescence.GLU/rs4246655_count_position.png",4,220,900)</f>
        <v/>
      </c>
      <c r="T2365">
        <f>IMAGE("https://mitra.stanford.edu/kundaje/oak/projects/neuro-variants/variant_position/credible/roussos_2024/variant_figures/roussos_2024.adolescence.GLU/rs4246655_profile_position.png",4,220,900)</f>
        <v/>
      </c>
    </row>
    <row r="2366">
      <c r="A2366" t="inlineStr">
        <is>
          <t>chr2</t>
        </is>
      </c>
      <c r="B2366" t="n">
        <v>228139166</v>
      </c>
      <c r="C2366" t="inlineStr">
        <is>
          <t>G</t>
        </is>
      </c>
      <c r="D2366" t="inlineStr">
        <is>
          <t>T</t>
        </is>
      </c>
      <c r="E2366" t="inlineStr">
        <is>
          <t>rs4321353</t>
        </is>
      </c>
      <c r="F2366" t="n">
        <v>0.0063632666</v>
      </c>
      <c r="G2366" t="n">
        <v>0.5625991105694802</v>
      </c>
      <c r="H2366" t="n">
        <v>0.0203529675402603</v>
      </c>
      <c r="I2366" t="n">
        <v>0.0545441817000025</v>
      </c>
      <c r="J2366" t="n">
        <v>0.0050281844096276</v>
      </c>
      <c r="K2366" t="n">
        <v>0.9229901073981448</v>
      </c>
      <c r="L2366" t="b">
        <v>0</v>
      </c>
      <c r="M2366" t="b">
        <v>0</v>
      </c>
      <c r="N2366" t="inlineStr">
        <is>
          <t>alt</t>
        </is>
      </c>
      <c r="O2366" t="n">
        <v>35</v>
      </c>
      <c r="P2366" t="n">
        <v>0.0007973</v>
      </c>
      <c r="Q2366" t="n">
        <v>35</v>
      </c>
      <c r="R2366" t="n">
        <v>0.010315</v>
      </c>
      <c r="S2366">
        <f>IMAGE("https://mitra.stanford.edu/kundaje/oak/projects/neuro-variants/variant_position/credible/roussos_2024/variant_figures/roussos_2024.adolescence.GLU/rs4321353_count_position.png",4,220,900)</f>
        <v/>
      </c>
      <c r="T2366">
        <f>IMAGE("https://mitra.stanford.edu/kundaje/oak/projects/neuro-variants/variant_position/credible/roussos_2024/variant_figures/roussos_2024.adolescence.GLU/rs4321353_profile_position.png",4,220,900)</f>
        <v/>
      </c>
    </row>
    <row r="2367">
      <c r="A2367" t="inlineStr">
        <is>
          <t>chr2</t>
        </is>
      </c>
      <c r="B2367" t="n">
        <v>229594594</v>
      </c>
      <c r="C2367" t="inlineStr">
        <is>
          <t>A</t>
        </is>
      </c>
      <c r="D2367" t="inlineStr">
        <is>
          <t>C</t>
        </is>
      </c>
      <c r="E2367" t="inlineStr">
        <is>
          <t>rs55784527</t>
        </is>
      </c>
      <c r="F2367" t="n">
        <v>-0.00318239434</v>
      </c>
      <c r="G2367" t="n">
        <v>0.6998187713312103</v>
      </c>
      <c r="H2367" t="n">
        <v>0.0332493032611536</v>
      </c>
      <c r="I2367" t="n">
        <v>0.0052871556693521</v>
      </c>
      <c r="J2367" t="n">
        <v>0.0552614470140242</v>
      </c>
      <c r="K2367" t="n">
        <v>0.6862594433318252</v>
      </c>
      <c r="L2367" t="b">
        <v>1</v>
      </c>
      <c r="M2367" t="b">
        <v>1</v>
      </c>
      <c r="N2367" t="inlineStr">
        <is>
          <t>ref</t>
        </is>
      </c>
      <c r="O2367" t="n">
        <v>-55</v>
      </c>
      <c r="P2367" t="n">
        <v>0.009094</v>
      </c>
      <c r="Q2367" t="n">
        <v>30</v>
      </c>
      <c r="R2367" t="n">
        <v>0.00928</v>
      </c>
      <c r="S2367">
        <f>IMAGE("https://mitra.stanford.edu/kundaje/oak/projects/neuro-variants/variant_position/credible/roussos_2024/variant_figures/roussos_2024.adolescence.GLU/rs55784527_count_position.png",4,220,900)</f>
        <v/>
      </c>
      <c r="T2367">
        <f>IMAGE("https://mitra.stanford.edu/kundaje/oak/projects/neuro-variants/variant_position/credible/roussos_2024/variant_figures/roussos_2024.adolescence.GLU/rs55784527_profile_position.png",4,220,900)</f>
        <v/>
      </c>
    </row>
    <row r="2368">
      <c r="A2368" t="inlineStr">
        <is>
          <t>chr2</t>
        </is>
      </c>
      <c r="B2368" t="n">
        <v>229732201</v>
      </c>
      <c r="C2368" t="inlineStr">
        <is>
          <t>A</t>
        </is>
      </c>
      <c r="D2368" t="inlineStr">
        <is>
          <t>T</t>
        </is>
      </c>
      <c r="E2368" t="inlineStr">
        <is>
          <t>rs62193248</t>
        </is>
      </c>
      <c r="F2368" t="n">
        <v>-0.01185633932</v>
      </c>
      <c r="G2368" t="n">
        <v>0.4958143015908395</v>
      </c>
      <c r="H2368" t="n">
        <v>0.0177643089382567</v>
      </c>
      <c r="I2368" t="n">
        <v>0.0936925438998317</v>
      </c>
      <c r="J2368" t="n">
        <v>0.3788799108386737</v>
      </c>
      <c r="K2368" t="n">
        <v>0.1876373581615962</v>
      </c>
      <c r="L2368" t="b">
        <v>0</v>
      </c>
      <c r="M2368" t="b">
        <v>0</v>
      </c>
      <c r="N2368" t="inlineStr">
        <is>
          <t>ref</t>
        </is>
      </c>
      <c r="O2368" t="n">
        <v>-15</v>
      </c>
      <c r="P2368" t="n">
        <v>0.001701</v>
      </c>
      <c r="Q2368" t="n">
        <v>70</v>
      </c>
      <c r="R2368" t="n">
        <v>0.04633</v>
      </c>
      <c r="S2368">
        <f>IMAGE("https://mitra.stanford.edu/kundaje/oak/projects/neuro-variants/variant_position/credible/roussos_2024/variant_figures/roussos_2024.adolescence.GLU/rs62193248_count_position.png",4,220,900)</f>
        <v/>
      </c>
      <c r="T2368">
        <f>IMAGE("https://mitra.stanford.edu/kundaje/oak/projects/neuro-variants/variant_position/credible/roussos_2024/variant_figures/roussos_2024.adolescence.GLU/rs62193248_profile_position.png",4,220,900)</f>
        <v/>
      </c>
    </row>
    <row r="2369">
      <c r="A2369" t="inlineStr">
        <is>
          <t>chr2</t>
        </is>
      </c>
      <c r="B2369" t="n">
        <v>229738161</v>
      </c>
      <c r="C2369" t="inlineStr">
        <is>
          <t>G</t>
        </is>
      </c>
      <c r="D2369" t="inlineStr">
        <is>
          <t>C</t>
        </is>
      </c>
      <c r="E2369" t="inlineStr">
        <is>
          <t>rs11886634</t>
        </is>
      </c>
      <c r="F2369" t="n">
        <v>0.0757613582</v>
      </c>
      <c r="G2369" t="n">
        <v>0.0204373691843249</v>
      </c>
      <c r="H2369" t="n">
        <v>0.0220718116265067</v>
      </c>
      <c r="I2369" t="n">
        <v>0.0462729151338122</v>
      </c>
      <c r="J2369" t="n">
        <v>0.0700302205456844</v>
      </c>
      <c r="K2369" t="n">
        <v>0.6412733545797673</v>
      </c>
      <c r="L2369" t="b">
        <v>0</v>
      </c>
      <c r="M2369" t="b">
        <v>0</v>
      </c>
      <c r="N2369" t="inlineStr">
        <is>
          <t>alt</t>
        </is>
      </c>
      <c r="O2369" t="n">
        <v>55</v>
      </c>
      <c r="P2369" t="n">
        <v>0.0077</v>
      </c>
      <c r="Q2369" t="n">
        <v>55</v>
      </c>
      <c r="R2369" t="n">
        <v>0.05402</v>
      </c>
      <c r="S2369">
        <f>IMAGE("https://mitra.stanford.edu/kundaje/oak/projects/neuro-variants/variant_position/credible/roussos_2024/variant_figures/roussos_2024.adolescence.GLU/rs11886634_count_position.png",4,220,900)</f>
        <v/>
      </c>
      <c r="T2369">
        <f>IMAGE("https://mitra.stanford.edu/kundaje/oak/projects/neuro-variants/variant_position/credible/roussos_2024/variant_figures/roussos_2024.adolescence.GLU/rs11886634_profile_position.png",4,220,900)</f>
        <v/>
      </c>
    </row>
    <row r="2370">
      <c r="A2370" t="inlineStr">
        <is>
          <t>chr2</t>
        </is>
      </c>
      <c r="B2370" t="n">
        <v>229750034</v>
      </c>
      <c r="C2370" t="inlineStr">
        <is>
          <t>A</t>
        </is>
      </c>
      <c r="D2370" t="inlineStr">
        <is>
          <t>G</t>
        </is>
      </c>
      <c r="E2370" t="inlineStr">
        <is>
          <t>rs11885896</t>
        </is>
      </c>
      <c r="F2370" t="n">
        <v>-0.0111966128799999</v>
      </c>
      <c r="G2370" t="n">
        <v>0.4948773360374609</v>
      </c>
      <c r="H2370" t="n">
        <v>0.0092568937030836</v>
      </c>
      <c r="I2370" t="n">
        <v>0.6355437600946112</v>
      </c>
      <c r="J2370" t="n">
        <v>0.12932964685542</v>
      </c>
      <c r="K2370" t="n">
        <v>0.5146590093892406</v>
      </c>
      <c r="L2370" t="b">
        <v>0</v>
      </c>
      <c r="M2370" t="b">
        <v>0</v>
      </c>
      <c r="N2370" t="inlineStr">
        <is>
          <t>ref</t>
        </is>
      </c>
      <c r="O2370" t="n">
        <v>95</v>
      </c>
      <c r="P2370" t="n">
        <v>0.08119999999999999</v>
      </c>
      <c r="Q2370" t="n">
        <v>-5</v>
      </c>
      <c r="R2370" t="n">
        <v>0.012695</v>
      </c>
      <c r="S2370">
        <f>IMAGE("https://mitra.stanford.edu/kundaje/oak/projects/neuro-variants/variant_position/credible/roussos_2024/variant_figures/roussos_2024.adolescence.GLU/rs11885896_count_position.png",4,220,900)</f>
        <v/>
      </c>
      <c r="T2370">
        <f>IMAGE("https://mitra.stanford.edu/kundaje/oak/projects/neuro-variants/variant_position/credible/roussos_2024/variant_figures/roussos_2024.adolescence.GLU/rs11885896_profile_position.png",4,220,900)</f>
        <v/>
      </c>
    </row>
    <row r="2371">
      <c r="A2371" t="inlineStr">
        <is>
          <t>chr2</t>
        </is>
      </c>
      <c r="B2371" t="n">
        <v>229753804</v>
      </c>
      <c r="C2371" t="inlineStr">
        <is>
          <t>A</t>
        </is>
      </c>
      <c r="D2371" t="inlineStr">
        <is>
          <t>G</t>
        </is>
      </c>
      <c r="E2371" t="inlineStr">
        <is>
          <t>rs62190392</t>
        </is>
      </c>
      <c r="F2371" t="n">
        <v>0.0274107229999999</v>
      </c>
      <c r="G2371" t="n">
        <v>0.1966966020845028</v>
      </c>
      <c r="H2371" t="n">
        <v>0.0106929015453679</v>
      </c>
      <c r="I2371" t="n">
        <v>0.4224581779317585</v>
      </c>
      <c r="J2371" t="n">
        <v>0.2947210493602246</v>
      </c>
      <c r="K2371" t="n">
        <v>0.2729637239781116</v>
      </c>
      <c r="L2371" t="b">
        <v>0</v>
      </c>
      <c r="M2371" t="b">
        <v>0</v>
      </c>
      <c r="N2371" t="inlineStr">
        <is>
          <t>alt</t>
        </is>
      </c>
      <c r="O2371" t="n">
        <v>-80</v>
      </c>
      <c r="P2371" t="n">
        <v>0.01984</v>
      </c>
      <c r="Q2371" t="n">
        <v>-100</v>
      </c>
      <c r="R2371" t="n">
        <v>0.2073</v>
      </c>
      <c r="S2371">
        <f>IMAGE("https://mitra.stanford.edu/kundaje/oak/projects/neuro-variants/variant_position/credible/roussos_2024/variant_figures/roussos_2024.adolescence.GLU/rs62190392_count_position.png",4,220,900)</f>
        <v/>
      </c>
      <c r="T2371">
        <f>IMAGE("https://mitra.stanford.edu/kundaje/oak/projects/neuro-variants/variant_position/credible/roussos_2024/variant_figures/roussos_2024.adolescence.GLU/rs62190392_profile_position.png",4,220,900)</f>
        <v/>
      </c>
    </row>
    <row r="2372">
      <c r="A2372" t="inlineStr">
        <is>
          <t>chr2</t>
        </is>
      </c>
      <c r="B2372" t="n">
        <v>229786402</v>
      </c>
      <c r="C2372" t="inlineStr">
        <is>
          <t>T</t>
        </is>
      </c>
      <c r="D2372" t="inlineStr">
        <is>
          <t>G</t>
        </is>
      </c>
      <c r="E2372" t="inlineStr">
        <is>
          <t>rs370430952</t>
        </is>
      </c>
      <c r="F2372" t="n">
        <v>-0.009020530319999999</v>
      </c>
      <c r="G2372" t="n">
        <v>0.4275151499041426</v>
      </c>
      <c r="H2372" t="n">
        <v>0.0325071141642572</v>
      </c>
      <c r="I2372" t="n">
        <v>0.0069533607190302</v>
      </c>
      <c r="J2372" t="n">
        <v>0.1314986675811417</v>
      </c>
      <c r="K2372" t="n">
        <v>0.5110399697766672</v>
      </c>
      <c r="L2372" t="b">
        <v>1</v>
      </c>
      <c r="M2372" t="b">
        <v>1</v>
      </c>
      <c r="N2372" t="inlineStr">
        <is>
          <t>ref</t>
        </is>
      </c>
      <c r="O2372" t="n">
        <v>90</v>
      </c>
      <c r="P2372" t="n">
        <v>0.0936</v>
      </c>
      <c r="Q2372" t="n">
        <v>60</v>
      </c>
      <c r="R2372" t="n">
        <v>0.0589</v>
      </c>
      <c r="S2372">
        <f>IMAGE("https://mitra.stanford.edu/kundaje/oak/projects/neuro-variants/variant_position/credible/roussos_2024/variant_figures/roussos_2024.adolescence.GLU/rs370430952_count_position.png",4,220,900)</f>
        <v/>
      </c>
      <c r="T2372">
        <f>IMAGE("https://mitra.stanford.edu/kundaje/oak/projects/neuro-variants/variant_position/credible/roussos_2024/variant_figures/roussos_2024.adolescence.GLU/rs370430952_profile_position.png",4,220,900)</f>
        <v/>
      </c>
    </row>
    <row r="2373">
      <c r="A2373" t="inlineStr">
        <is>
          <t>chr2</t>
        </is>
      </c>
      <c r="B2373" t="n">
        <v>229800587</v>
      </c>
      <c r="C2373" t="inlineStr">
        <is>
          <t>T</t>
        </is>
      </c>
      <c r="D2373" t="inlineStr">
        <is>
          <t>C</t>
        </is>
      </c>
      <c r="E2373" t="inlineStr">
        <is>
          <t>rs7592697</t>
        </is>
      </c>
      <c r="F2373" t="n">
        <v>0.0015139498799999</v>
      </c>
      <c r="G2373" t="n">
        <v>0.8051134427558029</v>
      </c>
      <c r="H2373" t="n">
        <v>0.0224401150322086</v>
      </c>
      <c r="I2373" t="n">
        <v>0.0390752485680802</v>
      </c>
      <c r="J2373" t="n">
        <v>0.0811968193411492</v>
      </c>
      <c r="K2373" t="n">
        <v>0.6088999865690637</v>
      </c>
      <c r="L2373" t="b">
        <v>0</v>
      </c>
      <c r="M2373" t="b">
        <v>0</v>
      </c>
      <c r="N2373" t="inlineStr">
        <is>
          <t>alt</t>
        </is>
      </c>
      <c r="O2373" t="n">
        <v>-25</v>
      </c>
      <c r="P2373" t="n">
        <v>0.001022</v>
      </c>
      <c r="Q2373" t="n">
        <v>100</v>
      </c>
      <c r="R2373" t="n">
        <v>0.0512</v>
      </c>
      <c r="S2373">
        <f>IMAGE("https://mitra.stanford.edu/kundaje/oak/projects/neuro-variants/variant_position/credible/roussos_2024/variant_figures/roussos_2024.adolescence.GLU/rs7592697_count_position.png",4,220,900)</f>
        <v/>
      </c>
      <c r="T2373">
        <f>IMAGE("https://mitra.stanford.edu/kundaje/oak/projects/neuro-variants/variant_position/credible/roussos_2024/variant_figures/roussos_2024.adolescence.GLU/rs7592697_profile_position.png",4,220,900)</f>
        <v/>
      </c>
    </row>
    <row r="2374">
      <c r="A2374" t="inlineStr">
        <is>
          <t>chr2</t>
        </is>
      </c>
      <c r="B2374" t="n">
        <v>229803073</v>
      </c>
      <c r="C2374" t="inlineStr">
        <is>
          <t>C</t>
        </is>
      </c>
      <c r="D2374" t="inlineStr">
        <is>
          <t>G</t>
        </is>
      </c>
      <c r="E2374" t="inlineStr">
        <is>
          <t>rs13035379</t>
        </is>
      </c>
      <c r="F2374" t="n">
        <v>-0.0231452804</v>
      </c>
      <c r="G2374" t="n">
        <v>0.2571634909103941</v>
      </c>
      <c r="H2374" t="n">
        <v>0.0146441096589698</v>
      </c>
      <c r="I2374" t="n">
        <v>0.187250207613972</v>
      </c>
      <c r="J2374" t="n">
        <v>0.0663037343449714</v>
      </c>
      <c r="K2374" t="n">
        <v>0.6504662101594225</v>
      </c>
      <c r="L2374" t="b">
        <v>0</v>
      </c>
      <c r="M2374" t="b">
        <v>0</v>
      </c>
      <c r="N2374" t="inlineStr">
        <is>
          <t>ref</t>
        </is>
      </c>
      <c r="O2374" t="n">
        <v>-50</v>
      </c>
      <c r="P2374" t="n">
        <v>0.002731</v>
      </c>
      <c r="Q2374" t="n">
        <v>45</v>
      </c>
      <c r="R2374" t="n">
        <v>0.05423</v>
      </c>
      <c r="S2374">
        <f>IMAGE("https://mitra.stanford.edu/kundaje/oak/projects/neuro-variants/variant_position/credible/roussos_2024/variant_figures/roussos_2024.adolescence.GLU/rs13035379_count_position.png",4,220,900)</f>
        <v/>
      </c>
      <c r="T2374">
        <f>IMAGE("https://mitra.stanford.edu/kundaje/oak/projects/neuro-variants/variant_position/credible/roussos_2024/variant_figures/roussos_2024.adolescence.GLU/rs13035379_profile_position.png",4,220,900)</f>
        <v/>
      </c>
    </row>
    <row r="2375">
      <c r="A2375" t="inlineStr">
        <is>
          <t>chr2</t>
        </is>
      </c>
      <c r="B2375" t="n">
        <v>229893844</v>
      </c>
      <c r="C2375" t="inlineStr">
        <is>
          <t>A</t>
        </is>
      </c>
      <c r="D2375" t="inlineStr">
        <is>
          <t>G</t>
        </is>
      </c>
      <c r="E2375" t="inlineStr">
        <is>
          <t>rs6749080</t>
        </is>
      </c>
      <c r="F2375" t="n">
        <v>0.0212963232</v>
      </c>
      <c r="G2375" t="n">
        <v>0.2683033694129108</v>
      </c>
      <c r="H2375" t="n">
        <v>0.0124362015516193</v>
      </c>
      <c r="I2375" t="n">
        <v>0.3010065232850632</v>
      </c>
      <c r="J2375" t="n">
        <v>0.1653756849633137</v>
      </c>
      <c r="K2375" t="n">
        <v>0.4530033523422829</v>
      </c>
      <c r="L2375" t="b">
        <v>0</v>
      </c>
      <c r="M2375" t="b">
        <v>0</v>
      </c>
      <c r="N2375" t="inlineStr">
        <is>
          <t>alt</t>
        </is>
      </c>
      <c r="O2375" t="n">
        <v>-75</v>
      </c>
      <c r="P2375" t="n">
        <v>0.003813</v>
      </c>
      <c r="Q2375" t="n">
        <v>-10</v>
      </c>
      <c r="R2375" t="n">
        <v>0.0001221</v>
      </c>
      <c r="S2375">
        <f>IMAGE("https://mitra.stanford.edu/kundaje/oak/projects/neuro-variants/variant_position/credible/roussos_2024/variant_figures/roussos_2024.adolescence.GLU/rs6749080_count_position.png",4,220,900)</f>
        <v/>
      </c>
      <c r="T2375">
        <f>IMAGE("https://mitra.stanford.edu/kundaje/oak/projects/neuro-variants/variant_position/credible/roussos_2024/variant_figures/roussos_2024.adolescence.GLU/rs6749080_profile_position.png",4,220,900)</f>
        <v/>
      </c>
    </row>
    <row r="2376">
      <c r="A2376" t="inlineStr">
        <is>
          <t>chr2</t>
        </is>
      </c>
      <c r="B2376" t="n">
        <v>232727777</v>
      </c>
      <c r="C2376" t="inlineStr">
        <is>
          <t>G</t>
        </is>
      </c>
      <c r="D2376" t="inlineStr">
        <is>
          <t>A</t>
        </is>
      </c>
      <c r="E2376" t="inlineStr">
        <is>
          <t>rs6704763</t>
        </is>
      </c>
      <c r="F2376" t="n">
        <v>-0.022846525526</v>
      </c>
      <c r="G2376" t="n">
        <v>0.2772660676598968</v>
      </c>
      <c r="H2376" t="n">
        <v>0.0141061384702752</v>
      </c>
      <c r="I2376" t="n">
        <v>0.1977495030677304</v>
      </c>
      <c r="J2376" t="n">
        <v>0.1759778811325202</v>
      </c>
      <c r="K2376" t="n">
        <v>0.4390596048808592</v>
      </c>
      <c r="L2376" t="b">
        <v>0</v>
      </c>
      <c r="M2376" t="b">
        <v>0</v>
      </c>
      <c r="N2376" t="inlineStr">
        <is>
          <t>ref</t>
        </is>
      </c>
      <c r="O2376" t="n">
        <v>90</v>
      </c>
      <c r="P2376" t="n">
        <v>0.0157</v>
      </c>
      <c r="Q2376" t="n">
        <v>90</v>
      </c>
      <c r="R2376" t="n">
        <v>0.04114</v>
      </c>
      <c r="S2376">
        <f>IMAGE("https://mitra.stanford.edu/kundaje/oak/projects/neuro-variants/variant_position/credible/roussos_2024/variant_figures/roussos_2024.adolescence.GLU/rs6704763_count_position.png",4,220,900)</f>
        <v/>
      </c>
      <c r="T2376">
        <f>IMAGE("https://mitra.stanford.edu/kundaje/oak/projects/neuro-variants/variant_position/credible/roussos_2024/variant_figures/roussos_2024.adolescence.GLU/rs6704763_profile_position.png",4,220,900)</f>
        <v/>
      </c>
    </row>
    <row r="2377">
      <c r="A2377" t="inlineStr">
        <is>
          <t>chr2</t>
        </is>
      </c>
      <c r="B2377" t="n">
        <v>232730453</v>
      </c>
      <c r="C2377" t="inlineStr">
        <is>
          <t>C</t>
        </is>
      </c>
      <c r="D2377" t="inlineStr">
        <is>
          <t>A</t>
        </is>
      </c>
      <c r="E2377" t="inlineStr">
        <is>
          <t>rs6716488</t>
        </is>
      </c>
      <c r="F2377" t="n">
        <v>0.00619098676</v>
      </c>
      <c r="G2377" t="n">
        <v>0.6483999650429296</v>
      </c>
      <c r="H2377" t="n">
        <v>0.0255597726412751</v>
      </c>
      <c r="I2377" t="n">
        <v>0.0190006507491822</v>
      </c>
      <c r="J2377" t="n">
        <v>0.236937651370641</v>
      </c>
      <c r="K2377" t="n">
        <v>0.3519378091743916</v>
      </c>
      <c r="L2377" t="b">
        <v>1</v>
      </c>
      <c r="M2377" t="b">
        <v>0</v>
      </c>
      <c r="N2377" t="inlineStr">
        <is>
          <t>alt</t>
        </is>
      </c>
      <c r="O2377" t="n">
        <v>55</v>
      </c>
      <c r="P2377" t="n">
        <v>0.00734</v>
      </c>
      <c r="Q2377" t="n">
        <v>95</v>
      </c>
      <c r="R2377" t="n">
        <v>0.105</v>
      </c>
      <c r="S2377">
        <f>IMAGE("https://mitra.stanford.edu/kundaje/oak/projects/neuro-variants/variant_position/credible/roussos_2024/variant_figures/roussos_2024.adolescence.GLU/rs6716488_count_position.png",4,220,900)</f>
        <v/>
      </c>
      <c r="T2377">
        <f>IMAGE("https://mitra.stanford.edu/kundaje/oak/projects/neuro-variants/variant_position/credible/roussos_2024/variant_figures/roussos_2024.adolescence.GLU/rs6716488_profile_position.png",4,220,900)</f>
        <v/>
      </c>
    </row>
    <row r="2378">
      <c r="A2378" t="inlineStr">
        <is>
          <t>chr2</t>
        </is>
      </c>
      <c r="B2378" t="n">
        <v>232769842</v>
      </c>
      <c r="C2378" t="inlineStr">
        <is>
          <t>T</t>
        </is>
      </c>
      <c r="D2378" t="inlineStr">
        <is>
          <t>C</t>
        </is>
      </c>
      <c r="E2378" t="inlineStr">
        <is>
          <t>rs2293782</t>
        </is>
      </c>
      <c r="F2378" t="n">
        <v>0.0038227184739999</v>
      </c>
      <c r="G2378" t="n">
        <v>0.7533857425493852</v>
      </c>
      <c r="H2378" t="n">
        <v>0.0065732535966204</v>
      </c>
      <c r="I2378" t="n">
        <v>0.9425422000133634</v>
      </c>
      <c r="J2378" t="n">
        <v>0.0374177508198126</v>
      </c>
      <c r="K2378" t="n">
        <v>0.7432513352961876</v>
      </c>
      <c r="L2378" t="b">
        <v>0</v>
      </c>
      <c r="M2378" t="b">
        <v>0</v>
      </c>
      <c r="N2378" t="inlineStr">
        <is>
          <t>alt</t>
        </is>
      </c>
      <c r="O2378" t="n">
        <v>-100</v>
      </c>
      <c r="P2378" t="n">
        <v>0.004875</v>
      </c>
      <c r="Q2378" t="n">
        <v>100</v>
      </c>
      <c r="R2378" t="n">
        <v>0.00479</v>
      </c>
      <c r="S2378">
        <f>IMAGE("https://mitra.stanford.edu/kundaje/oak/projects/neuro-variants/variant_position/credible/roussos_2024/variant_figures/roussos_2024.adolescence.GLU/rs2293782_count_position.png",4,220,900)</f>
        <v/>
      </c>
      <c r="T2378">
        <f>IMAGE("https://mitra.stanford.edu/kundaje/oak/projects/neuro-variants/variant_position/credible/roussos_2024/variant_figures/roussos_2024.adolescence.GLU/rs2293782_profile_position.png",4,220,900)</f>
        <v/>
      </c>
    </row>
    <row r="2379">
      <c r="A2379" t="inlineStr">
        <is>
          <t>chr2</t>
        </is>
      </c>
      <c r="B2379" t="n">
        <v>232776161</v>
      </c>
      <c r="C2379" t="inlineStr">
        <is>
          <t>T</t>
        </is>
      </c>
      <c r="D2379" t="inlineStr">
        <is>
          <t>G</t>
        </is>
      </c>
      <c r="E2379" t="inlineStr">
        <is>
          <t>rs56054779</t>
        </is>
      </c>
      <c r="F2379" t="n">
        <v>-0.00791329248</v>
      </c>
      <c r="G2379" t="n">
        <v>0.6298868138156244</v>
      </c>
      <c r="H2379" t="n">
        <v>0.0306929046393696</v>
      </c>
      <c r="I2379" t="n">
        <v>0.008086265899479399</v>
      </c>
      <c r="J2379" t="n">
        <v>0.0782319194690328</v>
      </c>
      <c r="K2379" t="n">
        <v>0.6201552263379132</v>
      </c>
      <c r="L2379" t="b">
        <v>1</v>
      </c>
      <c r="M2379" t="b">
        <v>1</v>
      </c>
      <c r="N2379" t="inlineStr">
        <is>
          <t>ref</t>
        </is>
      </c>
      <c r="O2379" t="n">
        <v>-100</v>
      </c>
      <c r="P2379" t="n">
        <v>0.0207</v>
      </c>
      <c r="Q2379" t="n">
        <v>-100</v>
      </c>
      <c r="R2379" t="n">
        <v>0.1442</v>
      </c>
      <c r="S2379">
        <f>IMAGE("https://mitra.stanford.edu/kundaje/oak/projects/neuro-variants/variant_position/credible/roussos_2024/variant_figures/roussos_2024.adolescence.GLU/rs56054779_count_position.png",4,220,900)</f>
        <v/>
      </c>
      <c r="T2379">
        <f>IMAGE("https://mitra.stanford.edu/kundaje/oak/projects/neuro-variants/variant_position/credible/roussos_2024/variant_figures/roussos_2024.adolescence.GLU/rs56054779_profile_position.png",4,220,900)</f>
        <v/>
      </c>
    </row>
    <row r="2380">
      <c r="A2380" t="inlineStr">
        <is>
          <t>chr2</t>
        </is>
      </c>
      <c r="B2380" t="n">
        <v>232825372</v>
      </c>
      <c r="C2380" t="inlineStr">
        <is>
          <t>C</t>
        </is>
      </c>
      <c r="D2380" t="inlineStr">
        <is>
          <t>T</t>
        </is>
      </c>
      <c r="E2380" t="inlineStr">
        <is>
          <t>rs12993791</t>
        </is>
      </c>
      <c r="F2380" t="n">
        <v>-0.0143738671999999</v>
      </c>
      <c r="G2380" t="n">
        <v>0.4100500132517408</v>
      </c>
      <c r="H2380" t="n">
        <v>0.0099263264779125</v>
      </c>
      <c r="I2380" t="n">
        <v>0.5340208652550891</v>
      </c>
      <c r="J2380" t="n">
        <v>0.1211022283187231</v>
      </c>
      <c r="K2380" t="n">
        <v>0.528006174441057</v>
      </c>
      <c r="L2380" t="b">
        <v>0</v>
      </c>
      <c r="M2380" t="b">
        <v>0</v>
      </c>
      <c r="N2380" t="inlineStr">
        <is>
          <t>ref</t>
        </is>
      </c>
      <c r="O2380" t="n">
        <v>95</v>
      </c>
      <c r="P2380" t="n">
        <v>0.002914</v>
      </c>
      <c r="Q2380" t="n">
        <v>-5</v>
      </c>
      <c r="R2380" t="n">
        <v>0.007324</v>
      </c>
      <c r="S2380">
        <f>IMAGE("https://mitra.stanford.edu/kundaje/oak/projects/neuro-variants/variant_position/credible/roussos_2024/variant_figures/roussos_2024.adolescence.GLU/rs12993791_count_position.png",4,220,900)</f>
        <v/>
      </c>
      <c r="T2380">
        <f>IMAGE("https://mitra.stanford.edu/kundaje/oak/projects/neuro-variants/variant_position/credible/roussos_2024/variant_figures/roussos_2024.adolescence.GLU/rs12993791_profile_position.png",4,220,900)</f>
        <v/>
      </c>
    </row>
    <row r="2381">
      <c r="A2381" t="inlineStr">
        <is>
          <t>chr2</t>
        </is>
      </c>
      <c r="B2381" t="n">
        <v>232847538</v>
      </c>
      <c r="C2381" t="inlineStr">
        <is>
          <t>G</t>
        </is>
      </c>
      <c r="D2381" t="inlineStr">
        <is>
          <t>A</t>
        </is>
      </c>
      <c r="E2381" t="inlineStr">
        <is>
          <t>rs12328151</t>
        </is>
      </c>
      <c r="F2381" t="n">
        <v>-0.0303166526</v>
      </c>
      <c r="G2381" t="n">
        <v>0.1817020760718899</v>
      </c>
      <c r="H2381" t="n">
        <v>0.0104881053357502</v>
      </c>
      <c r="I2381" t="n">
        <v>0.4643992938591318</v>
      </c>
      <c r="J2381" t="n">
        <v>0.09349079452172231</v>
      </c>
      <c r="K2381" t="n">
        <v>0.5852628450561758</v>
      </c>
      <c r="L2381" t="b">
        <v>0</v>
      </c>
      <c r="M2381" t="b">
        <v>0</v>
      </c>
      <c r="N2381" t="inlineStr">
        <is>
          <t>ref</t>
        </is>
      </c>
      <c r="O2381" t="n">
        <v>50</v>
      </c>
      <c r="P2381" t="n">
        <v>0.002728</v>
      </c>
      <c r="Q2381" t="n">
        <v>-75</v>
      </c>
      <c r="R2381" t="n">
        <v>0.07056</v>
      </c>
      <c r="S2381">
        <f>IMAGE("https://mitra.stanford.edu/kundaje/oak/projects/neuro-variants/variant_position/credible/roussos_2024/variant_figures/roussos_2024.adolescence.GLU/rs12328151_count_position.png",4,220,900)</f>
        <v/>
      </c>
      <c r="T2381">
        <f>IMAGE("https://mitra.stanford.edu/kundaje/oak/projects/neuro-variants/variant_position/credible/roussos_2024/variant_figures/roussos_2024.adolescence.GLU/rs12328151_profile_position.png",4,220,900)</f>
        <v/>
      </c>
    </row>
    <row r="2382">
      <c r="A2382" t="inlineStr">
        <is>
          <t>chr2</t>
        </is>
      </c>
      <c r="B2382" t="n">
        <v>232871534</v>
      </c>
      <c r="C2382" t="inlineStr">
        <is>
          <t>C</t>
        </is>
      </c>
      <c r="D2382" t="inlineStr">
        <is>
          <t>T</t>
        </is>
      </c>
      <c r="E2382" t="inlineStr">
        <is>
          <t>rs2675968</t>
        </is>
      </c>
      <c r="F2382" t="n">
        <v>-0.051952754</v>
      </c>
      <c r="G2382" t="n">
        <v>0.0618775094847246</v>
      </c>
      <c r="H2382" t="n">
        <v>0.0105681527678285</v>
      </c>
      <c r="I2382" t="n">
        <v>0.4569215059186273</v>
      </c>
      <c r="J2382" t="n">
        <v>0.5849583127933643</v>
      </c>
      <c r="K2382" t="n">
        <v>0.0436039303568174</v>
      </c>
      <c r="L2382" t="b">
        <v>0</v>
      </c>
      <c r="M2382" t="b">
        <v>0</v>
      </c>
      <c r="N2382" t="inlineStr">
        <is>
          <t>ref</t>
        </is>
      </c>
      <c r="O2382" t="n">
        <v>50</v>
      </c>
      <c r="P2382" t="n">
        <v>0.000597</v>
      </c>
      <c r="Q2382" t="n">
        <v>-5</v>
      </c>
      <c r="R2382" t="n">
        <v>0.01233</v>
      </c>
      <c r="S2382">
        <f>IMAGE("https://mitra.stanford.edu/kundaje/oak/projects/neuro-variants/variant_position/credible/roussos_2024/variant_figures/roussos_2024.adolescence.GLU/rs2675968_count_position.png",4,220,900)</f>
        <v/>
      </c>
      <c r="T2382">
        <f>IMAGE("https://mitra.stanford.edu/kundaje/oak/projects/neuro-variants/variant_position/credible/roussos_2024/variant_figures/roussos_2024.adolescence.GLU/rs2675968_profile_position.png",4,220,900)</f>
        <v/>
      </c>
    </row>
    <row r="2383">
      <c r="A2383" t="inlineStr">
        <is>
          <t>chr2</t>
        </is>
      </c>
      <c r="B2383" t="n">
        <v>232904078</v>
      </c>
      <c r="C2383" t="inlineStr">
        <is>
          <t>G</t>
        </is>
      </c>
      <c r="D2383" t="inlineStr">
        <is>
          <t>A</t>
        </is>
      </c>
      <c r="E2383" t="inlineStr">
        <is>
          <t>rs938575</t>
        </is>
      </c>
      <c r="F2383" t="n">
        <v>0.02325711</v>
      </c>
      <c r="G2383" t="n">
        <v>0.1032695773995513</v>
      </c>
      <c r="H2383" t="n">
        <v>0.0290028853057054</v>
      </c>
      <c r="I2383" t="n">
        <v>0.0218934265542042</v>
      </c>
      <c r="J2383" t="n">
        <v>0.2895642668838545</v>
      </c>
      <c r="K2383" t="n">
        <v>0.2823612810471924</v>
      </c>
      <c r="L2383" t="b">
        <v>0</v>
      </c>
      <c r="M2383" t="b">
        <v>0</v>
      </c>
      <c r="N2383" t="inlineStr">
        <is>
          <t>alt</t>
        </is>
      </c>
      <c r="O2383" t="n">
        <v>-95</v>
      </c>
      <c r="P2383" t="n">
        <v>0.02962</v>
      </c>
      <c r="Q2383" t="n">
        <v>-65</v>
      </c>
      <c r="R2383" t="n">
        <v>0.02332</v>
      </c>
      <c r="S2383">
        <f>IMAGE("https://mitra.stanford.edu/kundaje/oak/projects/neuro-variants/variant_position/credible/roussos_2024/variant_figures/roussos_2024.adolescence.GLU/rs938575_count_position.png",4,220,900)</f>
        <v/>
      </c>
      <c r="T2383">
        <f>IMAGE("https://mitra.stanford.edu/kundaje/oak/projects/neuro-variants/variant_position/credible/roussos_2024/variant_figures/roussos_2024.adolescence.GLU/rs938575_profile_position.png",4,220,900)</f>
        <v/>
      </c>
    </row>
    <row r="2384">
      <c r="A2384" t="inlineStr">
        <is>
          <t>chr2</t>
        </is>
      </c>
      <c r="B2384" t="n">
        <v>233107579</v>
      </c>
      <c r="C2384" t="inlineStr">
        <is>
          <t>C</t>
        </is>
      </c>
      <c r="D2384" t="inlineStr">
        <is>
          <t>T</t>
        </is>
      </c>
      <c r="E2384" t="inlineStr">
        <is>
          <t>rs79340715</t>
        </is>
      </c>
      <c r="F2384" t="n">
        <v>0.008468700653999999</v>
      </c>
      <c r="G2384" t="n">
        <v>0.5736849489027731</v>
      </c>
      <c r="H2384" t="n">
        <v>0.0087902275775824</v>
      </c>
      <c r="I2384" t="n">
        <v>0.6753426166315426</v>
      </c>
      <c r="J2384" t="n">
        <v>0.4852047924212873</v>
      </c>
      <c r="K2384" t="n">
        <v>0.095422238152961</v>
      </c>
      <c r="L2384" t="b">
        <v>0</v>
      </c>
      <c r="M2384" t="b">
        <v>0</v>
      </c>
      <c r="N2384" t="inlineStr">
        <is>
          <t>alt</t>
        </is>
      </c>
      <c r="O2384" t="n">
        <v>-70</v>
      </c>
      <c r="P2384" t="n">
        <v>0.001671</v>
      </c>
      <c r="Q2384" t="n">
        <v>65</v>
      </c>
      <c r="R2384" t="n">
        <v>0.07306</v>
      </c>
      <c r="S2384">
        <f>IMAGE("https://mitra.stanford.edu/kundaje/oak/projects/neuro-variants/variant_position/credible/roussos_2024/variant_figures/roussos_2024.adolescence.GLU/rs79340715_count_position.png",4,220,900)</f>
        <v/>
      </c>
      <c r="T2384">
        <f>IMAGE("https://mitra.stanford.edu/kundaje/oak/projects/neuro-variants/variant_position/credible/roussos_2024/variant_figures/roussos_2024.adolescence.GLU/rs79340715_profile_position.png",4,220,900)</f>
        <v/>
      </c>
    </row>
    <row r="2385">
      <c r="A2385" t="inlineStr">
        <is>
          <t>chr2</t>
        </is>
      </c>
      <c r="B2385" t="n">
        <v>235876563</v>
      </c>
      <c r="C2385" t="inlineStr">
        <is>
          <t>G</t>
        </is>
      </c>
      <c r="D2385" t="inlineStr">
        <is>
          <t>T</t>
        </is>
      </c>
      <c r="E2385" t="inlineStr">
        <is>
          <t>rs4663623</t>
        </is>
      </c>
      <c r="F2385" t="n">
        <v>-0.00626533163</v>
      </c>
      <c r="G2385" t="n">
        <v>0.6700774568888856</v>
      </c>
      <c r="H2385" t="n">
        <v>0.0101965190621245</v>
      </c>
      <c r="I2385" t="n">
        <v>0.4934627169046687</v>
      </c>
      <c r="J2385" t="n">
        <v>0.2874895514070771</v>
      </c>
      <c r="K2385" t="n">
        <v>0.287243429556728</v>
      </c>
      <c r="L2385" t="b">
        <v>0</v>
      </c>
      <c r="M2385" t="b">
        <v>0</v>
      </c>
      <c r="N2385" t="inlineStr">
        <is>
          <t>ref</t>
        </is>
      </c>
      <c r="O2385" t="n">
        <v>-35</v>
      </c>
      <c r="P2385" t="n">
        <v>0.002247</v>
      </c>
      <c r="Q2385" t="n">
        <v>30</v>
      </c>
      <c r="R2385" t="n">
        <v>0.03137</v>
      </c>
      <c r="S2385">
        <f>IMAGE("https://mitra.stanford.edu/kundaje/oak/projects/neuro-variants/variant_position/credible/roussos_2024/variant_figures/roussos_2024.adolescence.GLU/rs4663623_count_position.png",4,220,900)</f>
        <v/>
      </c>
      <c r="T2385">
        <f>IMAGE("https://mitra.stanford.edu/kundaje/oak/projects/neuro-variants/variant_position/credible/roussos_2024/variant_figures/roussos_2024.adolescence.GLU/rs4663623_profile_position.png",4,220,900)</f>
        <v/>
      </c>
    </row>
    <row r="2386">
      <c r="A2386" t="inlineStr">
        <is>
          <t>chr2</t>
        </is>
      </c>
      <c r="B2386" t="n">
        <v>235877371</v>
      </c>
      <c r="C2386" t="inlineStr">
        <is>
          <t>C</t>
        </is>
      </c>
      <c r="D2386" t="inlineStr">
        <is>
          <t>T</t>
        </is>
      </c>
      <c r="E2386" t="inlineStr">
        <is>
          <t>rs4663624</t>
        </is>
      </c>
      <c r="F2386" t="n">
        <v>-0.06950020179999999</v>
      </c>
      <c r="G2386" t="n">
        <v>0.0255750368495779</v>
      </c>
      <c r="H2386" t="n">
        <v>0.0129762487234684</v>
      </c>
      <c r="I2386" t="n">
        <v>0.2715879715126101</v>
      </c>
      <c r="J2386" t="n">
        <v>0.3756049467389672</v>
      </c>
      <c r="K2386" t="n">
        <v>0.1893302386843874</v>
      </c>
      <c r="L2386" t="b">
        <v>0</v>
      </c>
      <c r="M2386" t="b">
        <v>0</v>
      </c>
      <c r="N2386" t="inlineStr">
        <is>
          <t>ref</t>
        </is>
      </c>
      <c r="O2386" t="n">
        <v>15</v>
      </c>
      <c r="P2386" t="n">
        <v>0.0009375</v>
      </c>
      <c r="Q2386" t="n">
        <v>85</v>
      </c>
      <c r="R2386" t="n">
        <v>0.1548</v>
      </c>
      <c r="S2386">
        <f>IMAGE("https://mitra.stanford.edu/kundaje/oak/projects/neuro-variants/variant_position/credible/roussos_2024/variant_figures/roussos_2024.adolescence.GLU/rs4663624_count_position.png",4,220,900)</f>
        <v/>
      </c>
      <c r="T2386">
        <f>IMAGE("https://mitra.stanford.edu/kundaje/oak/projects/neuro-variants/variant_position/credible/roussos_2024/variant_figures/roussos_2024.adolescence.GLU/rs4663624_profile_position.png",4,220,900)</f>
        <v/>
      </c>
    </row>
    <row r="2387">
      <c r="A2387" t="inlineStr">
        <is>
          <t>chr2</t>
        </is>
      </c>
      <c r="B2387" t="n">
        <v>235884746</v>
      </c>
      <c r="C2387" t="inlineStr">
        <is>
          <t>G</t>
        </is>
      </c>
      <c r="D2387" t="inlineStr">
        <is>
          <t>A</t>
        </is>
      </c>
      <c r="E2387" t="inlineStr">
        <is>
          <t>rs35772117</t>
        </is>
      </c>
      <c r="F2387" t="n">
        <v>-0.038219828</v>
      </c>
      <c r="G2387" t="n">
        <v>0.1223157043144153</v>
      </c>
      <c r="H2387" t="n">
        <v>0.0132133260431792</v>
      </c>
      <c r="I2387" t="n">
        <v>0.2446967515670792</v>
      </c>
      <c r="J2387" t="n">
        <v>0.0634045623736344</v>
      </c>
      <c r="K2387" t="n">
        <v>0.6605330487844309</v>
      </c>
      <c r="L2387" t="b">
        <v>0</v>
      </c>
      <c r="M2387" t="b">
        <v>0</v>
      </c>
      <c r="N2387" t="inlineStr">
        <is>
          <t>ref</t>
        </is>
      </c>
      <c r="O2387" t="n">
        <v>5</v>
      </c>
      <c r="P2387" t="n">
        <v>0.0007515</v>
      </c>
      <c r="Q2387" t="n">
        <v>80</v>
      </c>
      <c r="R2387" t="n">
        <v>0.0851</v>
      </c>
      <c r="S2387">
        <f>IMAGE("https://mitra.stanford.edu/kundaje/oak/projects/neuro-variants/variant_position/credible/roussos_2024/variant_figures/roussos_2024.adolescence.GLU/rs35772117_count_position.png",4,220,900)</f>
        <v/>
      </c>
      <c r="T2387">
        <f>IMAGE("https://mitra.stanford.edu/kundaje/oak/projects/neuro-variants/variant_position/credible/roussos_2024/variant_figures/roussos_2024.adolescence.GLU/rs35772117_profile_position.png",4,220,900)</f>
        <v/>
      </c>
    </row>
    <row r="2388">
      <c r="A2388" t="inlineStr">
        <is>
          <t>chr2</t>
        </is>
      </c>
      <c r="B2388" t="n">
        <v>235886699</v>
      </c>
      <c r="C2388" t="inlineStr">
        <is>
          <t>A</t>
        </is>
      </c>
      <c r="D2388" t="inlineStr">
        <is>
          <t>C</t>
        </is>
      </c>
      <c r="E2388" t="inlineStr">
        <is>
          <t>rs13025591</t>
        </is>
      </c>
      <c r="F2388" t="n">
        <v>-0.0109810766199999</v>
      </c>
      <c r="G2388" t="n">
        <v>0.5069193073781089</v>
      </c>
      <c r="H2388" t="n">
        <v>0.0293832965316772</v>
      </c>
      <c r="I2388" t="n">
        <v>0.009042173642878499</v>
      </c>
      <c r="J2388" t="n">
        <v>0.3852698058883625</v>
      </c>
      <c r="K2388" t="n">
        <v>0.1809890573113684</v>
      </c>
      <c r="L2388" t="b">
        <v>1</v>
      </c>
      <c r="M2388" t="b">
        <v>1</v>
      </c>
      <c r="N2388" t="inlineStr">
        <is>
          <t>ref</t>
        </is>
      </c>
      <c r="O2388" t="n">
        <v>-100</v>
      </c>
      <c r="P2388" t="n">
        <v>0.01944</v>
      </c>
      <c r="Q2388" t="n">
        <v>25</v>
      </c>
      <c r="R2388" t="n">
        <v>0.02075</v>
      </c>
      <c r="S2388">
        <f>IMAGE("https://mitra.stanford.edu/kundaje/oak/projects/neuro-variants/variant_position/credible/roussos_2024/variant_figures/roussos_2024.adolescence.GLU/rs13025591_count_position.png",4,220,900)</f>
        <v/>
      </c>
      <c r="T2388">
        <f>IMAGE("https://mitra.stanford.edu/kundaje/oak/projects/neuro-variants/variant_position/credible/roussos_2024/variant_figures/roussos_2024.adolescence.GLU/rs13025591_profile_position.png",4,220,900)</f>
        <v/>
      </c>
    </row>
    <row r="2389">
      <c r="A2389" t="inlineStr">
        <is>
          <t>chr2</t>
        </is>
      </c>
      <c r="B2389" t="n">
        <v>235889289</v>
      </c>
      <c r="C2389" t="inlineStr">
        <is>
          <t>A</t>
        </is>
      </c>
      <c r="D2389" t="inlineStr">
        <is>
          <t>C</t>
        </is>
      </c>
      <c r="E2389" t="inlineStr">
        <is>
          <t>rs10192764</t>
        </is>
      </c>
      <c r="F2389" t="n">
        <v>-0.0195754734</v>
      </c>
      <c r="G2389" t="n">
        <v>0.3059095056436693</v>
      </c>
      <c r="H2389" t="n">
        <v>0.0176959014216642</v>
      </c>
      <c r="I2389" t="n">
        <v>0.0911404501649742</v>
      </c>
      <c r="J2389" t="n">
        <v>0.2853748276428688</v>
      </c>
      <c r="K2389" t="n">
        <v>0.2888048762509764</v>
      </c>
      <c r="L2389" t="b">
        <v>0</v>
      </c>
      <c r="M2389" t="b">
        <v>0</v>
      </c>
      <c r="N2389" t="inlineStr">
        <is>
          <t>ref</t>
        </is>
      </c>
      <c r="O2389" t="n">
        <v>-25</v>
      </c>
      <c r="P2389" t="n">
        <v>0.003698</v>
      </c>
      <c r="Q2389" t="n">
        <v>-15</v>
      </c>
      <c r="R2389" t="n">
        <v>0.02173</v>
      </c>
      <c r="S2389">
        <f>IMAGE("https://mitra.stanford.edu/kundaje/oak/projects/neuro-variants/variant_position/credible/roussos_2024/variant_figures/roussos_2024.adolescence.GLU/rs10192764_count_position.png",4,220,900)</f>
        <v/>
      </c>
      <c r="T2389">
        <f>IMAGE("https://mitra.stanford.edu/kundaje/oak/projects/neuro-variants/variant_position/credible/roussos_2024/variant_figures/roussos_2024.adolescence.GLU/rs10192764_profile_position.png",4,220,900)</f>
        <v/>
      </c>
    </row>
    <row r="2390">
      <c r="A2390" t="inlineStr">
        <is>
          <t>chr2</t>
        </is>
      </c>
      <c r="B2390" t="n">
        <v>235904913</v>
      </c>
      <c r="C2390" t="inlineStr">
        <is>
          <t>T</t>
        </is>
      </c>
      <c r="D2390" t="inlineStr">
        <is>
          <t>C</t>
        </is>
      </c>
      <c r="E2390" t="inlineStr">
        <is>
          <t>rs6747286</t>
        </is>
      </c>
      <c r="F2390" t="n">
        <v>0.00900925378</v>
      </c>
      <c r="G2390" t="n">
        <v>0.5447071454116723</v>
      </c>
      <c r="H2390" t="n">
        <v>0.0193902583114262</v>
      </c>
      <c r="I2390" t="n">
        <v>0.0659191800680933</v>
      </c>
      <c r="J2390" t="n">
        <v>0.3234141357852698</v>
      </c>
      <c r="K2390" t="n">
        <v>0.2455408587985373</v>
      </c>
      <c r="L2390" t="b">
        <v>0</v>
      </c>
      <c r="M2390" t="b">
        <v>0</v>
      </c>
      <c r="N2390" t="inlineStr">
        <is>
          <t>alt</t>
        </is>
      </c>
      <c r="O2390" t="n">
        <v>-45</v>
      </c>
      <c r="P2390" t="n">
        <v>0.003265</v>
      </c>
      <c r="Q2390" t="n">
        <v>60</v>
      </c>
      <c r="R2390" t="n">
        <v>0.005493</v>
      </c>
      <c r="S2390">
        <f>IMAGE("https://mitra.stanford.edu/kundaje/oak/projects/neuro-variants/variant_position/credible/roussos_2024/variant_figures/roussos_2024.adolescence.GLU/rs6747286_count_position.png",4,220,900)</f>
        <v/>
      </c>
      <c r="T2390">
        <f>IMAGE("https://mitra.stanford.edu/kundaje/oak/projects/neuro-variants/variant_position/credible/roussos_2024/variant_figures/roussos_2024.adolescence.GLU/rs6747286_profile_position.png",4,220,900)</f>
        <v/>
      </c>
    </row>
    <row r="2391">
      <c r="A2391" t="inlineStr">
        <is>
          <t>chr2</t>
        </is>
      </c>
      <c r="B2391" t="n">
        <v>235913925</v>
      </c>
      <c r="C2391" t="inlineStr">
        <is>
          <t>C</t>
        </is>
      </c>
      <c r="D2391" t="inlineStr">
        <is>
          <t>G</t>
        </is>
      </c>
      <c r="E2391" t="inlineStr">
        <is>
          <t>rs1962550</t>
        </is>
      </c>
      <c r="F2391" t="n">
        <v>0.0394947186</v>
      </c>
      <c r="G2391" t="n">
        <v>0.1052889193627042</v>
      </c>
      <c r="H2391" t="n">
        <v>0.009980028782852301</v>
      </c>
      <c r="I2391" t="n">
        <v>0.5387141503729241</v>
      </c>
      <c r="J2391" t="n">
        <v>0.2174879082095577</v>
      </c>
      <c r="K2391" t="n">
        <v>0.3745561133293093</v>
      </c>
      <c r="L2391" t="b">
        <v>0</v>
      </c>
      <c r="M2391" t="b">
        <v>0</v>
      </c>
      <c r="N2391" t="inlineStr">
        <is>
          <t>alt</t>
        </is>
      </c>
      <c r="O2391" t="n">
        <v>80</v>
      </c>
      <c r="P2391" t="n">
        <v>0.03015</v>
      </c>
      <c r="Q2391" t="n">
        <v>45</v>
      </c>
      <c r="R2391" t="n">
        <v>0.151</v>
      </c>
      <c r="S2391">
        <f>IMAGE("https://mitra.stanford.edu/kundaje/oak/projects/neuro-variants/variant_position/credible/roussos_2024/variant_figures/roussos_2024.adolescence.GLU/rs1962550_count_position.png",4,220,900)</f>
        <v/>
      </c>
      <c r="T2391">
        <f>IMAGE("https://mitra.stanford.edu/kundaje/oak/projects/neuro-variants/variant_position/credible/roussos_2024/variant_figures/roussos_2024.adolescence.GLU/rs1962550_profile_position.png",4,220,900)</f>
        <v/>
      </c>
    </row>
    <row r="2392">
      <c r="A2392" t="inlineStr">
        <is>
          <t>chr2</t>
        </is>
      </c>
      <c r="B2392" t="n">
        <v>235917218</v>
      </c>
      <c r="C2392" t="inlineStr">
        <is>
          <t>A</t>
        </is>
      </c>
      <c r="D2392" t="inlineStr">
        <is>
          <t>G</t>
        </is>
      </c>
      <c r="E2392" t="inlineStr">
        <is>
          <t>rs13031349</t>
        </is>
      </c>
      <c r="F2392" t="n">
        <v>0.0585029924</v>
      </c>
      <c r="G2392" t="n">
        <v>0.040610902214047</v>
      </c>
      <c r="H2392" t="n">
        <v>0.0149868455568975</v>
      </c>
      <c r="I2392" t="n">
        <v>0.1662215111692148</v>
      </c>
      <c r="J2392" t="n">
        <v>0.4233548377878274</v>
      </c>
      <c r="K2392" t="n">
        <v>0.1465473491865919</v>
      </c>
      <c r="L2392" t="b">
        <v>0</v>
      </c>
      <c r="M2392" t="b">
        <v>0</v>
      </c>
      <c r="N2392" t="inlineStr">
        <is>
          <t>alt</t>
        </is>
      </c>
      <c r="O2392" t="n">
        <v>-100</v>
      </c>
      <c r="P2392" t="n">
        <v>0.0097</v>
      </c>
      <c r="Q2392" t="n">
        <v>-10</v>
      </c>
      <c r="R2392" t="n">
        <v>0.008670000000000001</v>
      </c>
      <c r="S2392">
        <f>IMAGE("https://mitra.stanford.edu/kundaje/oak/projects/neuro-variants/variant_position/credible/roussos_2024/variant_figures/roussos_2024.adolescence.GLU/rs13031349_count_position.png",4,220,900)</f>
        <v/>
      </c>
      <c r="T2392">
        <f>IMAGE("https://mitra.stanford.edu/kundaje/oak/projects/neuro-variants/variant_position/credible/roussos_2024/variant_figures/roussos_2024.adolescence.GLU/rs13031349_profile_position.png",4,220,900)</f>
        <v/>
      </c>
    </row>
    <row r="2393">
      <c r="A2393" t="inlineStr">
        <is>
          <t>chr2</t>
        </is>
      </c>
      <c r="B2393" t="n">
        <v>236009895</v>
      </c>
      <c r="C2393" t="inlineStr">
        <is>
          <t>T</t>
        </is>
      </c>
      <c r="D2393" t="inlineStr">
        <is>
          <t>C</t>
        </is>
      </c>
      <c r="E2393" t="inlineStr">
        <is>
          <t>rs3738994</t>
        </is>
      </c>
      <c r="F2393" t="n">
        <v>0.0076456493</v>
      </c>
      <c r="G2393" t="n">
        <v>0.5868335658501898</v>
      </c>
      <c r="H2393" t="n">
        <v>0.009189211240234399</v>
      </c>
      <c r="I2393" t="n">
        <v>0.632800999609584</v>
      </c>
      <c r="J2393" t="n">
        <v>0.4120139171685563</v>
      </c>
      <c r="K2393" t="n">
        <v>0.157216574120765</v>
      </c>
      <c r="L2393" t="b">
        <v>0</v>
      </c>
      <c r="M2393" t="b">
        <v>0</v>
      </c>
      <c r="N2393" t="inlineStr">
        <is>
          <t>alt</t>
        </is>
      </c>
      <c r="O2393" t="n">
        <v>100</v>
      </c>
      <c r="P2393" t="n">
        <v>0.05887</v>
      </c>
      <c r="Q2393" t="n">
        <v>-30</v>
      </c>
      <c r="R2393" t="n">
        <v>0.05725</v>
      </c>
      <c r="S2393">
        <f>IMAGE("https://mitra.stanford.edu/kundaje/oak/projects/neuro-variants/variant_position/credible/roussos_2024/variant_figures/roussos_2024.adolescence.GLU/rs3738994_count_position.png",4,220,900)</f>
        <v/>
      </c>
      <c r="T2393">
        <f>IMAGE("https://mitra.stanford.edu/kundaje/oak/projects/neuro-variants/variant_position/credible/roussos_2024/variant_figures/roussos_2024.adolescence.GLU/rs3738994_profile_position.png",4,220,900)</f>
        <v/>
      </c>
    </row>
    <row r="2394">
      <c r="A2394" t="inlineStr">
        <is>
          <t>chr2</t>
        </is>
      </c>
      <c r="B2394" t="n">
        <v>236010027</v>
      </c>
      <c r="C2394" t="inlineStr">
        <is>
          <t>C</t>
        </is>
      </c>
      <c r="D2394" t="inlineStr">
        <is>
          <t>T</t>
        </is>
      </c>
      <c r="E2394" t="inlineStr">
        <is>
          <t>rs3738993</t>
        </is>
      </c>
      <c r="F2394" t="n">
        <v>-0.0148319971999999</v>
      </c>
      <c r="G2394" t="n">
        <v>0.4021338010857639</v>
      </c>
      <c r="H2394" t="n">
        <v>0.0106380714665544</v>
      </c>
      <c r="I2394" t="n">
        <v>0.461541478151752</v>
      </c>
      <c r="J2394" t="n">
        <v>0.3938930206971444</v>
      </c>
      <c r="K2394" t="n">
        <v>0.1736321555379402</v>
      </c>
      <c r="L2394" t="b">
        <v>0</v>
      </c>
      <c r="M2394" t="b">
        <v>0</v>
      </c>
      <c r="N2394" t="inlineStr">
        <is>
          <t>ref</t>
        </is>
      </c>
      <c r="O2394" t="n">
        <v>75</v>
      </c>
      <c r="P2394" t="n">
        <v>0.0653</v>
      </c>
      <c r="Q2394" t="n">
        <v>-95</v>
      </c>
      <c r="R2394" t="n">
        <v>0.1713</v>
      </c>
      <c r="S2394">
        <f>IMAGE("https://mitra.stanford.edu/kundaje/oak/projects/neuro-variants/variant_position/credible/roussos_2024/variant_figures/roussos_2024.adolescence.GLU/rs3738993_count_position.png",4,220,900)</f>
        <v/>
      </c>
      <c r="T2394">
        <f>IMAGE("https://mitra.stanford.edu/kundaje/oak/projects/neuro-variants/variant_position/credible/roussos_2024/variant_figures/roussos_2024.adolescence.GLU/rs3738993_profile_position.png",4,220,900)</f>
        <v/>
      </c>
    </row>
    <row r="2395">
      <c r="A2395" t="inlineStr">
        <is>
          <t>chr2</t>
        </is>
      </c>
      <c r="B2395" t="n">
        <v>236011530</v>
      </c>
      <c r="C2395" t="inlineStr">
        <is>
          <t>C</t>
        </is>
      </c>
      <c r="D2395" t="inlineStr">
        <is>
          <t>T</t>
        </is>
      </c>
      <c r="E2395" t="inlineStr">
        <is>
          <t>rs12053257</t>
        </is>
      </c>
      <c r="F2395" t="n">
        <v>-0.08075058979999999</v>
      </c>
      <c r="G2395" t="n">
        <v>0.0148824306434673</v>
      </c>
      <c r="H2395" t="n">
        <v>0.0137130866347054</v>
      </c>
      <c r="I2395" t="n">
        <v>0.2278425239506202</v>
      </c>
      <c r="J2395" t="n">
        <v>0.419201120232048</v>
      </c>
      <c r="K2395" t="n">
        <v>0.1509765779641886</v>
      </c>
      <c r="L2395" t="b">
        <v>1</v>
      </c>
      <c r="M2395" t="b">
        <v>0</v>
      </c>
      <c r="N2395" t="inlineStr">
        <is>
          <t>ref</t>
        </is>
      </c>
      <c r="O2395" t="n">
        <v>85</v>
      </c>
      <c r="P2395" t="n">
        <v>0.03128</v>
      </c>
      <c r="Q2395" t="n">
        <v>-70</v>
      </c>
      <c r="R2395" t="n">
        <v>0.07630000000000001</v>
      </c>
      <c r="S2395">
        <f>IMAGE("https://mitra.stanford.edu/kundaje/oak/projects/neuro-variants/variant_position/credible/roussos_2024/variant_figures/roussos_2024.adolescence.GLU/rs12053257_count_position.png",4,220,900)</f>
        <v/>
      </c>
      <c r="T2395">
        <f>IMAGE("https://mitra.stanford.edu/kundaje/oak/projects/neuro-variants/variant_position/credible/roussos_2024/variant_figures/roussos_2024.adolescence.GLU/rs12053257_profile_position.png",4,220,900)</f>
        <v/>
      </c>
    </row>
    <row r="2396">
      <c r="A2396" t="inlineStr">
        <is>
          <t>chr2</t>
        </is>
      </c>
      <c r="B2396" t="n">
        <v>236014543</v>
      </c>
      <c r="C2396" t="inlineStr">
        <is>
          <t>C</t>
        </is>
      </c>
      <c r="D2396" t="inlineStr">
        <is>
          <t>T</t>
        </is>
      </c>
      <c r="E2396" t="inlineStr">
        <is>
          <t>rs2123511</t>
        </is>
      </c>
      <c r="F2396" t="n">
        <v>-0.0410754055999999</v>
      </c>
      <c r="G2396" t="n">
        <v>0.1073822802642474</v>
      </c>
      <c r="H2396" t="n">
        <v>0.008536609480361401</v>
      </c>
      <c r="I2396" t="n">
        <v>0.7008036482891769</v>
      </c>
      <c r="J2396" t="n">
        <v>0.6183237956433834</v>
      </c>
      <c r="K2396" t="n">
        <v>0.0321446294360183</v>
      </c>
      <c r="L2396" t="b">
        <v>0</v>
      </c>
      <c r="M2396" t="b">
        <v>0</v>
      </c>
      <c r="N2396" t="inlineStr">
        <is>
          <t>ref</t>
        </is>
      </c>
      <c r="O2396" t="n">
        <v>95</v>
      </c>
      <c r="P2396" t="n">
        <v>0.01678</v>
      </c>
      <c r="Q2396" t="n">
        <v>30</v>
      </c>
      <c r="R2396" t="n">
        <v>0.05707</v>
      </c>
      <c r="S2396">
        <f>IMAGE("https://mitra.stanford.edu/kundaje/oak/projects/neuro-variants/variant_position/credible/roussos_2024/variant_figures/roussos_2024.adolescence.GLU/rs2123511_count_position.png",4,220,900)</f>
        <v/>
      </c>
      <c r="T2396">
        <f>IMAGE("https://mitra.stanford.edu/kundaje/oak/projects/neuro-variants/variant_position/credible/roussos_2024/variant_figures/roussos_2024.adolescence.GLU/rs2123511_profile_position.png",4,220,900)</f>
        <v/>
      </c>
    </row>
    <row r="2397">
      <c r="A2397" t="inlineStr">
        <is>
          <t>chr2</t>
        </is>
      </c>
      <c r="B2397" t="n">
        <v>236027733</v>
      </c>
      <c r="C2397" t="inlineStr">
        <is>
          <t>T</t>
        </is>
      </c>
      <c r="D2397" t="inlineStr">
        <is>
          <t>C</t>
        </is>
      </c>
      <c r="E2397" t="inlineStr">
        <is>
          <t>rs11692136</t>
        </is>
      </c>
      <c r="F2397" t="n">
        <v>0.0380506658</v>
      </c>
      <c r="G2397" t="n">
        <v>0.1145117965331</v>
      </c>
      <c r="H2397" t="n">
        <v>0.0117425310033393</v>
      </c>
      <c r="I2397" t="n">
        <v>0.3549099903841888</v>
      </c>
      <c r="J2397" t="n">
        <v>0.366657379028513</v>
      </c>
      <c r="K2397" t="n">
        <v>0.1975825779829329</v>
      </c>
      <c r="L2397" t="b">
        <v>0</v>
      </c>
      <c r="M2397" t="b">
        <v>0</v>
      </c>
      <c r="N2397" t="inlineStr">
        <is>
          <t>alt</t>
        </is>
      </c>
      <c r="O2397" t="n">
        <v>35</v>
      </c>
      <c r="P2397" t="n">
        <v>0.00314</v>
      </c>
      <c r="Q2397" t="n">
        <v>5</v>
      </c>
      <c r="R2397" t="n">
        <v>0.00641</v>
      </c>
      <c r="S2397">
        <f>IMAGE("https://mitra.stanford.edu/kundaje/oak/projects/neuro-variants/variant_position/credible/roussos_2024/variant_figures/roussos_2024.adolescence.GLU/rs11692136_count_position.png",4,220,900)</f>
        <v/>
      </c>
      <c r="T2397">
        <f>IMAGE("https://mitra.stanford.edu/kundaje/oak/projects/neuro-variants/variant_position/credible/roussos_2024/variant_figures/roussos_2024.adolescence.GLU/rs11692136_profile_position.png",4,220,900)</f>
        <v/>
      </c>
    </row>
    <row r="2398">
      <c r="A2398" t="inlineStr">
        <is>
          <t>chr2</t>
        </is>
      </c>
      <c r="B2398" t="n">
        <v>236035028</v>
      </c>
      <c r="C2398" t="inlineStr">
        <is>
          <t>C</t>
        </is>
      </c>
      <c r="D2398" t="inlineStr">
        <is>
          <t>T</t>
        </is>
      </c>
      <c r="E2398" t="inlineStr">
        <is>
          <t>rs876739</t>
        </is>
      </c>
      <c r="F2398" t="n">
        <v>-0.0597581118</v>
      </c>
      <c r="G2398" t="n">
        <v>0.0429530602847278</v>
      </c>
      <c r="H2398" t="n">
        <v>0.0151500943298526</v>
      </c>
      <c r="I2398" t="n">
        <v>0.1651608352089217</v>
      </c>
      <c r="J2398" t="n">
        <v>0.3645526573361625</v>
      </c>
      <c r="K2398" t="n">
        <v>0.201849635720792</v>
      </c>
      <c r="L2398" t="b">
        <v>0</v>
      </c>
      <c r="M2398" t="b">
        <v>0</v>
      </c>
      <c r="N2398" t="inlineStr">
        <is>
          <t>ref</t>
        </is>
      </c>
      <c r="O2398" t="n">
        <v>45</v>
      </c>
      <c r="P2398" t="n">
        <v>0.001132</v>
      </c>
      <c r="Q2398" t="n">
        <v>55</v>
      </c>
      <c r="R2398" t="n">
        <v>0.02713</v>
      </c>
      <c r="S2398">
        <f>IMAGE("https://mitra.stanford.edu/kundaje/oak/projects/neuro-variants/variant_position/credible/roussos_2024/variant_figures/roussos_2024.adolescence.GLU/rs876739_count_position.png",4,220,900)</f>
        <v/>
      </c>
      <c r="T2398">
        <f>IMAGE("https://mitra.stanford.edu/kundaje/oak/projects/neuro-variants/variant_position/credible/roussos_2024/variant_figures/roussos_2024.adolescence.GLU/rs876739_profile_position.png",4,220,900)</f>
        <v/>
      </c>
    </row>
    <row r="2399">
      <c r="A2399" t="inlineStr">
        <is>
          <t>chr2</t>
        </is>
      </c>
      <c r="B2399" t="n">
        <v>236041990</v>
      </c>
      <c r="C2399" t="inlineStr">
        <is>
          <t>A</t>
        </is>
      </c>
      <c r="D2399" t="inlineStr">
        <is>
          <t>G</t>
        </is>
      </c>
      <c r="E2399" t="inlineStr">
        <is>
          <t>rs3754659</t>
        </is>
      </c>
      <c r="F2399" t="n">
        <v>-0.0390455891999999</v>
      </c>
      <c r="G2399" t="n">
        <v>0.1267338507124459</v>
      </c>
      <c r="H2399" t="n">
        <v>0.0201623605681522</v>
      </c>
      <c r="I2399" t="n">
        <v>0.068870146432629</v>
      </c>
      <c r="J2399" t="n">
        <v>0.4077901851097727</v>
      </c>
      <c r="K2399" t="n">
        <v>0.1605266174319257</v>
      </c>
      <c r="L2399" t="b">
        <v>0</v>
      </c>
      <c r="M2399" t="b">
        <v>0</v>
      </c>
      <c r="N2399" t="inlineStr">
        <is>
          <t>ref</t>
        </is>
      </c>
      <c r="O2399" t="n">
        <v>-10</v>
      </c>
      <c r="P2399" t="n">
        <v>0.0009879999999999999</v>
      </c>
      <c r="Q2399" t="n">
        <v>-40</v>
      </c>
      <c r="R2399" t="n">
        <v>0.0776</v>
      </c>
      <c r="S2399">
        <f>IMAGE("https://mitra.stanford.edu/kundaje/oak/projects/neuro-variants/variant_position/credible/roussos_2024/variant_figures/roussos_2024.adolescence.GLU/rs3754659_count_position.png",4,220,900)</f>
        <v/>
      </c>
      <c r="T2399">
        <f>IMAGE("https://mitra.stanford.edu/kundaje/oak/projects/neuro-variants/variant_position/credible/roussos_2024/variant_figures/roussos_2024.adolescence.GLU/rs3754659_profile_position.png",4,220,900)</f>
        <v/>
      </c>
    </row>
    <row r="2400">
      <c r="A2400" t="inlineStr">
        <is>
          <t>chr20</t>
        </is>
      </c>
      <c r="B2400" t="n">
        <v>38769266</v>
      </c>
      <c r="C2400" t="inlineStr">
        <is>
          <t>A</t>
        </is>
      </c>
      <c r="D2400" t="inlineStr">
        <is>
          <t>G</t>
        </is>
      </c>
      <c r="E2400" t="inlineStr">
        <is>
          <t>rs2247983</t>
        </is>
      </c>
      <c r="F2400" t="n">
        <v>0.008862886033999999</v>
      </c>
      <c r="G2400" t="n">
        <v>0.5072446827942877</v>
      </c>
      <c r="H2400" t="n">
        <v>0.0098188253751038</v>
      </c>
      <c r="I2400" t="n">
        <v>0.5639804377993006</v>
      </c>
      <c r="J2400" t="n">
        <v>0.3851812161090511</v>
      </c>
      <c r="K2400" t="n">
        <v>0.1818217153121221</v>
      </c>
      <c r="L2400" t="b">
        <v>0</v>
      </c>
      <c r="M2400" t="b">
        <v>0</v>
      </c>
      <c r="N2400" t="inlineStr">
        <is>
          <t>alt</t>
        </is>
      </c>
      <c r="O2400" t="n">
        <v>45</v>
      </c>
      <c r="P2400" t="n">
        <v>0.005726</v>
      </c>
      <c r="Q2400" t="n">
        <v>30</v>
      </c>
      <c r="R2400" t="n">
        <v>0.0268</v>
      </c>
      <c r="S2400">
        <f>IMAGE("https://mitra.stanford.edu/kundaje/oak/projects/neuro-variants/variant_position/credible/roussos_2024/variant_figures/roussos_2024.adolescence.GLU/rs2247983_count_position.png",4,220,900)</f>
        <v/>
      </c>
      <c r="T2400">
        <f>IMAGE("https://mitra.stanford.edu/kundaje/oak/projects/neuro-variants/variant_position/credible/roussos_2024/variant_figures/roussos_2024.adolescence.GLU/rs2247983_profile_position.png",4,220,900)</f>
        <v/>
      </c>
    </row>
    <row r="2401">
      <c r="A2401" t="inlineStr">
        <is>
          <t>chr20</t>
        </is>
      </c>
      <c r="B2401" t="n">
        <v>38817104</v>
      </c>
      <c r="C2401" t="inlineStr">
        <is>
          <t>C</t>
        </is>
      </c>
      <c r="D2401" t="inlineStr">
        <is>
          <t>T</t>
        </is>
      </c>
      <c r="E2401" t="inlineStr">
        <is>
          <t>rs6129108</t>
        </is>
      </c>
      <c r="F2401" t="n">
        <v>0.01023498572</v>
      </c>
      <c r="G2401" t="n">
        <v>0.4831636131014861</v>
      </c>
      <c r="H2401" t="n">
        <v>0.0085093161244483</v>
      </c>
      <c r="I2401" t="n">
        <v>0.7074233198241971</v>
      </c>
      <c r="J2401" t="n">
        <v>0.2803109215480349</v>
      </c>
      <c r="K2401" t="n">
        <v>0.2944928718568907</v>
      </c>
      <c r="L2401" t="b">
        <v>0</v>
      </c>
      <c r="M2401" t="b">
        <v>0</v>
      </c>
      <c r="N2401" t="inlineStr">
        <is>
          <t>alt</t>
        </is>
      </c>
      <c r="O2401" t="n">
        <v>-100</v>
      </c>
      <c r="P2401" t="n">
        <v>0.005222</v>
      </c>
      <c r="Q2401" t="n">
        <v>-90</v>
      </c>
      <c r="R2401" t="n">
        <v>0.02493</v>
      </c>
      <c r="S2401">
        <f>IMAGE("https://mitra.stanford.edu/kundaje/oak/projects/neuro-variants/variant_position/credible/roussos_2024/variant_figures/roussos_2024.adolescence.GLU/rs6129108_count_position.png",4,220,900)</f>
        <v/>
      </c>
      <c r="T2401">
        <f>IMAGE("https://mitra.stanford.edu/kundaje/oak/projects/neuro-variants/variant_position/credible/roussos_2024/variant_figures/roussos_2024.adolescence.GLU/rs6129108_profile_position.png",4,220,900)</f>
        <v/>
      </c>
    </row>
    <row r="2402">
      <c r="A2402" t="inlineStr">
        <is>
          <t>chr20</t>
        </is>
      </c>
      <c r="B2402" t="n">
        <v>38828463</v>
      </c>
      <c r="C2402" t="inlineStr">
        <is>
          <t>G</t>
        </is>
      </c>
      <c r="D2402" t="inlineStr">
        <is>
          <t>A</t>
        </is>
      </c>
      <c r="E2402" t="inlineStr">
        <is>
          <t>rs6129111</t>
        </is>
      </c>
      <c r="F2402" t="n">
        <v>0.00393934248</v>
      </c>
      <c r="G2402" t="n">
        <v>0.659862208360472</v>
      </c>
      <c r="H2402" t="n">
        <v>0.009688202498971401</v>
      </c>
      <c r="I2402" t="n">
        <v>0.5666275514255589</v>
      </c>
      <c r="J2402" t="n">
        <v>0.4094605311100155</v>
      </c>
      <c r="K2402" t="n">
        <v>0.1575225902973122</v>
      </c>
      <c r="L2402" t="b">
        <v>0</v>
      </c>
      <c r="M2402" t="b">
        <v>0</v>
      </c>
      <c r="N2402" t="inlineStr">
        <is>
          <t>alt</t>
        </is>
      </c>
      <c r="O2402" t="n">
        <v>65</v>
      </c>
      <c r="P2402" t="n">
        <v>0.00422</v>
      </c>
      <c r="Q2402" t="n">
        <v>100</v>
      </c>
      <c r="R2402" t="n">
        <v>0.121</v>
      </c>
      <c r="S2402">
        <f>IMAGE("https://mitra.stanford.edu/kundaje/oak/projects/neuro-variants/variant_position/credible/roussos_2024/variant_figures/roussos_2024.adolescence.GLU/rs6129111_count_position.png",4,220,900)</f>
        <v/>
      </c>
      <c r="T2402">
        <f>IMAGE("https://mitra.stanford.edu/kundaje/oak/projects/neuro-variants/variant_position/credible/roussos_2024/variant_figures/roussos_2024.adolescence.GLU/rs6129111_profile_position.png",4,220,900)</f>
        <v/>
      </c>
    </row>
    <row r="2403">
      <c r="A2403" t="inlineStr">
        <is>
          <t>chr20</t>
        </is>
      </c>
      <c r="B2403" t="n">
        <v>38829366</v>
      </c>
      <c r="C2403" t="inlineStr">
        <is>
          <t>G</t>
        </is>
      </c>
      <c r="D2403" t="inlineStr">
        <is>
          <t>T</t>
        </is>
      </c>
      <c r="E2403" t="inlineStr">
        <is>
          <t>rs1006945</t>
        </is>
      </c>
      <c r="F2403" t="n">
        <v>-0.0199147768</v>
      </c>
      <c r="G2403" t="n">
        <v>0.3008451081956826</v>
      </c>
      <c r="H2403" t="n">
        <v>0.009430756362321199</v>
      </c>
      <c r="I2403" t="n">
        <v>0.6007495057938836</v>
      </c>
      <c r="J2403" t="n">
        <v>0.3442627401390288</v>
      </c>
      <c r="K2403" t="n">
        <v>0.2220002152874042</v>
      </c>
      <c r="L2403" t="b">
        <v>0</v>
      </c>
      <c r="M2403" t="b">
        <v>0</v>
      </c>
      <c r="N2403" t="inlineStr">
        <is>
          <t>ref</t>
        </is>
      </c>
      <c r="O2403" t="n">
        <v>-60</v>
      </c>
      <c r="P2403" t="n">
        <v>0.01019</v>
      </c>
      <c r="Q2403" t="n">
        <v>20</v>
      </c>
      <c r="R2403" t="n">
        <v>0.02226</v>
      </c>
      <c r="S2403">
        <f>IMAGE("https://mitra.stanford.edu/kundaje/oak/projects/neuro-variants/variant_position/credible/roussos_2024/variant_figures/roussos_2024.adolescence.GLU/rs1006945_count_position.png",4,220,900)</f>
        <v/>
      </c>
      <c r="T2403">
        <f>IMAGE("https://mitra.stanford.edu/kundaje/oak/projects/neuro-variants/variant_position/credible/roussos_2024/variant_figures/roussos_2024.adolescence.GLU/rs1006945_profile_position.png",4,220,900)</f>
        <v/>
      </c>
    </row>
    <row r="2404">
      <c r="A2404" t="inlineStr">
        <is>
          <t>chr20</t>
        </is>
      </c>
      <c r="B2404" t="n">
        <v>38853973</v>
      </c>
      <c r="C2404" t="inlineStr">
        <is>
          <t>A</t>
        </is>
      </c>
      <c r="D2404" t="inlineStr">
        <is>
          <t>G</t>
        </is>
      </c>
      <c r="E2404" t="inlineStr">
        <is>
          <t>rs4812319</t>
        </is>
      </c>
      <c r="F2404" t="n">
        <v>-0.1285892192</v>
      </c>
      <c r="G2404" t="n">
        <v>0.0076852897617015</v>
      </c>
      <c r="H2404" t="n">
        <v>0.0346841703479382</v>
      </c>
      <c r="I2404" t="n">
        <v>0.008607750360991101</v>
      </c>
      <c r="J2404" t="n">
        <v>0.4599481321130805</v>
      </c>
      <c r="K2404" t="n">
        <v>0.1179643581338278</v>
      </c>
      <c r="L2404" t="b">
        <v>1</v>
      </c>
      <c r="M2404" t="b">
        <v>1</v>
      </c>
      <c r="N2404" t="inlineStr">
        <is>
          <t>ref</t>
        </is>
      </c>
      <c r="O2404" t="n">
        <v>-80</v>
      </c>
      <c r="P2404" t="n">
        <v>0.006256</v>
      </c>
      <c r="Q2404" t="n">
        <v>65</v>
      </c>
      <c r="R2404" t="n">
        <v>0.063</v>
      </c>
      <c r="S2404">
        <f>IMAGE("https://mitra.stanford.edu/kundaje/oak/projects/neuro-variants/variant_position/credible/roussos_2024/variant_figures/roussos_2024.adolescence.GLU/rs4812319_count_position.png",4,220,900)</f>
        <v/>
      </c>
      <c r="T2404">
        <f>IMAGE("https://mitra.stanford.edu/kundaje/oak/projects/neuro-variants/variant_position/credible/roussos_2024/variant_figures/roussos_2024.adolescence.GLU/rs4812319_profile_position.png",4,220,900)</f>
        <v/>
      </c>
    </row>
    <row r="2405">
      <c r="A2405" t="inlineStr">
        <is>
          <t>chr20</t>
        </is>
      </c>
      <c r="B2405" t="n">
        <v>38855668</v>
      </c>
      <c r="C2405" t="inlineStr">
        <is>
          <t>G</t>
        </is>
      </c>
      <c r="D2405" t="inlineStr">
        <is>
          <t>A</t>
        </is>
      </c>
      <c r="E2405" t="inlineStr">
        <is>
          <t>rs6028167</t>
        </is>
      </c>
      <c r="F2405" t="n">
        <v>-0.0441592415999999</v>
      </c>
      <c r="G2405" t="n">
        <v>0.0923438986671936</v>
      </c>
      <c r="H2405" t="n">
        <v>0.0136564184928729</v>
      </c>
      <c r="I2405" t="n">
        <v>0.2193984710179647</v>
      </c>
      <c r="J2405" t="n">
        <v>0.3424166434475712</v>
      </c>
      <c r="K2405" t="n">
        <v>0.2228621839891378</v>
      </c>
      <c r="L2405" t="b">
        <v>0</v>
      </c>
      <c r="M2405" t="b">
        <v>0</v>
      </c>
      <c r="N2405" t="inlineStr">
        <is>
          <t>ref</t>
        </is>
      </c>
      <c r="O2405" t="n">
        <v>-80</v>
      </c>
      <c r="P2405" t="n">
        <v>0.02203</v>
      </c>
      <c r="Q2405" t="n">
        <v>-80</v>
      </c>
      <c r="R2405" t="n">
        <v>0.2147</v>
      </c>
      <c r="S2405">
        <f>IMAGE("https://mitra.stanford.edu/kundaje/oak/projects/neuro-variants/variant_position/credible/roussos_2024/variant_figures/roussos_2024.adolescence.GLU/rs6028167_count_position.png",4,220,900)</f>
        <v/>
      </c>
      <c r="T2405">
        <f>IMAGE("https://mitra.stanford.edu/kundaje/oak/projects/neuro-variants/variant_position/credible/roussos_2024/variant_figures/roussos_2024.adolescence.GLU/rs6028167_profile_position.png",4,220,900)</f>
        <v/>
      </c>
    </row>
    <row r="2406">
      <c r="A2406" t="inlineStr">
        <is>
          <t>chr20</t>
        </is>
      </c>
      <c r="B2406" t="n">
        <v>38856737</v>
      </c>
      <c r="C2406" t="inlineStr">
        <is>
          <t>T</t>
        </is>
      </c>
      <c r="D2406" t="inlineStr">
        <is>
          <t>A</t>
        </is>
      </c>
      <c r="E2406" t="inlineStr">
        <is>
          <t>rs4812324</t>
        </is>
      </c>
      <c r="F2406" t="n">
        <v>-0.0100988872139999</v>
      </c>
      <c r="G2406" t="n">
        <v>0.5375399998381738</v>
      </c>
      <c r="H2406" t="n">
        <v>0.0079852454892457</v>
      </c>
      <c r="I2406" t="n">
        <v>0.8007839364171794</v>
      </c>
      <c r="J2406" t="n">
        <v>0.2301691064577662</v>
      </c>
      <c r="K2406" t="n">
        <v>0.3608868303327101</v>
      </c>
      <c r="L2406" t="b">
        <v>0</v>
      </c>
      <c r="M2406" t="b">
        <v>0</v>
      </c>
      <c r="N2406" t="inlineStr">
        <is>
          <t>ref</t>
        </is>
      </c>
      <c r="O2406" t="n">
        <v>0</v>
      </c>
      <c r="P2406" t="n">
        <v>0</v>
      </c>
      <c r="Q2406" t="n">
        <v>25</v>
      </c>
      <c r="R2406" t="n">
        <v>0.01056</v>
      </c>
      <c r="S2406">
        <f>IMAGE("https://mitra.stanford.edu/kundaje/oak/projects/neuro-variants/variant_position/credible/roussos_2024/variant_figures/roussos_2024.adolescence.GLU/rs4812324_count_position.png",4,220,900)</f>
        <v/>
      </c>
      <c r="T2406">
        <f>IMAGE("https://mitra.stanford.edu/kundaje/oak/projects/neuro-variants/variant_position/credible/roussos_2024/variant_figures/roussos_2024.adolescence.GLU/rs4812324_profile_position.png",4,220,900)</f>
        <v/>
      </c>
    </row>
    <row r="2407">
      <c r="A2407" t="inlineStr">
        <is>
          <t>chr20</t>
        </is>
      </c>
      <c r="B2407" t="n">
        <v>43178221</v>
      </c>
      <c r="C2407" t="inlineStr">
        <is>
          <t>T</t>
        </is>
      </c>
      <c r="D2407" t="inlineStr">
        <is>
          <t>C</t>
        </is>
      </c>
      <c r="E2407" t="inlineStr">
        <is>
          <t>rs2425614</t>
        </is>
      </c>
      <c r="F2407" t="n">
        <v>-0.00299474256</v>
      </c>
      <c r="G2407" t="n">
        <v>0.6456640855639838</v>
      </c>
      <c r="H2407" t="n">
        <v>0.0133883140349149</v>
      </c>
      <c r="I2407" t="n">
        <v>0.2362123991645212</v>
      </c>
      <c r="J2407" t="n">
        <v>0.1733630537754248</v>
      </c>
      <c r="K2407" t="n">
        <v>0.4434841552905301</v>
      </c>
      <c r="L2407" t="b">
        <v>0</v>
      </c>
      <c r="M2407" t="b">
        <v>0</v>
      </c>
      <c r="N2407" t="inlineStr">
        <is>
          <t>ref</t>
        </is>
      </c>
      <c r="O2407" t="n">
        <v>100</v>
      </c>
      <c r="P2407" t="n">
        <v>0.002523</v>
      </c>
      <c r="Q2407" t="n">
        <v>100</v>
      </c>
      <c r="R2407" t="n">
        <v>0.0736</v>
      </c>
      <c r="S2407">
        <f>IMAGE("https://mitra.stanford.edu/kundaje/oak/projects/neuro-variants/variant_position/credible/roussos_2024/variant_figures/roussos_2024.adolescence.GLU/rs2425614_count_position.png",4,220,900)</f>
        <v/>
      </c>
      <c r="T2407">
        <f>IMAGE("https://mitra.stanford.edu/kundaje/oak/projects/neuro-variants/variant_position/credible/roussos_2024/variant_figures/roussos_2024.adolescence.GLU/rs2425614_profile_position.png",4,220,900)</f>
        <v/>
      </c>
    </row>
    <row r="2408">
      <c r="A2408" t="inlineStr">
        <is>
          <t>chr20</t>
        </is>
      </c>
      <c r="B2408" t="n">
        <v>43185524</v>
      </c>
      <c r="C2408" t="inlineStr">
        <is>
          <t>A</t>
        </is>
      </c>
      <c r="D2408" t="inlineStr">
        <is>
          <t>G</t>
        </is>
      </c>
      <c r="E2408" t="inlineStr">
        <is>
          <t>rs926288</t>
        </is>
      </c>
      <c r="F2408" t="n">
        <v>0.0496458544</v>
      </c>
      <c r="G2408" t="n">
        <v>0.0698110890764455</v>
      </c>
      <c r="H2408" t="n">
        <v>0.0104400756137363</v>
      </c>
      <c r="I2408" t="n">
        <v>0.4865168545526029</v>
      </c>
      <c r="J2408" t="n">
        <v>0.2418558129898335</v>
      </c>
      <c r="K2408" t="n">
        <v>0.3380990539419699</v>
      </c>
      <c r="L2408" t="b">
        <v>0</v>
      </c>
      <c r="M2408" t="b">
        <v>0</v>
      </c>
      <c r="N2408" t="inlineStr">
        <is>
          <t>alt</t>
        </is>
      </c>
      <c r="O2408" t="n">
        <v>55</v>
      </c>
      <c r="P2408" t="n">
        <v>0.004456</v>
      </c>
      <c r="Q2408" t="n">
        <v>-10</v>
      </c>
      <c r="R2408" t="n">
        <v>0.02405</v>
      </c>
      <c r="S2408">
        <f>IMAGE("https://mitra.stanford.edu/kundaje/oak/projects/neuro-variants/variant_position/credible/roussos_2024/variant_figures/roussos_2024.adolescence.GLU/rs926288_count_position.png",4,220,900)</f>
        <v/>
      </c>
      <c r="T2408">
        <f>IMAGE("https://mitra.stanford.edu/kundaje/oak/projects/neuro-variants/variant_position/credible/roussos_2024/variant_figures/roussos_2024.adolescence.GLU/rs926288_profile_position.png",4,220,900)</f>
        <v/>
      </c>
    </row>
    <row r="2409">
      <c r="A2409" t="inlineStr">
        <is>
          <t>chr20</t>
        </is>
      </c>
      <c r="B2409" t="n">
        <v>43261438</v>
      </c>
      <c r="C2409" t="inlineStr">
        <is>
          <t>T</t>
        </is>
      </c>
      <c r="D2409" t="inlineStr">
        <is>
          <t>C</t>
        </is>
      </c>
      <c r="E2409" t="inlineStr">
        <is>
          <t>rs3950190</t>
        </is>
      </c>
      <c r="F2409" t="n">
        <v>0.1156143128</v>
      </c>
      <c r="G2409" t="n">
        <v>0.0047662501687659</v>
      </c>
      <c r="H2409" t="n">
        <v>0.0211835660946141</v>
      </c>
      <c r="I2409" t="n">
        <v>0.0482435106998339</v>
      </c>
      <c r="J2409" t="n">
        <v>0.3186188567631866</v>
      </c>
      <c r="K2409" t="n">
        <v>0.2503313482875068</v>
      </c>
      <c r="L2409" t="b">
        <v>1</v>
      </c>
      <c r="M2409" t="b">
        <v>1</v>
      </c>
      <c r="N2409" t="inlineStr">
        <is>
          <t>alt</t>
        </is>
      </c>
      <c r="O2409" t="n">
        <v>-30</v>
      </c>
      <c r="P2409" t="n">
        <v>0.002127</v>
      </c>
      <c r="Q2409" t="n">
        <v>-100</v>
      </c>
      <c r="R2409" t="n">
        <v>0.02814</v>
      </c>
      <c r="S2409">
        <f>IMAGE("https://mitra.stanford.edu/kundaje/oak/projects/neuro-variants/variant_position/credible/roussos_2024/variant_figures/roussos_2024.adolescence.GLU/rs3950190_count_position.png",4,220,900)</f>
        <v/>
      </c>
      <c r="T2409">
        <f>IMAGE("https://mitra.stanford.edu/kundaje/oak/projects/neuro-variants/variant_position/credible/roussos_2024/variant_figures/roussos_2024.adolescence.GLU/rs3950190_profile_position.png",4,220,900)</f>
        <v/>
      </c>
    </row>
    <row r="2410">
      <c r="A2410" t="inlineStr">
        <is>
          <t>chr20</t>
        </is>
      </c>
      <c r="B2410" t="n">
        <v>43263195</v>
      </c>
      <c r="C2410" t="inlineStr">
        <is>
          <t>T</t>
        </is>
      </c>
      <c r="D2410" t="inlineStr">
        <is>
          <t>C</t>
        </is>
      </c>
      <c r="E2410" t="inlineStr">
        <is>
          <t>rs1569440</t>
        </is>
      </c>
      <c r="F2410" t="n">
        <v>0.020870599</v>
      </c>
      <c r="G2410" t="n">
        <v>0.2715318955913828</v>
      </c>
      <c r="H2410" t="n">
        <v>0.0083809116432893</v>
      </c>
      <c r="I2410" t="n">
        <v>0.7454987497363398</v>
      </c>
      <c r="J2410" t="n">
        <v>0.2172635760264626</v>
      </c>
      <c r="K2410" t="n">
        <v>0.3808780097563246</v>
      </c>
      <c r="L2410" t="b">
        <v>0</v>
      </c>
      <c r="M2410" t="b">
        <v>0</v>
      </c>
      <c r="N2410" t="inlineStr">
        <is>
          <t>alt</t>
        </is>
      </c>
      <c r="O2410" t="n">
        <v>100</v>
      </c>
      <c r="P2410" t="n">
        <v>0.01053</v>
      </c>
      <c r="Q2410" t="n">
        <v>20</v>
      </c>
      <c r="R2410" t="n">
        <v>0.01282</v>
      </c>
      <c r="S2410">
        <f>IMAGE("https://mitra.stanford.edu/kundaje/oak/projects/neuro-variants/variant_position/credible/roussos_2024/variant_figures/roussos_2024.adolescence.GLU/rs1569440_count_position.png",4,220,900)</f>
        <v/>
      </c>
      <c r="T2410">
        <f>IMAGE("https://mitra.stanford.edu/kundaje/oak/projects/neuro-variants/variant_position/credible/roussos_2024/variant_figures/roussos_2024.adolescence.GLU/rs1569440_profile_position.png",4,220,900)</f>
        <v/>
      </c>
    </row>
    <row r="2411">
      <c r="A2411" t="inlineStr">
        <is>
          <t>chr20</t>
        </is>
      </c>
      <c r="B2411" t="n">
        <v>44995017</v>
      </c>
      <c r="C2411" t="inlineStr">
        <is>
          <t>C</t>
        </is>
      </c>
      <c r="D2411" t="inlineStr">
        <is>
          <t>T</t>
        </is>
      </c>
      <c r="E2411" t="inlineStr">
        <is>
          <t>rs6017460</t>
        </is>
      </c>
      <c r="F2411" t="n">
        <v>-0.0048075283939999</v>
      </c>
      <c r="G2411" t="n">
        <v>0.7262456025111412</v>
      </c>
      <c r="H2411" t="n">
        <v>0.0226318966412733</v>
      </c>
      <c r="I2411" t="n">
        <v>0.0320957827849075</v>
      </c>
      <c r="J2411" t="n">
        <v>0.0142472369276492</v>
      </c>
      <c r="K2411" t="n">
        <v>0.8515005810246546</v>
      </c>
      <c r="L2411" t="b">
        <v>0</v>
      </c>
      <c r="M2411" t="b">
        <v>0</v>
      </c>
      <c r="N2411" t="inlineStr">
        <is>
          <t>ref</t>
        </is>
      </c>
      <c r="O2411" t="n">
        <v>-80</v>
      </c>
      <c r="P2411" t="n">
        <v>0.03027</v>
      </c>
      <c r="Q2411" t="n">
        <v>90</v>
      </c>
      <c r="R2411" t="n">
        <v>0.05</v>
      </c>
      <c r="S2411">
        <f>IMAGE("https://mitra.stanford.edu/kundaje/oak/projects/neuro-variants/variant_position/credible/roussos_2024/variant_figures/roussos_2024.adolescence.GLU/rs6017460_count_position.png",4,220,900)</f>
        <v/>
      </c>
      <c r="T2411">
        <f>IMAGE("https://mitra.stanford.edu/kundaje/oak/projects/neuro-variants/variant_position/credible/roussos_2024/variant_figures/roussos_2024.adolescence.GLU/rs6017460_profile_position.png",4,220,900)</f>
        <v/>
      </c>
    </row>
    <row r="2412">
      <c r="A2412" t="inlineStr">
        <is>
          <t>chr20</t>
        </is>
      </c>
      <c r="B2412" t="n">
        <v>46052214</v>
      </c>
      <c r="C2412" t="inlineStr">
        <is>
          <t>G</t>
        </is>
      </c>
      <c r="D2412" t="inlineStr">
        <is>
          <t>A</t>
        </is>
      </c>
      <c r="E2412" t="inlineStr">
        <is>
          <t>rs12624433</t>
        </is>
      </c>
      <c r="F2412" t="n">
        <v>-0.0373810681</v>
      </c>
      <c r="G2412" t="n">
        <v>0.0670925428290106</v>
      </c>
      <c r="H2412" t="n">
        <v>0.0230579602760041</v>
      </c>
      <c r="I2412" t="n">
        <v>0.0336524445590336</v>
      </c>
      <c r="J2412" t="n">
        <v>0.5542633831293625</v>
      </c>
      <c r="K2412" t="n">
        <v>0.0581960379445581</v>
      </c>
      <c r="L2412" t="b">
        <v>0</v>
      </c>
      <c r="M2412" t="b">
        <v>0</v>
      </c>
      <c r="N2412" t="inlineStr">
        <is>
          <t>ref</t>
        </is>
      </c>
      <c r="O2412" t="n">
        <v>-100</v>
      </c>
      <c r="P2412" t="n">
        <v>0.005062</v>
      </c>
      <c r="Q2412" t="n">
        <v>-95</v>
      </c>
      <c r="R2412" t="n">
        <v>0.08203000000000001</v>
      </c>
      <c r="S2412">
        <f>IMAGE("https://mitra.stanford.edu/kundaje/oak/projects/neuro-variants/variant_position/credible/roussos_2024/variant_figures/roussos_2024.adolescence.GLU/rs12624433_count_position.png",4,220,900)</f>
        <v/>
      </c>
      <c r="T2412">
        <f>IMAGE("https://mitra.stanford.edu/kundaje/oak/projects/neuro-variants/variant_position/credible/roussos_2024/variant_figures/roussos_2024.adolescence.GLU/rs12624433_profile_position.png",4,220,900)</f>
        <v/>
      </c>
    </row>
    <row r="2413">
      <c r="A2413" t="inlineStr">
        <is>
          <t>chr20</t>
        </is>
      </c>
      <c r="B2413" t="n">
        <v>46093017</v>
      </c>
      <c r="C2413" t="inlineStr">
        <is>
          <t>T</t>
        </is>
      </c>
      <c r="D2413" t="inlineStr">
        <is>
          <t>C</t>
        </is>
      </c>
      <c r="E2413" t="inlineStr">
        <is>
          <t>rs4578918</t>
        </is>
      </c>
      <c r="F2413" t="n">
        <v>0.056644925</v>
      </c>
      <c r="G2413" t="n">
        <v>0.0416113059900315</v>
      </c>
      <c r="H2413" t="n">
        <v>0.0107010624178872</v>
      </c>
      <c r="I2413" t="n">
        <v>0.4541604123144126</v>
      </c>
      <c r="J2413" t="n">
        <v>0.4844946453193876</v>
      </c>
      <c r="K2413" t="n">
        <v>0.0946305839666378</v>
      </c>
      <c r="L2413" t="b">
        <v>0</v>
      </c>
      <c r="M2413" t="b">
        <v>0</v>
      </c>
      <c r="N2413" t="inlineStr">
        <is>
          <t>alt</t>
        </is>
      </c>
      <c r="O2413" t="n">
        <v>-100</v>
      </c>
      <c r="P2413" t="n">
        <v>0.0356</v>
      </c>
      <c r="Q2413" t="n">
        <v>-100</v>
      </c>
      <c r="R2413" t="n">
        <v>0.06696000000000001</v>
      </c>
      <c r="S2413">
        <f>IMAGE("https://mitra.stanford.edu/kundaje/oak/projects/neuro-variants/variant_position/credible/roussos_2024/variant_figures/roussos_2024.adolescence.GLU/rs4578918_count_position.png",4,220,900)</f>
        <v/>
      </c>
      <c r="T2413">
        <f>IMAGE("https://mitra.stanford.edu/kundaje/oak/projects/neuro-variants/variant_position/credible/roussos_2024/variant_figures/roussos_2024.adolescence.GLU/rs4578918_profile_position.png",4,220,900)</f>
        <v/>
      </c>
    </row>
    <row r="2414">
      <c r="A2414" t="inlineStr">
        <is>
          <t>chr20</t>
        </is>
      </c>
      <c r="B2414" t="n">
        <v>46107215</v>
      </c>
      <c r="C2414" t="inlineStr">
        <is>
          <t>A</t>
        </is>
      </c>
      <c r="D2414" t="inlineStr">
        <is>
          <t>G</t>
        </is>
      </c>
      <c r="E2414" t="inlineStr">
        <is>
          <t>rs6065926</t>
        </is>
      </c>
      <c r="F2414" t="n">
        <v>-0.0050578482</v>
      </c>
      <c r="G2414" t="n">
        <v>0.7460929512742265</v>
      </c>
      <c r="H2414" t="n">
        <v>0.0175674697264497</v>
      </c>
      <c r="I2414" t="n">
        <v>0.09120843860860001</v>
      </c>
      <c r="J2414" t="n">
        <v>0.1576355102128298</v>
      </c>
      <c r="K2414" t="n">
        <v>0.4738261861179433</v>
      </c>
      <c r="L2414" t="b">
        <v>0</v>
      </c>
      <c r="M2414" t="b">
        <v>0</v>
      </c>
      <c r="N2414" t="inlineStr">
        <is>
          <t>ref</t>
        </is>
      </c>
      <c r="O2414" t="n">
        <v>-15</v>
      </c>
      <c r="P2414" t="n">
        <v>0.000702</v>
      </c>
      <c r="Q2414" t="n">
        <v>-100</v>
      </c>
      <c r="R2414" t="n">
        <v>0.0597</v>
      </c>
      <c r="S2414">
        <f>IMAGE("https://mitra.stanford.edu/kundaje/oak/projects/neuro-variants/variant_position/credible/roussos_2024/variant_figures/roussos_2024.adolescence.GLU/rs6065926_count_position.png",4,220,900)</f>
        <v/>
      </c>
      <c r="T2414">
        <f>IMAGE("https://mitra.stanford.edu/kundaje/oak/projects/neuro-variants/variant_position/credible/roussos_2024/variant_figures/roussos_2024.adolescence.GLU/rs6065926_profile_position.png",4,220,900)</f>
        <v/>
      </c>
    </row>
    <row r="2415">
      <c r="A2415" t="inlineStr">
        <is>
          <t>chr20</t>
        </is>
      </c>
      <c r="B2415" t="n">
        <v>46111557</v>
      </c>
      <c r="C2415" t="inlineStr">
        <is>
          <t>C</t>
        </is>
      </c>
      <c r="D2415" t="inlineStr">
        <is>
          <t>T</t>
        </is>
      </c>
      <c r="E2415" t="inlineStr">
        <is>
          <t>rs6074022</t>
        </is>
      </c>
      <c r="F2415" t="n">
        <v>-0.0317954766</v>
      </c>
      <c r="G2415" t="n">
        <v>0.1696137305657052</v>
      </c>
      <c r="H2415" t="n">
        <v>0.012681530502777</v>
      </c>
      <c r="I2415" t="n">
        <v>0.2874350413072275</v>
      </c>
      <c r="J2415" t="n">
        <v>0.1981439012366847</v>
      </c>
      <c r="K2415" t="n">
        <v>0.4024713502976652</v>
      </c>
      <c r="L2415" t="b">
        <v>0</v>
      </c>
      <c r="M2415" t="b">
        <v>0</v>
      </c>
      <c r="N2415" t="inlineStr">
        <is>
          <t>ref</t>
        </is>
      </c>
      <c r="O2415" t="n">
        <v>100</v>
      </c>
      <c r="P2415" t="n">
        <v>0.006844</v>
      </c>
      <c r="Q2415" t="n">
        <v>-25</v>
      </c>
      <c r="R2415" t="n">
        <v>0.00873</v>
      </c>
      <c r="S2415">
        <f>IMAGE("https://mitra.stanford.edu/kundaje/oak/projects/neuro-variants/variant_position/credible/roussos_2024/variant_figures/roussos_2024.adolescence.GLU/rs6074022_count_position.png",4,220,900)</f>
        <v/>
      </c>
      <c r="T2415">
        <f>IMAGE("https://mitra.stanford.edu/kundaje/oak/projects/neuro-variants/variant_position/credible/roussos_2024/variant_figures/roussos_2024.adolescence.GLU/rs6074022_profile_position.png",4,220,900)</f>
        <v/>
      </c>
    </row>
    <row r="2416">
      <c r="A2416" t="inlineStr">
        <is>
          <t>chr20</t>
        </is>
      </c>
      <c r="B2416" t="n">
        <v>46119308</v>
      </c>
      <c r="C2416" t="inlineStr">
        <is>
          <t>T</t>
        </is>
      </c>
      <c r="D2416" t="inlineStr">
        <is>
          <t>G</t>
        </is>
      </c>
      <c r="E2416" t="inlineStr">
        <is>
          <t>rs4810485</t>
        </is>
      </c>
      <c r="F2416" t="n">
        <v>0.0441325974</v>
      </c>
      <c r="G2416" t="n">
        <v>0.08695760869492861</v>
      </c>
      <c r="H2416" t="n">
        <v>0.0105069985882757</v>
      </c>
      <c r="I2416" t="n">
        <v>0.4628597347349052</v>
      </c>
      <c r="J2416" t="n">
        <v>0.4593580098734738</v>
      </c>
      <c r="K2416" t="n">
        <v>0.1180595379372169</v>
      </c>
      <c r="L2416" t="b">
        <v>0</v>
      </c>
      <c r="M2416" t="b">
        <v>0</v>
      </c>
      <c r="N2416" t="inlineStr">
        <is>
          <t>alt</t>
        </is>
      </c>
      <c r="O2416" t="n">
        <v>-100</v>
      </c>
      <c r="P2416" t="n">
        <v>0.001608</v>
      </c>
      <c r="Q2416" t="n">
        <v>90</v>
      </c>
      <c r="R2416" t="n">
        <v>0.1514</v>
      </c>
      <c r="S2416">
        <f>IMAGE("https://mitra.stanford.edu/kundaje/oak/projects/neuro-variants/variant_position/credible/roussos_2024/variant_figures/roussos_2024.adolescence.GLU/rs4810485_count_position.png",4,220,900)</f>
        <v/>
      </c>
      <c r="T2416">
        <f>IMAGE("https://mitra.stanford.edu/kundaje/oak/projects/neuro-variants/variant_position/credible/roussos_2024/variant_figures/roussos_2024.adolescence.GLU/rs4810485_profile_position.png",4,220,900)</f>
        <v/>
      </c>
    </row>
    <row r="2417">
      <c r="A2417" t="inlineStr">
        <is>
          <t>chr20</t>
        </is>
      </c>
      <c r="B2417" t="n">
        <v>49483086</v>
      </c>
      <c r="C2417" t="inlineStr">
        <is>
          <t>C</t>
        </is>
      </c>
      <c r="D2417" t="inlineStr">
        <is>
          <t>T</t>
        </is>
      </c>
      <c r="E2417" t="inlineStr">
        <is>
          <t>rs74361372</t>
        </is>
      </c>
      <c r="F2417" t="n">
        <v>-0.0067197386</v>
      </c>
      <c r="G2417" t="n">
        <v>0.6495032300325766</v>
      </c>
      <c r="H2417" t="n">
        <v>0.0167250735910279</v>
      </c>
      <c r="I2417" t="n">
        <v>0.1115837081715627</v>
      </c>
      <c r="J2417" t="n">
        <v>0.7887962506519207</v>
      </c>
      <c r="K2417" t="n">
        <v>0.008347213580141601</v>
      </c>
      <c r="L2417" t="b">
        <v>0</v>
      </c>
      <c r="M2417" t="b">
        <v>0</v>
      </c>
      <c r="N2417" t="inlineStr">
        <is>
          <t>ref</t>
        </is>
      </c>
      <c r="O2417" t="n">
        <v>100</v>
      </c>
      <c r="P2417" t="n">
        <v>0.002045</v>
      </c>
      <c r="Q2417" t="n">
        <v>-100</v>
      </c>
      <c r="R2417" t="n">
        <v>0.05835</v>
      </c>
      <c r="S2417">
        <f>IMAGE("https://mitra.stanford.edu/kundaje/oak/projects/neuro-variants/variant_position/credible/roussos_2024/variant_figures/roussos_2024.adolescence.GLU/rs74361372_count_position.png",4,220,900)</f>
        <v/>
      </c>
      <c r="T2417">
        <f>IMAGE("https://mitra.stanford.edu/kundaje/oak/projects/neuro-variants/variant_position/credible/roussos_2024/variant_figures/roussos_2024.adolescence.GLU/rs74361372_profile_position.png",4,220,900)</f>
        <v/>
      </c>
    </row>
    <row r="2418">
      <c r="A2418" t="inlineStr">
        <is>
          <t>chr20</t>
        </is>
      </c>
      <c r="B2418" t="n">
        <v>49486664</v>
      </c>
      <c r="C2418" t="inlineStr">
        <is>
          <t>T</t>
        </is>
      </c>
      <c r="D2418" t="inlineStr">
        <is>
          <t>C</t>
        </is>
      </c>
      <c r="E2418" t="inlineStr">
        <is>
          <t>rs6012677</t>
        </is>
      </c>
      <c r="F2418" t="n">
        <v>0.0049073928</v>
      </c>
      <c r="G2418" t="n">
        <v>0.5648565941497732</v>
      </c>
      <c r="H2418" t="n">
        <v>0.0070159460841443</v>
      </c>
      <c r="I2418" t="n">
        <v>0.9066452261379286</v>
      </c>
      <c r="J2418" t="n">
        <v>0.1568796393538661</v>
      </c>
      <c r="K2418" t="n">
        <v>0.4717953767713519</v>
      </c>
      <c r="L2418" t="b">
        <v>0</v>
      </c>
      <c r="M2418" t="b">
        <v>0</v>
      </c>
      <c r="N2418" t="inlineStr">
        <is>
          <t>alt</t>
        </is>
      </c>
      <c r="O2418" t="n">
        <v>15</v>
      </c>
      <c r="P2418" t="n">
        <v>0.001488</v>
      </c>
      <c r="Q2418" t="n">
        <v>-60</v>
      </c>
      <c r="R2418" t="n">
        <v>0.02115</v>
      </c>
      <c r="S2418">
        <f>IMAGE("https://mitra.stanford.edu/kundaje/oak/projects/neuro-variants/variant_position/credible/roussos_2024/variant_figures/roussos_2024.adolescence.GLU/rs6012677_count_position.png",4,220,900)</f>
        <v/>
      </c>
      <c r="T2418">
        <f>IMAGE("https://mitra.stanford.edu/kundaje/oak/projects/neuro-variants/variant_position/credible/roussos_2024/variant_figures/roussos_2024.adolescence.GLU/rs6012677_profile_position.png",4,220,900)</f>
        <v/>
      </c>
    </row>
    <row r="2419">
      <c r="A2419" t="inlineStr">
        <is>
          <t>chr20</t>
        </is>
      </c>
      <c r="B2419" t="n">
        <v>49488780</v>
      </c>
      <c r="C2419" t="inlineStr">
        <is>
          <t>T</t>
        </is>
      </c>
      <c r="D2419" t="inlineStr">
        <is>
          <t>C</t>
        </is>
      </c>
      <c r="E2419" t="inlineStr">
        <is>
          <t>rs11696755</t>
        </is>
      </c>
      <c r="F2419" t="n">
        <v>0.0155851402799999</v>
      </c>
      <c r="G2419" t="n">
        <v>0.4117587213305302</v>
      </c>
      <c r="H2419" t="n">
        <v>0.0122818510542673</v>
      </c>
      <c r="I2419" t="n">
        <v>0.3155621779250335</v>
      </c>
      <c r="J2419" t="n">
        <v>0.2636131770152389</v>
      </c>
      <c r="K2419" t="n">
        <v>0.3073542016548626</v>
      </c>
      <c r="L2419" t="b">
        <v>0</v>
      </c>
      <c r="M2419" t="b">
        <v>0</v>
      </c>
      <c r="N2419" t="inlineStr">
        <is>
          <t>alt</t>
        </is>
      </c>
      <c r="O2419" t="n">
        <v>-25</v>
      </c>
      <c r="P2419" t="n">
        <v>0.002533</v>
      </c>
      <c r="Q2419" t="n">
        <v>-10</v>
      </c>
      <c r="R2419" t="n">
        <v>0.02466</v>
      </c>
      <c r="S2419">
        <f>IMAGE("https://mitra.stanford.edu/kundaje/oak/projects/neuro-variants/variant_position/credible/roussos_2024/variant_figures/roussos_2024.adolescence.GLU/rs11696755_count_position.png",4,220,900)</f>
        <v/>
      </c>
      <c r="T2419">
        <f>IMAGE("https://mitra.stanford.edu/kundaje/oak/projects/neuro-variants/variant_position/credible/roussos_2024/variant_figures/roussos_2024.adolescence.GLU/rs11696755_profile_position.png",4,220,900)</f>
        <v/>
      </c>
    </row>
    <row r="2420">
      <c r="A2420" t="inlineStr">
        <is>
          <t>chr20</t>
        </is>
      </c>
      <c r="B2420" t="n">
        <v>49493651</v>
      </c>
      <c r="C2420" t="inlineStr">
        <is>
          <t>C</t>
        </is>
      </c>
      <c r="D2420" t="inlineStr">
        <is>
          <t>T</t>
        </is>
      </c>
      <c r="E2420" t="inlineStr">
        <is>
          <t>rs6095541</t>
        </is>
      </c>
      <c r="F2420" t="n">
        <v>-0.0200658476</v>
      </c>
      <c r="G2420" t="n">
        <v>0.2952368430875984</v>
      </c>
      <c r="H2420" t="n">
        <v>0.0106053678315103</v>
      </c>
      <c r="I2420" t="n">
        <v>0.4502163602413847</v>
      </c>
      <c r="J2420" t="n">
        <v>0.0622786148559344</v>
      </c>
      <c r="K2420" t="n">
        <v>0.6623973771613825</v>
      </c>
      <c r="L2420" t="b">
        <v>0</v>
      </c>
      <c r="M2420" t="b">
        <v>0</v>
      </c>
      <c r="N2420" t="inlineStr">
        <is>
          <t>ref</t>
        </is>
      </c>
      <c r="O2420" t="n">
        <v>60</v>
      </c>
      <c r="P2420" t="n">
        <v>0.00306</v>
      </c>
      <c r="Q2420" t="n">
        <v>20</v>
      </c>
      <c r="R2420" t="n">
        <v>0.007934999999999999</v>
      </c>
      <c r="S2420">
        <f>IMAGE("https://mitra.stanford.edu/kundaje/oak/projects/neuro-variants/variant_position/credible/roussos_2024/variant_figures/roussos_2024.adolescence.GLU/rs6095541_count_position.png",4,220,900)</f>
        <v/>
      </c>
      <c r="T2420">
        <f>IMAGE("https://mitra.stanford.edu/kundaje/oak/projects/neuro-variants/variant_position/credible/roussos_2024/variant_figures/roussos_2024.adolescence.GLU/rs6095541_profile_position.png",4,220,900)</f>
        <v/>
      </c>
    </row>
    <row r="2421">
      <c r="A2421" t="inlineStr">
        <is>
          <t>chr20</t>
        </is>
      </c>
      <c r="B2421" t="n">
        <v>49506550</v>
      </c>
      <c r="C2421" t="inlineStr">
        <is>
          <t>T</t>
        </is>
      </c>
      <c r="D2421" t="inlineStr">
        <is>
          <t>G</t>
        </is>
      </c>
      <c r="E2421" t="inlineStr">
        <is>
          <t>rs5596</t>
        </is>
      </c>
      <c r="F2421" t="n">
        <v>-0.00059281901</v>
      </c>
      <c r="G2421" t="n">
        <v>0.9022802836925404</v>
      </c>
      <c r="H2421" t="n">
        <v>0.0314182512845664</v>
      </c>
      <c r="I2421" t="n">
        <v>0.0074321781398307</v>
      </c>
      <c r="J2421" t="n">
        <v>0.2666209429096026</v>
      </c>
      <c r="K2421" t="n">
        <v>0.3134925982907715</v>
      </c>
      <c r="L2421" t="b">
        <v>1</v>
      </c>
      <c r="M2421" t="b">
        <v>1</v>
      </c>
      <c r="N2421" t="inlineStr">
        <is>
          <t>ref</t>
        </is>
      </c>
      <c r="O2421" t="n">
        <v>-100</v>
      </c>
      <c r="P2421" t="n">
        <v>0.01248</v>
      </c>
      <c r="Q2421" t="n">
        <v>-5</v>
      </c>
      <c r="R2421" t="n">
        <v>0.005676</v>
      </c>
      <c r="S2421">
        <f>IMAGE("https://mitra.stanford.edu/kundaje/oak/projects/neuro-variants/variant_position/credible/roussos_2024/variant_figures/roussos_2024.adolescence.GLU/rs5596_count_position.png",4,220,900)</f>
        <v/>
      </c>
      <c r="T2421">
        <f>IMAGE("https://mitra.stanford.edu/kundaje/oak/projects/neuro-variants/variant_position/credible/roussos_2024/variant_figures/roussos_2024.adolescence.GLU/rs5596_profile_position.png",4,220,900)</f>
        <v/>
      </c>
    </row>
    <row r="2422">
      <c r="A2422" t="inlineStr">
        <is>
          <t>chr20</t>
        </is>
      </c>
      <c r="B2422" t="n">
        <v>49510639</v>
      </c>
      <c r="C2422" t="inlineStr">
        <is>
          <t>T</t>
        </is>
      </c>
      <c r="D2422" t="inlineStr">
        <is>
          <t>C</t>
        </is>
      </c>
      <c r="E2422" t="inlineStr">
        <is>
          <t>rs729824</t>
        </is>
      </c>
      <c r="F2422" t="n">
        <v>0.0174443748</v>
      </c>
      <c r="G2422" t="n">
        <v>0.3163002130520524</v>
      </c>
      <c r="H2422" t="n">
        <v>0.0103779149912433</v>
      </c>
      <c r="I2422" t="n">
        <v>0.4662613113342545</v>
      </c>
      <c r="J2422" t="n">
        <v>0.2829914768059097</v>
      </c>
      <c r="K2422" t="n">
        <v>0.2919809824436337</v>
      </c>
      <c r="L2422" t="b">
        <v>0</v>
      </c>
      <c r="M2422" t="b">
        <v>0</v>
      </c>
      <c r="N2422" t="inlineStr">
        <is>
          <t>alt</t>
        </is>
      </c>
      <c r="O2422" t="n">
        <v>95</v>
      </c>
      <c r="P2422" t="n">
        <v>0.03943</v>
      </c>
      <c r="Q2422" t="n">
        <v>100</v>
      </c>
      <c r="R2422" t="n">
        <v>0.1142</v>
      </c>
      <c r="S2422">
        <f>IMAGE("https://mitra.stanford.edu/kundaje/oak/projects/neuro-variants/variant_position/credible/roussos_2024/variant_figures/roussos_2024.adolescence.GLU/rs729824_count_position.png",4,220,900)</f>
        <v/>
      </c>
      <c r="T2422">
        <f>IMAGE("https://mitra.stanford.edu/kundaje/oak/projects/neuro-variants/variant_position/credible/roussos_2024/variant_figures/roussos_2024.adolescence.GLU/rs729824_profile_position.png",4,220,900)</f>
        <v/>
      </c>
    </row>
    <row r="2423">
      <c r="A2423" t="inlineStr">
        <is>
          <t>chr20</t>
        </is>
      </c>
      <c r="B2423" t="n">
        <v>49513791</v>
      </c>
      <c r="C2423" t="inlineStr">
        <is>
          <t>C</t>
        </is>
      </c>
      <c r="D2423" t="inlineStr">
        <is>
          <t>T</t>
        </is>
      </c>
      <c r="E2423" t="inlineStr">
        <is>
          <t>rs495146</t>
        </is>
      </c>
      <c r="F2423" t="n">
        <v>-0.0017973996199999</v>
      </c>
      <c r="G2423" t="n">
        <v>0.7183182565459564</v>
      </c>
      <c r="H2423" t="n">
        <v>0.0144784324545585</v>
      </c>
      <c r="I2423" t="n">
        <v>0.1774201978692532</v>
      </c>
      <c r="J2423" t="n">
        <v>0.5477020239906837</v>
      </c>
      <c r="K2423" t="n">
        <v>0.0595245908826705</v>
      </c>
      <c r="L2423" t="b">
        <v>0</v>
      </c>
      <c r="M2423" t="b">
        <v>0</v>
      </c>
      <c r="N2423" t="inlineStr">
        <is>
          <t>ref</t>
        </is>
      </c>
      <c r="O2423" t="n">
        <v>-5</v>
      </c>
      <c r="P2423" t="n">
        <v>0.0008545</v>
      </c>
      <c r="Q2423" t="n">
        <v>5</v>
      </c>
      <c r="R2423" t="n">
        <v>0.0166</v>
      </c>
      <c r="S2423">
        <f>IMAGE("https://mitra.stanford.edu/kundaje/oak/projects/neuro-variants/variant_position/credible/roussos_2024/variant_figures/roussos_2024.adolescence.GLU/rs495146_count_position.png",4,220,900)</f>
        <v/>
      </c>
      <c r="T2423">
        <f>IMAGE("https://mitra.stanford.edu/kundaje/oak/projects/neuro-variants/variant_position/credible/roussos_2024/variant_figures/roussos_2024.adolescence.GLU/rs495146_profile_position.png",4,220,900)</f>
        <v/>
      </c>
    </row>
    <row r="2424">
      <c r="A2424" t="inlineStr">
        <is>
          <t>chr20</t>
        </is>
      </c>
      <c r="B2424" t="n">
        <v>49514764</v>
      </c>
      <c r="C2424" t="inlineStr">
        <is>
          <t>G</t>
        </is>
      </c>
      <c r="D2424" t="inlineStr">
        <is>
          <t>C</t>
        </is>
      </c>
      <c r="E2424" t="inlineStr">
        <is>
          <t>rs6012680</t>
        </is>
      </c>
      <c r="F2424" t="n">
        <v>-0.0273902258</v>
      </c>
      <c r="G2424" t="n">
        <v>0.2068883035935583</v>
      </c>
      <c r="H2424" t="n">
        <v>0.0097737131806316</v>
      </c>
      <c r="I2424" t="n">
        <v>0.5489374120202063</v>
      </c>
      <c r="J2424" t="n">
        <v>0.4409313357766965</v>
      </c>
      <c r="K2424" t="n">
        <v>0.1313880779034559</v>
      </c>
      <c r="L2424" t="b">
        <v>0</v>
      </c>
      <c r="M2424" t="b">
        <v>0</v>
      </c>
      <c r="N2424" t="inlineStr">
        <is>
          <t>ref</t>
        </is>
      </c>
      <c r="O2424" t="n">
        <v>65</v>
      </c>
      <c r="P2424" t="n">
        <v>0.004246</v>
      </c>
      <c r="Q2424" t="n">
        <v>100</v>
      </c>
      <c r="R2424" t="n">
        <v>0.2341</v>
      </c>
      <c r="S2424">
        <f>IMAGE("https://mitra.stanford.edu/kundaje/oak/projects/neuro-variants/variant_position/credible/roussos_2024/variant_figures/roussos_2024.adolescence.GLU/rs6012680_count_position.png",4,220,900)</f>
        <v/>
      </c>
      <c r="T2424">
        <f>IMAGE("https://mitra.stanford.edu/kundaje/oak/projects/neuro-variants/variant_position/credible/roussos_2024/variant_figures/roussos_2024.adolescence.GLU/rs6012680_profile_position.png",4,220,900)</f>
        <v/>
      </c>
    </row>
    <row r="2425">
      <c r="A2425" t="inlineStr">
        <is>
          <t>chr21</t>
        </is>
      </c>
      <c r="B2425" t="n">
        <v>14982650</v>
      </c>
      <c r="C2425" t="inlineStr">
        <is>
          <t>C</t>
        </is>
      </c>
      <c r="D2425" t="inlineStr">
        <is>
          <t>T</t>
        </is>
      </c>
      <c r="E2425" t="inlineStr">
        <is>
          <t>rs1810404</t>
        </is>
      </c>
      <c r="F2425" t="n">
        <v>-0.0707774</v>
      </c>
      <c r="G2425" t="n">
        <v>0.0261272596915212</v>
      </c>
      <c r="H2425" t="n">
        <v>0.0169283961193895</v>
      </c>
      <c r="I2425" t="n">
        <v>0.1116088570917875</v>
      </c>
      <c r="J2425" t="n">
        <v>0.0411785298383235</v>
      </c>
      <c r="K2425" t="n">
        <v>0.7322216718940803</v>
      </c>
      <c r="L2425" t="b">
        <v>0</v>
      </c>
      <c r="M2425" t="b">
        <v>0</v>
      </c>
      <c r="N2425" t="inlineStr">
        <is>
          <t>ref</t>
        </is>
      </c>
      <c r="O2425" t="n">
        <v>-30</v>
      </c>
      <c r="P2425" t="n">
        <v>0.002258</v>
      </c>
      <c r="Q2425" t="n">
        <v>-100</v>
      </c>
      <c r="R2425" t="n">
        <v>0.0672</v>
      </c>
      <c r="S2425">
        <f>IMAGE("https://mitra.stanford.edu/kundaje/oak/projects/neuro-variants/variant_position/credible/roussos_2024/variant_figures/roussos_2024.adolescence.GLU/rs1810404_count_position.png",4,220,900)</f>
        <v/>
      </c>
      <c r="T2425">
        <f>IMAGE("https://mitra.stanford.edu/kundaje/oak/projects/neuro-variants/variant_position/credible/roussos_2024/variant_figures/roussos_2024.adolescence.GLU/rs1810404_profile_position.png",4,220,900)</f>
        <v/>
      </c>
    </row>
    <row r="2426">
      <c r="A2426" t="inlineStr">
        <is>
          <t>chr21</t>
        </is>
      </c>
      <c r="B2426" t="n">
        <v>14991212</v>
      </c>
      <c r="C2426" t="inlineStr">
        <is>
          <t>G</t>
        </is>
      </c>
      <c r="D2426" t="inlineStr">
        <is>
          <t>A</t>
        </is>
      </c>
      <c r="E2426" t="inlineStr">
        <is>
          <t>rs34570637</t>
        </is>
      </c>
      <c r="F2426" t="n">
        <v>-0.0625353308</v>
      </c>
      <c r="G2426" t="n">
        <v>0.0351465285806108</v>
      </c>
      <c r="H2426" t="n">
        <v>0.0117713686212565</v>
      </c>
      <c r="I2426" t="n">
        <v>0.3504984198685407</v>
      </c>
      <c r="J2426" t="n">
        <v>0.0728922419644068</v>
      </c>
      <c r="K2426" t="n">
        <v>0.6391361537535069</v>
      </c>
      <c r="L2426" t="b">
        <v>0</v>
      </c>
      <c r="M2426" t="b">
        <v>0</v>
      </c>
      <c r="N2426" t="inlineStr">
        <is>
          <t>ref</t>
        </is>
      </c>
      <c r="O2426" t="n">
        <v>80</v>
      </c>
      <c r="P2426" t="n">
        <v>0.02187</v>
      </c>
      <c r="Q2426" t="n">
        <v>65</v>
      </c>
      <c r="R2426" t="n">
        <v>0.02338</v>
      </c>
      <c r="S2426">
        <f>IMAGE("https://mitra.stanford.edu/kundaje/oak/projects/neuro-variants/variant_position/credible/roussos_2024/variant_figures/roussos_2024.adolescence.GLU/rs34570637_count_position.png",4,220,900)</f>
        <v/>
      </c>
      <c r="T2426">
        <f>IMAGE("https://mitra.stanford.edu/kundaje/oak/projects/neuro-variants/variant_position/credible/roussos_2024/variant_figures/roussos_2024.adolescence.GLU/rs34570637_profile_position.png",4,220,900)</f>
        <v/>
      </c>
    </row>
    <row r="2427">
      <c r="A2427" t="inlineStr">
        <is>
          <t>chr21</t>
        </is>
      </c>
      <c r="B2427" t="n">
        <v>15022260</v>
      </c>
      <c r="C2427" t="inlineStr">
        <is>
          <t>T</t>
        </is>
      </c>
      <c r="D2427" t="inlineStr">
        <is>
          <t>C</t>
        </is>
      </c>
      <c r="E2427" t="inlineStr">
        <is>
          <t>rs73172392</t>
        </is>
      </c>
      <c r="F2427" t="n">
        <v>0.00262082308</v>
      </c>
      <c r="G2427" t="n">
        <v>0.783831734700304</v>
      </c>
      <c r="H2427" t="n">
        <v>0.0110367859905834</v>
      </c>
      <c r="I2427" t="n">
        <v>0.4123347245650819</v>
      </c>
      <c r="J2427" t="n">
        <v>0.1528145115773981</v>
      </c>
      <c r="K2427" t="n">
        <v>0.4753862284355385</v>
      </c>
      <c r="L2427" t="b">
        <v>0</v>
      </c>
      <c r="M2427" t="b">
        <v>0</v>
      </c>
      <c r="N2427" t="inlineStr">
        <is>
          <t>alt</t>
        </is>
      </c>
      <c r="O2427" t="n">
        <v>-95</v>
      </c>
      <c r="P2427" t="n">
        <v>0.00546</v>
      </c>
      <c r="Q2427" t="n">
        <v>80</v>
      </c>
      <c r="R2427" t="n">
        <v>0.0575</v>
      </c>
      <c r="S2427">
        <f>IMAGE("https://mitra.stanford.edu/kundaje/oak/projects/neuro-variants/variant_position/credible/roussos_2024/variant_figures/roussos_2024.adolescence.GLU/rs73172392_count_position.png",4,220,900)</f>
        <v/>
      </c>
      <c r="T2427">
        <f>IMAGE("https://mitra.stanford.edu/kundaje/oak/projects/neuro-variants/variant_position/credible/roussos_2024/variant_figures/roussos_2024.adolescence.GLU/rs73172392_profile_position.png",4,220,900)</f>
        <v/>
      </c>
    </row>
    <row r="2428">
      <c r="A2428" t="inlineStr">
        <is>
          <t>chr21</t>
        </is>
      </c>
      <c r="B2428" t="n">
        <v>20758576</v>
      </c>
      <c r="C2428" t="inlineStr">
        <is>
          <t>C</t>
        </is>
      </c>
      <c r="D2428" t="inlineStr">
        <is>
          <t>T</t>
        </is>
      </c>
      <c r="E2428" t="inlineStr">
        <is>
          <t>rs2826495</t>
        </is>
      </c>
      <c r="F2428" t="n">
        <v>-0.0058091487599999</v>
      </c>
      <c r="G2428" t="n">
        <v>0.6955482767375641</v>
      </c>
      <c r="H2428" t="n">
        <v>0.0126101416563688</v>
      </c>
      <c r="I2428" t="n">
        <v>0.2907103001868117</v>
      </c>
      <c r="J2428" t="n">
        <v>0.051550678354802</v>
      </c>
      <c r="K2428" t="n">
        <v>0.7019079194763037</v>
      </c>
      <c r="L2428" t="b">
        <v>0</v>
      </c>
      <c r="M2428" t="b">
        <v>0</v>
      </c>
      <c r="N2428" t="inlineStr">
        <is>
          <t>ref</t>
        </is>
      </c>
      <c r="O2428" t="n">
        <v>100</v>
      </c>
      <c r="P2428" t="n">
        <v>0.004906</v>
      </c>
      <c r="Q2428" t="n">
        <v>90</v>
      </c>
      <c r="R2428" t="n">
        <v>0.06097</v>
      </c>
      <c r="S2428">
        <f>IMAGE("https://mitra.stanford.edu/kundaje/oak/projects/neuro-variants/variant_position/credible/roussos_2024/variant_figures/roussos_2024.adolescence.GLU/rs2826495_count_position.png",4,220,900)</f>
        <v/>
      </c>
      <c r="T2428">
        <f>IMAGE("https://mitra.stanford.edu/kundaje/oak/projects/neuro-variants/variant_position/credible/roussos_2024/variant_figures/roussos_2024.adolescence.GLU/rs2826495_profile_position.png",4,220,900)</f>
        <v/>
      </c>
    </row>
    <row r="2429">
      <c r="A2429" t="inlineStr">
        <is>
          <t>chr21</t>
        </is>
      </c>
      <c r="B2429" t="n">
        <v>33900088</v>
      </c>
      <c r="C2429" t="inlineStr">
        <is>
          <t>T</t>
        </is>
      </c>
      <c r="D2429" t="inlineStr">
        <is>
          <t>G</t>
        </is>
      </c>
      <c r="E2429" t="inlineStr">
        <is>
          <t>rs3746862</t>
        </is>
      </c>
      <c r="F2429" t="n">
        <v>-0.01561561288</v>
      </c>
      <c r="G2429" t="n">
        <v>0.3770194287377517</v>
      </c>
      <c r="H2429" t="n">
        <v>0.0270649710286012</v>
      </c>
      <c r="I2429" t="n">
        <v>0.0138943563474058</v>
      </c>
      <c r="J2429" t="n">
        <v>0.2895371184030977</v>
      </c>
      <c r="K2429" t="n">
        <v>0.2837842992514274</v>
      </c>
      <c r="L2429" t="b">
        <v>1</v>
      </c>
      <c r="M2429" t="b">
        <v>0</v>
      </c>
      <c r="N2429" t="inlineStr">
        <is>
          <t>ref</t>
        </is>
      </c>
      <c r="O2429" t="n">
        <v>-25</v>
      </c>
      <c r="P2429" t="n">
        <v>0.002502</v>
      </c>
      <c r="Q2429" t="n">
        <v>85</v>
      </c>
      <c r="R2429" t="n">
        <v>0.04907</v>
      </c>
      <c r="S2429">
        <f>IMAGE("https://mitra.stanford.edu/kundaje/oak/projects/neuro-variants/variant_position/credible/roussos_2024/variant_figures/roussos_2024.adolescence.GLU/rs3746862_count_position.png",4,220,900)</f>
        <v/>
      </c>
      <c r="T2429">
        <f>IMAGE("https://mitra.stanford.edu/kundaje/oak/projects/neuro-variants/variant_position/credible/roussos_2024/variant_figures/roussos_2024.adolescence.GLU/rs3746862_profile_position.png",4,220,900)</f>
        <v/>
      </c>
    </row>
    <row r="2430">
      <c r="A2430" t="inlineStr">
        <is>
          <t>chr22</t>
        </is>
      </c>
      <c r="B2430" t="n">
        <v>19990499</v>
      </c>
      <c r="C2430" t="inlineStr">
        <is>
          <t>C</t>
        </is>
      </c>
      <c r="D2430" t="inlineStr">
        <is>
          <t>T</t>
        </is>
      </c>
      <c r="E2430" t="inlineStr">
        <is>
          <t>rs4819527</t>
        </is>
      </c>
      <c r="F2430" t="n">
        <v>-0.0492877466</v>
      </c>
      <c r="G2430" t="n">
        <v>0.0669347891946533</v>
      </c>
      <c r="H2430" t="n">
        <v>0.009068864157754999</v>
      </c>
      <c r="I2430" t="n">
        <v>0.6188952028261442</v>
      </c>
      <c r="J2430" t="n">
        <v>0.5076294375263448</v>
      </c>
      <c r="K2430" t="n">
        <v>0.0843698557856281</v>
      </c>
      <c r="L2430" t="b">
        <v>0</v>
      </c>
      <c r="M2430" t="b">
        <v>0</v>
      </c>
      <c r="N2430" t="inlineStr">
        <is>
          <t>ref</t>
        </is>
      </c>
      <c r="O2430" t="n">
        <v>100</v>
      </c>
      <c r="P2430" t="n">
        <v>0.005417</v>
      </c>
      <c r="Q2430" t="n">
        <v>100</v>
      </c>
      <c r="R2430" t="n">
        <v>0.10333</v>
      </c>
      <c r="S2430">
        <f>IMAGE("https://mitra.stanford.edu/kundaje/oak/projects/neuro-variants/variant_position/credible/roussos_2024/variant_figures/roussos_2024.adolescence.GLU/rs4819527_count_position.png",4,220,900)</f>
        <v/>
      </c>
      <c r="T2430">
        <f>IMAGE("https://mitra.stanford.edu/kundaje/oak/projects/neuro-variants/variant_position/credible/roussos_2024/variant_figures/roussos_2024.adolescence.GLU/rs4819527_profile_position.png",4,220,900)</f>
        <v/>
      </c>
    </row>
    <row r="2431">
      <c r="A2431" t="inlineStr">
        <is>
          <t>chr22</t>
        </is>
      </c>
      <c r="B2431" t="n">
        <v>20080563</v>
      </c>
      <c r="C2431" t="inlineStr">
        <is>
          <t>G</t>
        </is>
      </c>
      <c r="D2431" t="inlineStr">
        <is>
          <t>C</t>
        </is>
      </c>
      <c r="E2431" t="inlineStr">
        <is>
          <t>rs61174903</t>
        </is>
      </c>
      <c r="F2431" t="n">
        <v>-0.0538114388</v>
      </c>
      <c r="G2431" t="n">
        <v>0.0548334397420647</v>
      </c>
      <c r="H2431" t="n">
        <v>0.0154785263544438</v>
      </c>
      <c r="I2431" t="n">
        <v>0.1490451634809754</v>
      </c>
      <c r="J2431" t="n">
        <v>0.9321902394067344</v>
      </c>
      <c r="K2431" t="n">
        <v>0.0022914467032034</v>
      </c>
      <c r="L2431" t="b">
        <v>0</v>
      </c>
      <c r="M2431" t="b">
        <v>0</v>
      </c>
      <c r="N2431" t="inlineStr">
        <is>
          <t>ref</t>
        </is>
      </c>
      <c r="O2431" t="n">
        <v>100</v>
      </c>
      <c r="P2431" t="n">
        <v>0.007889999999999999</v>
      </c>
      <c r="Q2431" t="n">
        <v>-15</v>
      </c>
      <c r="R2431" t="n">
        <v>0.02594</v>
      </c>
      <c r="S2431">
        <f>IMAGE("https://mitra.stanford.edu/kundaje/oak/projects/neuro-variants/variant_position/credible/roussos_2024/variant_figures/roussos_2024.adolescence.GLU/rs61174903_count_position.png",4,220,900)</f>
        <v/>
      </c>
      <c r="T2431">
        <f>IMAGE("https://mitra.stanford.edu/kundaje/oak/projects/neuro-variants/variant_position/credible/roussos_2024/variant_figures/roussos_2024.adolescence.GLU/rs61174903_profile_position.png",4,220,900)</f>
        <v/>
      </c>
    </row>
    <row r="2432">
      <c r="A2432" t="inlineStr">
        <is>
          <t>chr22</t>
        </is>
      </c>
      <c r="B2432" t="n">
        <v>21676839</v>
      </c>
      <c r="C2432" t="inlineStr">
        <is>
          <t>C</t>
        </is>
      </c>
      <c r="D2432" t="inlineStr">
        <is>
          <t>T</t>
        </is>
      </c>
      <c r="E2432" t="inlineStr">
        <is>
          <t>rs138647105</t>
        </is>
      </c>
      <c r="F2432" t="n">
        <v>-0.0318722602</v>
      </c>
      <c r="G2432" t="n">
        <v>0.1684862143214405</v>
      </c>
      <c r="H2432" t="n">
        <v>0.0100290099855882</v>
      </c>
      <c r="I2432" t="n">
        <v>0.5143427941431946</v>
      </c>
      <c r="J2432" t="n">
        <v>0.5051489237056247</v>
      </c>
      <c r="K2432" t="n">
        <v>0.0846042621432397</v>
      </c>
      <c r="L2432" t="b">
        <v>0</v>
      </c>
      <c r="M2432" t="b">
        <v>0</v>
      </c>
      <c r="N2432" t="inlineStr">
        <is>
          <t>ref</t>
        </is>
      </c>
      <c r="O2432" t="n">
        <v>100</v>
      </c>
      <c r="P2432" t="n">
        <v>0.06125</v>
      </c>
      <c r="Q2432" t="n">
        <v>100</v>
      </c>
      <c r="R2432" t="n">
        <v>0.1316</v>
      </c>
      <c r="S2432">
        <f>IMAGE("https://mitra.stanford.edu/kundaje/oak/projects/neuro-variants/variant_position/credible/roussos_2024/variant_figures/roussos_2024.adolescence.GLU/rs138647105_count_position.png",4,220,900)</f>
        <v/>
      </c>
      <c r="T2432">
        <f>IMAGE("https://mitra.stanford.edu/kundaje/oak/projects/neuro-variants/variant_position/credible/roussos_2024/variant_figures/roussos_2024.adolescence.GLU/rs138647105_profile_position.png",4,220,900)</f>
        <v/>
      </c>
    </row>
    <row r="2433">
      <c r="A2433" t="inlineStr">
        <is>
          <t>chr22</t>
        </is>
      </c>
      <c r="B2433" t="n">
        <v>21713850</v>
      </c>
      <c r="C2433" t="inlineStr">
        <is>
          <t>C</t>
        </is>
      </c>
      <c r="D2433" t="inlineStr">
        <is>
          <t>T</t>
        </is>
      </c>
      <c r="E2433" t="inlineStr">
        <is>
          <t>rs7349039</t>
        </is>
      </c>
      <c r="F2433" t="n">
        <v>-0.032749251</v>
      </c>
      <c r="G2433" t="n">
        <v>0.16335583151854</v>
      </c>
      <c r="H2433" t="n">
        <v>0.0076853521670551</v>
      </c>
      <c r="I2433" t="n">
        <v>0.8302183320320441</v>
      </c>
      <c r="J2433" t="n">
        <v>0.5104928878124755</v>
      </c>
      <c r="K2433" t="n">
        <v>0.08259914638251491</v>
      </c>
      <c r="L2433" t="b">
        <v>0</v>
      </c>
      <c r="M2433" t="b">
        <v>0</v>
      </c>
      <c r="N2433" t="inlineStr">
        <is>
          <t>ref</t>
        </is>
      </c>
      <c r="O2433" t="n">
        <v>-20</v>
      </c>
      <c r="P2433" t="n">
        <v>0.000902</v>
      </c>
      <c r="Q2433" t="n">
        <v>100</v>
      </c>
      <c r="R2433" t="n">
        <v>0.1625</v>
      </c>
      <c r="S2433">
        <f>IMAGE("https://mitra.stanford.edu/kundaje/oak/projects/neuro-variants/variant_position/credible/roussos_2024/variant_figures/roussos_2024.adolescence.GLU/rs7349039_count_position.png",4,220,900)</f>
        <v/>
      </c>
      <c r="T2433">
        <f>IMAGE("https://mitra.stanford.edu/kundaje/oak/projects/neuro-variants/variant_position/credible/roussos_2024/variant_figures/roussos_2024.adolescence.GLU/rs7349039_profile_position.png",4,220,900)</f>
        <v/>
      </c>
    </row>
    <row r="2434">
      <c r="A2434" t="inlineStr">
        <is>
          <t>chr22</t>
        </is>
      </c>
      <c r="B2434" t="n">
        <v>38825665</v>
      </c>
      <c r="C2434" t="inlineStr">
        <is>
          <t>A</t>
        </is>
      </c>
      <c r="D2434" t="inlineStr">
        <is>
          <t>G</t>
        </is>
      </c>
      <c r="E2434" t="inlineStr">
        <is>
          <t>rs75974641</t>
        </is>
      </c>
      <c r="F2434" t="n">
        <v>0.0324818518</v>
      </c>
      <c r="G2434" t="n">
        <v>0.1467874766960456</v>
      </c>
      <c r="H2434" t="n">
        <v>0.008070259394194699</v>
      </c>
      <c r="I2434" t="n">
        <v>0.7854974888750036</v>
      </c>
      <c r="J2434" t="n">
        <v>0.2790320852176521</v>
      </c>
      <c r="K2434" t="n">
        <v>0.297286701604385</v>
      </c>
      <c r="L2434" t="b">
        <v>0</v>
      </c>
      <c r="M2434" t="b">
        <v>0</v>
      </c>
      <c r="N2434" t="inlineStr">
        <is>
          <t>alt</t>
        </is>
      </c>
      <c r="O2434" t="n">
        <v>75</v>
      </c>
      <c r="P2434" t="n">
        <v>0.03354</v>
      </c>
      <c r="Q2434" t="n">
        <v>90</v>
      </c>
      <c r="R2434" t="n">
        <v>0.01218</v>
      </c>
      <c r="S2434">
        <f>IMAGE("https://mitra.stanford.edu/kundaje/oak/projects/neuro-variants/variant_position/credible/roussos_2024/variant_figures/roussos_2024.adolescence.GLU/rs75974641_count_position.png",4,220,900)</f>
        <v/>
      </c>
      <c r="T2434">
        <f>IMAGE("https://mitra.stanford.edu/kundaje/oak/projects/neuro-variants/variant_position/credible/roussos_2024/variant_figures/roussos_2024.adolescence.GLU/rs75974641_profile_position.png",4,220,900)</f>
        <v/>
      </c>
    </row>
    <row r="2435">
      <c r="A2435" t="inlineStr">
        <is>
          <t>chr22</t>
        </is>
      </c>
      <c r="B2435" t="n">
        <v>38828900</v>
      </c>
      <c r="C2435" t="inlineStr">
        <is>
          <t>C</t>
        </is>
      </c>
      <c r="D2435" t="inlineStr">
        <is>
          <t>T</t>
        </is>
      </c>
      <c r="E2435" t="inlineStr">
        <is>
          <t>rs8136346</t>
        </is>
      </c>
      <c r="F2435" t="n">
        <v>-0.201449398</v>
      </c>
      <c r="G2435" t="n">
        <v>0.0009332723269453</v>
      </c>
      <c r="H2435" t="n">
        <v>0.0356019928068563</v>
      </c>
      <c r="I2435" t="n">
        <v>0.0047811892121848</v>
      </c>
      <c r="J2435" t="n">
        <v>0.4788849118746025</v>
      </c>
      <c r="K2435" t="n">
        <v>0.1023814373398964</v>
      </c>
      <c r="L2435" t="b">
        <v>1</v>
      </c>
      <c r="M2435" t="b">
        <v>1</v>
      </c>
      <c r="N2435" t="inlineStr">
        <is>
          <t>ref</t>
        </is>
      </c>
      <c r="O2435" t="n">
        <v>-80</v>
      </c>
      <c r="P2435" t="n">
        <v>0.001415</v>
      </c>
      <c r="Q2435" t="n">
        <v>-70</v>
      </c>
      <c r="R2435" t="n">
        <v>0.0415</v>
      </c>
      <c r="S2435">
        <f>IMAGE("https://mitra.stanford.edu/kundaje/oak/projects/neuro-variants/variant_position/credible/roussos_2024/variant_figures/roussos_2024.adolescence.GLU/rs8136346_count_position.png",4,220,900)</f>
        <v/>
      </c>
      <c r="T2435">
        <f>IMAGE("https://mitra.stanford.edu/kundaje/oak/projects/neuro-variants/variant_position/credible/roussos_2024/variant_figures/roussos_2024.adolescence.GLU/rs8136346_profile_position.png",4,220,900)</f>
        <v/>
      </c>
    </row>
    <row r="2436">
      <c r="A2436" t="inlineStr">
        <is>
          <t>chr22</t>
        </is>
      </c>
      <c r="B2436" t="n">
        <v>38851745</v>
      </c>
      <c r="C2436" t="inlineStr">
        <is>
          <t>C</t>
        </is>
      </c>
      <c r="D2436" t="inlineStr">
        <is>
          <t>T</t>
        </is>
      </c>
      <c r="E2436" t="inlineStr">
        <is>
          <t>rs6001259</t>
        </is>
      </c>
      <c r="F2436" t="n">
        <v>0.0486283456</v>
      </c>
      <c r="G2436" t="n">
        <v>0.0768955958476394</v>
      </c>
      <c r="H2436" t="n">
        <v>0.014687575537446</v>
      </c>
      <c r="I2436" t="n">
        <v>0.185794693975581</v>
      </c>
      <c r="J2436" t="n">
        <v>0.5121046502489801</v>
      </c>
      <c r="K2436" t="n">
        <v>0.0817491649176366</v>
      </c>
      <c r="L2436" t="b">
        <v>0</v>
      </c>
      <c r="M2436" t="b">
        <v>0</v>
      </c>
      <c r="N2436" t="inlineStr">
        <is>
          <t>alt</t>
        </is>
      </c>
      <c r="O2436" t="n">
        <v>-70</v>
      </c>
      <c r="P2436" t="n">
        <v>0.00435</v>
      </c>
      <c r="Q2436" t="n">
        <v>100</v>
      </c>
      <c r="R2436" t="n">
        <v>0.05188</v>
      </c>
      <c r="S2436">
        <f>IMAGE("https://mitra.stanford.edu/kundaje/oak/projects/neuro-variants/variant_position/credible/roussos_2024/variant_figures/roussos_2024.adolescence.GLU/rs6001259_count_position.png",4,220,900)</f>
        <v/>
      </c>
      <c r="T2436">
        <f>IMAGE("https://mitra.stanford.edu/kundaje/oak/projects/neuro-variants/variant_position/credible/roussos_2024/variant_figures/roussos_2024.adolescence.GLU/rs6001259_profile_position.png",4,220,900)</f>
        <v/>
      </c>
    </row>
    <row r="2437">
      <c r="A2437" t="inlineStr">
        <is>
          <t>chr22</t>
        </is>
      </c>
      <c r="B2437" t="n">
        <v>38861668</v>
      </c>
      <c r="C2437" t="inlineStr">
        <is>
          <t>G</t>
        </is>
      </c>
      <c r="D2437" t="inlineStr">
        <is>
          <t>A</t>
        </is>
      </c>
      <c r="E2437" t="inlineStr">
        <is>
          <t>rs1053197</t>
        </is>
      </c>
      <c r="F2437" t="n">
        <v>-0.0494995636</v>
      </c>
      <c r="G2437" t="n">
        <v>0.0712000309133983</v>
      </c>
      <c r="H2437" t="n">
        <v>0.0153828432905428</v>
      </c>
      <c r="I2437" t="n">
        <v>0.1507070071177636</v>
      </c>
      <c r="J2437" t="n">
        <v>0.5665873645255088</v>
      </c>
      <c r="K2437" t="n">
        <v>0.0520878805441194</v>
      </c>
      <c r="L2437" t="b">
        <v>0</v>
      </c>
      <c r="M2437" t="b">
        <v>0</v>
      </c>
      <c r="N2437" t="inlineStr">
        <is>
          <t>ref</t>
        </is>
      </c>
      <c r="O2437" t="n">
        <v>50</v>
      </c>
      <c r="P2437" t="n">
        <v>0.01138</v>
      </c>
      <c r="Q2437" t="n">
        <v>-80</v>
      </c>
      <c r="R2437" t="n">
        <v>0.0548</v>
      </c>
      <c r="S2437">
        <f>IMAGE("https://mitra.stanford.edu/kundaje/oak/projects/neuro-variants/variant_position/credible/roussos_2024/variant_figures/roussos_2024.adolescence.GLU/rs1053197_count_position.png",4,220,900)</f>
        <v/>
      </c>
      <c r="T2437">
        <f>IMAGE("https://mitra.stanford.edu/kundaje/oak/projects/neuro-variants/variant_position/credible/roussos_2024/variant_figures/roussos_2024.adolescence.GLU/rs1053197_profile_position.png",4,220,900)</f>
        <v/>
      </c>
    </row>
    <row r="2438">
      <c r="A2438" t="inlineStr">
        <is>
          <t>chr22</t>
        </is>
      </c>
      <c r="B2438" t="n">
        <v>39604216</v>
      </c>
      <c r="C2438" t="inlineStr">
        <is>
          <t>G</t>
        </is>
      </c>
      <c r="D2438" t="inlineStr">
        <is>
          <t>T</t>
        </is>
      </c>
      <c r="E2438" t="inlineStr">
        <is>
          <t>rs5750857</t>
        </is>
      </c>
      <c r="F2438" t="n">
        <v>-0.0094184121799999</v>
      </c>
      <c r="G2438" t="n">
        <v>0.5726146477676186</v>
      </c>
      <c r="H2438" t="n">
        <v>0.0152348421070668</v>
      </c>
      <c r="I2438" t="n">
        <v>0.1583586655390818</v>
      </c>
      <c r="J2438" t="n">
        <v>0.2184295318315935</v>
      </c>
      <c r="K2438" t="n">
        <v>0.372353514812171</v>
      </c>
      <c r="L2438" t="b">
        <v>0</v>
      </c>
      <c r="M2438" t="b">
        <v>0</v>
      </c>
      <c r="N2438" t="inlineStr">
        <is>
          <t>ref</t>
        </is>
      </c>
      <c r="O2438" t="n">
        <v>-45</v>
      </c>
      <c r="P2438" t="n">
        <v>0.01102</v>
      </c>
      <c r="Q2438" t="n">
        <v>-35</v>
      </c>
      <c r="R2438" t="n">
        <v>0.08044</v>
      </c>
      <c r="S2438">
        <f>IMAGE("https://mitra.stanford.edu/kundaje/oak/projects/neuro-variants/variant_position/credible/roussos_2024/variant_figures/roussos_2024.adolescence.GLU/rs5750857_count_position.png",4,220,900)</f>
        <v/>
      </c>
      <c r="T2438">
        <f>IMAGE("https://mitra.stanford.edu/kundaje/oak/projects/neuro-variants/variant_position/credible/roussos_2024/variant_figures/roussos_2024.adolescence.GLU/rs5750857_profile_position.png",4,220,900)</f>
        <v/>
      </c>
    </row>
    <row r="2439">
      <c r="A2439" t="inlineStr">
        <is>
          <t>chr22</t>
        </is>
      </c>
      <c r="B2439" t="n">
        <v>39650072</v>
      </c>
      <c r="C2439" t="inlineStr">
        <is>
          <t>A</t>
        </is>
      </c>
      <c r="D2439" t="inlineStr">
        <is>
          <t>G</t>
        </is>
      </c>
      <c r="E2439" t="inlineStr">
        <is>
          <t>rs136828</t>
        </is>
      </c>
      <c r="F2439" t="n">
        <v>0.0372240412</v>
      </c>
      <c r="G2439" t="n">
        <v>0.1185355897578221</v>
      </c>
      <c r="H2439" t="n">
        <v>0.0100586558150592</v>
      </c>
      <c r="I2439" t="n">
        <v>0.4827876787453615</v>
      </c>
      <c r="J2439" t="n">
        <v>0.6329653999757092</v>
      </c>
      <c r="K2439" t="n">
        <v>0.0281418664800231</v>
      </c>
      <c r="L2439" t="b">
        <v>0</v>
      </c>
      <c r="M2439" t="b">
        <v>0</v>
      </c>
      <c r="N2439" t="inlineStr">
        <is>
          <t>alt</t>
        </is>
      </c>
      <c r="O2439" t="n">
        <v>100</v>
      </c>
      <c r="P2439" t="n">
        <v>0.02292</v>
      </c>
      <c r="Q2439" t="n">
        <v>40</v>
      </c>
      <c r="R2439" t="n">
        <v>0.147</v>
      </c>
      <c r="S2439">
        <f>IMAGE("https://mitra.stanford.edu/kundaje/oak/projects/neuro-variants/variant_position/credible/roussos_2024/variant_figures/roussos_2024.adolescence.GLU/rs136828_count_position.png",4,220,900)</f>
        <v/>
      </c>
      <c r="T2439">
        <f>IMAGE("https://mitra.stanford.edu/kundaje/oak/projects/neuro-variants/variant_position/credible/roussos_2024/variant_figures/roussos_2024.adolescence.GLU/rs136828_profile_position.png",4,220,900)</f>
        <v/>
      </c>
    </row>
    <row r="2440">
      <c r="A2440" t="inlineStr">
        <is>
          <t>chr22</t>
        </is>
      </c>
      <c r="B2440" t="n">
        <v>41062993</v>
      </c>
      <c r="C2440" t="inlineStr">
        <is>
          <t>A</t>
        </is>
      </c>
      <c r="D2440" t="inlineStr">
        <is>
          <t>C</t>
        </is>
      </c>
      <c r="E2440" t="inlineStr">
        <is>
          <t>rs35060074</t>
        </is>
      </c>
      <c r="F2440" t="n">
        <v>-0.00453528552</v>
      </c>
      <c r="G2440" t="n">
        <v>0.6810691012898333</v>
      </c>
      <c r="H2440" t="n">
        <v>0.039346386685991</v>
      </c>
      <c r="I2440" t="n">
        <v>0.0032396702950992</v>
      </c>
      <c r="J2440" t="n">
        <v>0.1261789942202313</v>
      </c>
      <c r="K2440" t="n">
        <v>0.5283705813695263</v>
      </c>
      <c r="L2440" t="b">
        <v>1</v>
      </c>
      <c r="M2440" t="b">
        <v>1</v>
      </c>
      <c r="N2440" t="inlineStr">
        <is>
          <t>ref</t>
        </is>
      </c>
      <c r="O2440" t="n">
        <v>95</v>
      </c>
      <c r="P2440" t="n">
        <v>0.006348</v>
      </c>
      <c r="Q2440" t="n">
        <v>20</v>
      </c>
      <c r="R2440" t="n">
        <v>0.03314</v>
      </c>
      <c r="S2440">
        <f>IMAGE("https://mitra.stanford.edu/kundaje/oak/projects/neuro-variants/variant_position/credible/roussos_2024/variant_figures/roussos_2024.adolescence.GLU/rs35060074_count_position.png",4,220,900)</f>
        <v/>
      </c>
      <c r="T2440">
        <f>IMAGE("https://mitra.stanford.edu/kundaje/oak/projects/neuro-variants/variant_position/credible/roussos_2024/variant_figures/roussos_2024.adolescence.GLU/rs35060074_profile_position.png",4,220,900)</f>
        <v/>
      </c>
    </row>
    <row r="2441">
      <c r="A2441" t="inlineStr">
        <is>
          <t>chr22</t>
        </is>
      </c>
      <c r="B2441" t="n">
        <v>41381909</v>
      </c>
      <c r="C2441" t="inlineStr">
        <is>
          <t>T</t>
        </is>
      </c>
      <c r="D2441" t="inlineStr">
        <is>
          <t>C</t>
        </is>
      </c>
      <c r="E2441" t="inlineStr">
        <is>
          <t>rs2234059</t>
        </is>
      </c>
      <c r="F2441" t="n">
        <v>0.0569483596</v>
      </c>
      <c r="G2441" t="n">
        <v>0.0434104337239365</v>
      </c>
      <c r="H2441" t="n">
        <v>0.0126210860302946</v>
      </c>
      <c r="I2441" t="n">
        <v>0.2995266646049082</v>
      </c>
      <c r="J2441" t="n">
        <v>0.9980467382529238</v>
      </c>
      <c r="K2441" t="n">
        <v>3.764470730856614e-06</v>
      </c>
      <c r="L2441" t="b">
        <v>0</v>
      </c>
      <c r="M2441" t="b">
        <v>0</v>
      </c>
      <c r="N2441" t="inlineStr">
        <is>
          <t>alt</t>
        </is>
      </c>
      <c r="O2441" t="n">
        <v>0</v>
      </c>
      <c r="P2441" t="n">
        <v>0</v>
      </c>
      <c r="Q2441" t="n">
        <v>-95</v>
      </c>
      <c r="R2441" t="n">
        <v>0.0747</v>
      </c>
      <c r="S2441">
        <f>IMAGE("https://mitra.stanford.edu/kundaje/oak/projects/neuro-variants/variant_position/credible/roussos_2024/variant_figures/roussos_2024.adolescence.GLU/rs2234059_count_position.png",4,220,900)</f>
        <v/>
      </c>
      <c r="T2441">
        <f>IMAGE("https://mitra.stanford.edu/kundaje/oak/projects/neuro-variants/variant_position/credible/roussos_2024/variant_figures/roussos_2024.adolescence.GLU/rs2234059_profile_position.png",4,220,900)</f>
        <v/>
      </c>
    </row>
    <row r="2442">
      <c r="A2442" t="inlineStr">
        <is>
          <t>chr22</t>
        </is>
      </c>
      <c r="B2442" t="n">
        <v>41394496</v>
      </c>
      <c r="C2442" t="inlineStr">
        <is>
          <t>T</t>
        </is>
      </c>
      <c r="D2442" t="inlineStr">
        <is>
          <t>C</t>
        </is>
      </c>
      <c r="E2442" t="inlineStr">
        <is>
          <t>rs2273071</t>
        </is>
      </c>
      <c r="F2442" t="n">
        <v>0.0813253924</v>
      </c>
      <c r="G2442" t="n">
        <v>0.0169490587681795</v>
      </c>
      <c r="H2442" t="n">
        <v>0.0235556256448763</v>
      </c>
      <c r="I2442" t="n">
        <v>0.0313282302782639</v>
      </c>
      <c r="J2442" t="n">
        <v>0.3108315293882304</v>
      </c>
      <c r="K2442" t="n">
        <v>0.2594776007176147</v>
      </c>
      <c r="L2442" t="b">
        <v>1</v>
      </c>
      <c r="M2442" t="b">
        <v>0</v>
      </c>
      <c r="N2442" t="inlineStr">
        <is>
          <t>alt</t>
        </is>
      </c>
      <c r="O2442" t="n">
        <v>100</v>
      </c>
      <c r="P2442" t="n">
        <v>0.005257</v>
      </c>
      <c r="Q2442" t="n">
        <v>100</v>
      </c>
      <c r="R2442" t="n">
        <v>0.04956</v>
      </c>
      <c r="S2442">
        <f>IMAGE("https://mitra.stanford.edu/kundaje/oak/projects/neuro-variants/variant_position/credible/roussos_2024/variant_figures/roussos_2024.adolescence.GLU/rs2273071_count_position.png",4,220,900)</f>
        <v/>
      </c>
      <c r="T2442">
        <f>IMAGE("https://mitra.stanford.edu/kundaje/oak/projects/neuro-variants/variant_position/credible/roussos_2024/variant_figures/roussos_2024.adolescence.GLU/rs2273071_profile_position.png",4,220,900)</f>
        <v/>
      </c>
    </row>
    <row r="2443">
      <c r="A2443" t="inlineStr">
        <is>
          <t>chr22</t>
        </is>
      </c>
      <c r="B2443" t="n">
        <v>41935405</v>
      </c>
      <c r="C2443" t="inlineStr">
        <is>
          <t>G</t>
        </is>
      </c>
      <c r="D2443" t="inlineStr">
        <is>
          <t>C</t>
        </is>
      </c>
      <c r="E2443" t="inlineStr">
        <is>
          <t>rs10154646</t>
        </is>
      </c>
      <c r="F2443" t="n">
        <v>-0.0332369188</v>
      </c>
      <c r="G2443" t="n">
        <v>0.162565482656073</v>
      </c>
      <c r="H2443" t="n">
        <v>0.0087438802640026</v>
      </c>
      <c r="I2443" t="n">
        <v>0.6960749597858037</v>
      </c>
      <c r="J2443" t="n">
        <v>0.518758885769195</v>
      </c>
      <c r="K2443" t="n">
        <v>0.0758787563320294</v>
      </c>
      <c r="L2443" t="b">
        <v>0</v>
      </c>
      <c r="M2443" t="b">
        <v>0</v>
      </c>
      <c r="N2443" t="inlineStr">
        <is>
          <t>ref</t>
        </is>
      </c>
      <c r="O2443" t="n">
        <v>-55</v>
      </c>
      <c r="P2443" t="n">
        <v>0.002766</v>
      </c>
      <c r="Q2443" t="n">
        <v>0</v>
      </c>
      <c r="R2443" t="n">
        <v>0</v>
      </c>
      <c r="S2443">
        <f>IMAGE("https://mitra.stanford.edu/kundaje/oak/projects/neuro-variants/variant_position/credible/roussos_2024/variant_figures/roussos_2024.adolescence.GLU/rs10154646_count_position.png",4,220,900)</f>
        <v/>
      </c>
      <c r="T2443">
        <f>IMAGE("https://mitra.stanford.edu/kundaje/oak/projects/neuro-variants/variant_position/credible/roussos_2024/variant_figures/roussos_2024.adolescence.GLU/rs10154646_profile_position.png",4,220,900)</f>
        <v/>
      </c>
    </row>
    <row r="2444">
      <c r="A2444" t="inlineStr">
        <is>
          <t>chr22</t>
        </is>
      </c>
      <c r="B2444" t="n">
        <v>43750399</v>
      </c>
      <c r="C2444" t="inlineStr">
        <is>
          <t>G</t>
        </is>
      </c>
      <c r="D2444" t="inlineStr">
        <is>
          <t>C</t>
        </is>
      </c>
      <c r="E2444" t="inlineStr">
        <is>
          <t>rs76365544</t>
        </is>
      </c>
      <c r="F2444" t="n">
        <v>-0.00810982402</v>
      </c>
      <c r="G2444" t="n">
        <v>0.5597877449332077</v>
      </c>
      <c r="H2444" t="n">
        <v>0.0089741037972355</v>
      </c>
      <c r="I2444" t="n">
        <v>0.6756687841474932</v>
      </c>
      <c r="J2444" t="n">
        <v>0.2025519571911323</v>
      </c>
      <c r="K2444" t="n">
        <v>0.3983480738797694</v>
      </c>
      <c r="L2444" t="b">
        <v>0</v>
      </c>
      <c r="M2444" t="b">
        <v>0</v>
      </c>
      <c r="N2444" t="inlineStr">
        <is>
          <t>ref</t>
        </is>
      </c>
      <c r="O2444" t="n">
        <v>-100</v>
      </c>
      <c r="P2444" t="n">
        <v>0.004253</v>
      </c>
      <c r="Q2444" t="n">
        <v>-50</v>
      </c>
      <c r="R2444" t="n">
        <v>0.01729</v>
      </c>
      <c r="S2444">
        <f>IMAGE("https://mitra.stanford.edu/kundaje/oak/projects/neuro-variants/variant_position/credible/roussos_2024/variant_figures/roussos_2024.adolescence.GLU/rs76365544_count_position.png",4,220,900)</f>
        <v/>
      </c>
      <c r="T2444">
        <f>IMAGE("https://mitra.stanford.edu/kundaje/oak/projects/neuro-variants/variant_position/credible/roussos_2024/variant_figures/roussos_2024.adolescence.GLU/rs76365544_profile_position.png",4,220,900)</f>
        <v/>
      </c>
    </row>
    <row r="2445">
      <c r="A2445" t="inlineStr">
        <is>
          <t>chr22</t>
        </is>
      </c>
      <c r="B2445" t="n">
        <v>49834093</v>
      </c>
      <c r="C2445" t="inlineStr">
        <is>
          <t>G</t>
        </is>
      </c>
      <c r="D2445" t="inlineStr">
        <is>
          <t>A</t>
        </is>
      </c>
      <c r="E2445" t="inlineStr">
        <is>
          <t>rs138891</t>
        </is>
      </c>
      <c r="F2445" t="n">
        <v>-0.122268014</v>
      </c>
      <c r="G2445" t="n">
        <v>0.0046595099959023</v>
      </c>
      <c r="H2445" t="n">
        <v>0.0272375905859387</v>
      </c>
      <c r="I2445" t="n">
        <v>0.0200984854489755</v>
      </c>
      <c r="J2445" t="n">
        <v>0.3963735345178644</v>
      </c>
      <c r="K2445" t="n">
        <v>0.1703437385373234</v>
      </c>
      <c r="L2445" t="b">
        <v>1</v>
      </c>
      <c r="M2445" t="b">
        <v>1</v>
      </c>
      <c r="N2445" t="inlineStr">
        <is>
          <t>ref</t>
        </is>
      </c>
      <c r="O2445" t="n">
        <v>55</v>
      </c>
      <c r="P2445" t="n">
        <v>0.001503</v>
      </c>
      <c r="Q2445" t="n">
        <v>5</v>
      </c>
      <c r="R2445" t="n">
        <v>0.01056</v>
      </c>
      <c r="S2445">
        <f>IMAGE("https://mitra.stanford.edu/kundaje/oak/projects/neuro-variants/variant_position/credible/roussos_2024/variant_figures/roussos_2024.adolescence.GLU/rs138891_count_position.png",4,220,900)</f>
        <v/>
      </c>
      <c r="T2445">
        <f>IMAGE("https://mitra.stanford.edu/kundaje/oak/projects/neuro-variants/variant_position/credible/roussos_2024/variant_figures/roussos_2024.adolescence.GLU/rs138891_profile_position.png",4,220,900)</f>
        <v/>
      </c>
    </row>
    <row r="2446">
      <c r="A2446" t="inlineStr">
        <is>
          <t>chr22</t>
        </is>
      </c>
      <c r="B2446" t="n">
        <v>49842658</v>
      </c>
      <c r="C2446" t="inlineStr">
        <is>
          <t>G</t>
        </is>
      </c>
      <c r="D2446" t="inlineStr">
        <is>
          <t>A</t>
        </is>
      </c>
      <c r="E2446" t="inlineStr">
        <is>
          <t>rs2319458</t>
        </is>
      </c>
      <c r="F2446" t="n">
        <v>-0.003606505</v>
      </c>
      <c r="G2446" t="n">
        <v>0.7545103293132137</v>
      </c>
      <c r="H2446" t="n">
        <v>0.0251174663313191</v>
      </c>
      <c r="I2446" t="n">
        <v>0.0197243215708674</v>
      </c>
      <c r="J2446" t="n">
        <v>0.1452786648662936</v>
      </c>
      <c r="K2446" t="n">
        <v>0.4865451616610323</v>
      </c>
      <c r="L2446" t="b">
        <v>1</v>
      </c>
      <c r="M2446" t="b">
        <v>0</v>
      </c>
      <c r="N2446" t="inlineStr">
        <is>
          <t>ref</t>
        </is>
      </c>
      <c r="O2446" t="n">
        <v>-80</v>
      </c>
      <c r="P2446" t="n">
        <v>0.001999</v>
      </c>
      <c r="Q2446" t="n">
        <v>-100</v>
      </c>
      <c r="R2446" t="n">
        <v>0.04236</v>
      </c>
      <c r="S2446">
        <f>IMAGE("https://mitra.stanford.edu/kundaje/oak/projects/neuro-variants/variant_position/credible/roussos_2024/variant_figures/roussos_2024.adolescence.GLU/rs2319458_count_position.png",4,220,900)</f>
        <v/>
      </c>
      <c r="T2446">
        <f>IMAGE("https://mitra.stanford.edu/kundaje/oak/projects/neuro-variants/variant_position/credible/roussos_2024/variant_figures/roussos_2024.adolescence.GLU/rs2319458_profile_position.png",4,220,900)</f>
        <v/>
      </c>
    </row>
    <row r="2447">
      <c r="A2447" t="inlineStr">
        <is>
          <t>chr22</t>
        </is>
      </c>
      <c r="B2447" t="n">
        <v>49865504</v>
      </c>
      <c r="C2447" t="inlineStr">
        <is>
          <t>A</t>
        </is>
      </c>
      <c r="D2447" t="inlineStr">
        <is>
          <t>T</t>
        </is>
      </c>
      <c r="E2447" t="inlineStr">
        <is>
          <t>rs13056783</t>
        </is>
      </c>
      <c r="F2447" t="n">
        <v>-0.004141555912</v>
      </c>
      <c r="G2447" t="n">
        <v>0.785970355303289</v>
      </c>
      <c r="H2447" t="n">
        <v>0.0268287327426663</v>
      </c>
      <c r="I2447" t="n">
        <v>0.0151768204358814</v>
      </c>
      <c r="J2447" t="n">
        <v>0.4076958798608283</v>
      </c>
      <c r="K2447" t="n">
        <v>0.1598808365091285</v>
      </c>
      <c r="L2447" t="b">
        <v>1</v>
      </c>
      <c r="M2447" t="b">
        <v>0</v>
      </c>
      <c r="N2447" t="inlineStr">
        <is>
          <t>ref</t>
        </is>
      </c>
      <c r="O2447" t="n">
        <v>-100</v>
      </c>
      <c r="P2447" t="n">
        <v>0.013824</v>
      </c>
      <c r="Q2447" t="n">
        <v>-100</v>
      </c>
      <c r="R2447" t="n">
        <v>0.202</v>
      </c>
      <c r="S2447">
        <f>IMAGE("https://mitra.stanford.edu/kundaje/oak/projects/neuro-variants/variant_position/credible/roussos_2024/variant_figures/roussos_2024.adolescence.GLU/rs13056783_count_position.png",4,220,900)</f>
        <v/>
      </c>
      <c r="T2447">
        <f>IMAGE("https://mitra.stanford.edu/kundaje/oak/projects/neuro-variants/variant_position/credible/roussos_2024/variant_figures/roussos_2024.adolescence.GLU/rs13056783_profile_position.png",4,220,900)</f>
        <v/>
      </c>
    </row>
    <row r="2448">
      <c r="A2448" t="inlineStr">
        <is>
          <t>chr22</t>
        </is>
      </c>
      <c r="B2448" t="n">
        <v>49867412</v>
      </c>
      <c r="C2448" t="inlineStr">
        <is>
          <t>G</t>
        </is>
      </c>
      <c r="D2448" t="inlineStr">
        <is>
          <t>C</t>
        </is>
      </c>
      <c r="E2448" t="inlineStr">
        <is>
          <t>rs2295409</t>
        </is>
      </c>
      <c r="F2448" t="n">
        <v>0.0397234486</v>
      </c>
      <c r="G2448" t="n">
        <v>0.1085104912042449</v>
      </c>
      <c r="H2448" t="n">
        <v>0.0198829395355372</v>
      </c>
      <c r="I2448" t="n">
        <v>0.0702932222590569</v>
      </c>
      <c r="J2448" t="n">
        <v>0.3757735530931407</v>
      </c>
      <c r="K2448" t="n">
        <v>0.1911444953904882</v>
      </c>
      <c r="L2448" t="b">
        <v>0</v>
      </c>
      <c r="M2448" t="b">
        <v>0</v>
      </c>
      <c r="N2448" t="inlineStr">
        <is>
          <t>alt</t>
        </is>
      </c>
      <c r="O2448" t="n">
        <v>-100</v>
      </c>
      <c r="P2448" t="n">
        <v>0.0173</v>
      </c>
      <c r="Q2448" t="n">
        <v>15</v>
      </c>
      <c r="R2448" t="n">
        <v>0.005615</v>
      </c>
      <c r="S2448">
        <f>IMAGE("https://mitra.stanford.edu/kundaje/oak/projects/neuro-variants/variant_position/credible/roussos_2024/variant_figures/roussos_2024.adolescence.GLU/rs2295409_count_position.png",4,220,900)</f>
        <v/>
      </c>
      <c r="T2448">
        <f>IMAGE("https://mitra.stanford.edu/kundaje/oak/projects/neuro-variants/variant_position/credible/roussos_2024/variant_figures/roussos_2024.adolescence.GLU/rs2295409_profile_position.png",4,220,900)</f>
        <v/>
      </c>
    </row>
    <row r="2449">
      <c r="A2449" t="inlineStr">
        <is>
          <t>chr22</t>
        </is>
      </c>
      <c r="B2449" t="n">
        <v>49867475</v>
      </c>
      <c r="C2449" t="inlineStr">
        <is>
          <t>G</t>
        </is>
      </c>
      <c r="D2449" t="inlineStr">
        <is>
          <t>T</t>
        </is>
      </c>
      <c r="E2449" t="inlineStr">
        <is>
          <t>rs8139758</t>
        </is>
      </c>
      <c r="F2449" t="n">
        <v>-0.00348296064</v>
      </c>
      <c r="G2449" t="n">
        <v>0.7223940962789719</v>
      </c>
      <c r="H2449" t="n">
        <v>0.008063608726944799</v>
      </c>
      <c r="I2449" t="n">
        <v>0.7654093116553478</v>
      </c>
      <c r="J2449" t="n">
        <v>0.3516742753856156</v>
      </c>
      <c r="K2449" t="n">
        <v>0.21542386062763</v>
      </c>
      <c r="L2449" t="b">
        <v>0</v>
      </c>
      <c r="M2449" t="b">
        <v>0</v>
      </c>
      <c r="N2449" t="inlineStr">
        <is>
          <t>ref</t>
        </is>
      </c>
      <c r="O2449" t="n">
        <v>-30</v>
      </c>
      <c r="P2449" t="n">
        <v>0.001326</v>
      </c>
      <c r="Q2449" t="n">
        <v>-50</v>
      </c>
      <c r="R2449" t="n">
        <v>0.0381</v>
      </c>
      <c r="S2449">
        <f>IMAGE("https://mitra.stanford.edu/kundaje/oak/projects/neuro-variants/variant_position/credible/roussos_2024/variant_figures/roussos_2024.adolescence.GLU/rs8139758_count_position.png",4,220,900)</f>
        <v/>
      </c>
      <c r="T2449">
        <f>IMAGE("https://mitra.stanford.edu/kundaje/oak/projects/neuro-variants/variant_position/credible/roussos_2024/variant_figures/roussos_2024.adolescence.GLU/rs8139758_profile_position.png",4,220,900)</f>
        <v/>
      </c>
    </row>
    <row r="2450">
      <c r="A2450" t="inlineStr">
        <is>
          <t>chr22</t>
        </is>
      </c>
      <c r="B2450" t="n">
        <v>49869993</v>
      </c>
      <c r="C2450" t="inlineStr">
        <is>
          <t>G</t>
        </is>
      </c>
      <c r="D2450" t="inlineStr">
        <is>
          <t>T</t>
        </is>
      </c>
      <c r="E2450" t="inlineStr">
        <is>
          <t>rs5769761</t>
        </is>
      </c>
      <c r="F2450" t="n">
        <v>-0.0214863782</v>
      </c>
      <c r="G2450" t="n">
        <v>0.2872378908120618</v>
      </c>
      <c r="H2450" t="n">
        <v>0.0103984398509487</v>
      </c>
      <c r="I2450" t="n">
        <v>0.49732091431427</v>
      </c>
      <c r="J2450" t="n">
        <v>0.2333797715241014</v>
      </c>
      <c r="K2450" t="n">
        <v>0.3554681982181434</v>
      </c>
      <c r="L2450" t="b">
        <v>0</v>
      </c>
      <c r="M2450" t="b">
        <v>0</v>
      </c>
      <c r="N2450" t="inlineStr">
        <is>
          <t>ref</t>
        </is>
      </c>
      <c r="O2450" t="n">
        <v>-80</v>
      </c>
      <c r="P2450" t="n">
        <v>0.02933</v>
      </c>
      <c r="Q2450" t="n">
        <v>-30</v>
      </c>
      <c r="R2450" t="n">
        <v>0.01436</v>
      </c>
      <c r="S2450">
        <f>IMAGE("https://mitra.stanford.edu/kundaje/oak/projects/neuro-variants/variant_position/credible/roussos_2024/variant_figures/roussos_2024.adolescence.GLU/rs5769761_count_position.png",4,220,900)</f>
        <v/>
      </c>
      <c r="T2450">
        <f>IMAGE("https://mitra.stanford.edu/kundaje/oak/projects/neuro-variants/variant_position/credible/roussos_2024/variant_figures/roussos_2024.adolescence.GLU/rs5769761_profile_position.png",4,220,900)</f>
        <v/>
      </c>
    </row>
    <row r="2451">
      <c r="A2451" t="inlineStr">
        <is>
          <t>chr22</t>
        </is>
      </c>
      <c r="B2451" t="n">
        <v>49870394</v>
      </c>
      <c r="C2451" t="inlineStr">
        <is>
          <t>G</t>
        </is>
      </c>
      <c r="D2451" t="inlineStr">
        <is>
          <t>A</t>
        </is>
      </c>
      <c r="E2451" t="inlineStr">
        <is>
          <t>rs5769762</t>
        </is>
      </c>
      <c r="F2451" t="n">
        <v>0.01101604656</v>
      </c>
      <c r="G2451" t="n">
        <v>0.4996075646223218</v>
      </c>
      <c r="H2451" t="n">
        <v>0.0203684337651169</v>
      </c>
      <c r="I2451" t="n">
        <v>0.0574449630821052</v>
      </c>
      <c r="J2451" t="n">
        <v>0.123731344349901</v>
      </c>
      <c r="K2451" t="n">
        <v>0.5244047274640773</v>
      </c>
      <c r="L2451" t="b">
        <v>0</v>
      </c>
      <c r="M2451" t="b">
        <v>0</v>
      </c>
      <c r="N2451" t="inlineStr">
        <is>
          <t>alt</t>
        </is>
      </c>
      <c r="O2451" t="n">
        <v>5</v>
      </c>
      <c r="P2451" t="n">
        <v>0.000412</v>
      </c>
      <c r="Q2451" t="n">
        <v>100</v>
      </c>
      <c r="R2451" t="n">
        <v>0.07240000000000001</v>
      </c>
      <c r="S2451">
        <f>IMAGE("https://mitra.stanford.edu/kundaje/oak/projects/neuro-variants/variant_position/credible/roussos_2024/variant_figures/roussos_2024.adolescence.GLU/rs5769762_count_position.png",4,220,900)</f>
        <v/>
      </c>
      <c r="T2451">
        <f>IMAGE("https://mitra.stanford.edu/kundaje/oak/projects/neuro-variants/variant_position/credible/roussos_2024/variant_figures/roussos_2024.adolescence.GLU/rs5769762_profile_position.png",4,220,900)</f>
        <v/>
      </c>
    </row>
    <row r="2452">
      <c r="A2452" t="inlineStr">
        <is>
          <t>chr22</t>
        </is>
      </c>
      <c r="B2452" t="n">
        <v>49874174</v>
      </c>
      <c r="C2452" t="inlineStr">
        <is>
          <t>T</t>
        </is>
      </c>
      <c r="D2452" t="inlineStr">
        <is>
          <t>C</t>
        </is>
      </c>
      <c r="E2452" t="inlineStr">
        <is>
          <t>rs4824106</t>
        </is>
      </c>
      <c r="F2452" t="n">
        <v>-0.0142051334</v>
      </c>
      <c r="G2452" t="n">
        <v>0.4171869972729702</v>
      </c>
      <c r="H2452" t="n">
        <v>0.0100302456495289</v>
      </c>
      <c r="I2452" t="n">
        <v>0.5332632437684461</v>
      </c>
      <c r="J2452" t="n">
        <v>0.4212501160954769</v>
      </c>
      <c r="K2452" t="n">
        <v>0.1488300256706067</v>
      </c>
      <c r="L2452" t="b">
        <v>0</v>
      </c>
      <c r="M2452" t="b">
        <v>0</v>
      </c>
      <c r="N2452" t="inlineStr">
        <is>
          <t>ref</t>
        </is>
      </c>
      <c r="O2452" t="n">
        <v>100</v>
      </c>
      <c r="P2452" t="n">
        <v>0.03876</v>
      </c>
      <c r="Q2452" t="n">
        <v>50</v>
      </c>
      <c r="R2452" t="n">
        <v>0.0609</v>
      </c>
      <c r="S2452">
        <f>IMAGE("https://mitra.stanford.edu/kundaje/oak/projects/neuro-variants/variant_position/credible/roussos_2024/variant_figures/roussos_2024.adolescence.GLU/rs4824106_count_position.png",4,220,900)</f>
        <v/>
      </c>
      <c r="T2452">
        <f>IMAGE("https://mitra.stanford.edu/kundaje/oak/projects/neuro-variants/variant_position/credible/roussos_2024/variant_figures/roussos_2024.adolescence.GLU/rs4824106_profile_position.png",4,220,900)</f>
        <v/>
      </c>
    </row>
    <row r="2453">
      <c r="A2453" t="inlineStr">
        <is>
          <t>chr22</t>
        </is>
      </c>
      <c r="B2453" t="n">
        <v>49879526</v>
      </c>
      <c r="C2453" t="inlineStr">
        <is>
          <t>A</t>
        </is>
      </c>
      <c r="D2453" t="inlineStr">
        <is>
          <t>G</t>
        </is>
      </c>
      <c r="E2453" t="inlineStr">
        <is>
          <t>rs8184990</t>
        </is>
      </c>
      <c r="F2453" t="n">
        <v>0.07032947439999999</v>
      </c>
      <c r="G2453" t="n">
        <v>0.0226086649558682</v>
      </c>
      <c r="H2453" t="n">
        <v>0.0135435247271987</v>
      </c>
      <c r="I2453" t="n">
        <v>0.2374343949392262</v>
      </c>
      <c r="J2453" t="n">
        <v>0.6517592929964064</v>
      </c>
      <c r="K2453" t="n">
        <v>0.0246786651811266</v>
      </c>
      <c r="L2453" t="b">
        <v>0</v>
      </c>
      <c r="M2453" t="b">
        <v>0</v>
      </c>
      <c r="N2453" t="inlineStr">
        <is>
          <t>alt</t>
        </is>
      </c>
      <c r="O2453" t="n">
        <v>90</v>
      </c>
      <c r="P2453" t="n">
        <v>0.01308</v>
      </c>
      <c r="Q2453" t="n">
        <v>85</v>
      </c>
      <c r="R2453" t="n">
        <v>0.1719</v>
      </c>
      <c r="S2453">
        <f>IMAGE("https://mitra.stanford.edu/kundaje/oak/projects/neuro-variants/variant_position/credible/roussos_2024/variant_figures/roussos_2024.adolescence.GLU/rs8184990_count_position.png",4,220,900)</f>
        <v/>
      </c>
      <c r="T2453">
        <f>IMAGE("https://mitra.stanford.edu/kundaje/oak/projects/neuro-variants/variant_position/credible/roussos_2024/variant_figures/roussos_2024.adolescence.GLU/rs8184990_profile_position.png",4,220,900)</f>
        <v/>
      </c>
    </row>
    <row r="2454">
      <c r="A2454" t="inlineStr">
        <is>
          <t>chr22</t>
        </is>
      </c>
      <c r="B2454" t="n">
        <v>49884920</v>
      </c>
      <c r="C2454" t="inlineStr">
        <is>
          <t>A</t>
        </is>
      </c>
      <c r="D2454" t="inlineStr">
        <is>
          <t>G</t>
        </is>
      </c>
      <c r="E2454" t="inlineStr">
        <is>
          <t>rs910799</t>
        </is>
      </c>
      <c r="F2454" t="n">
        <v>0.1289880278</v>
      </c>
      <c r="G2454" t="n">
        <v>0.0033839861398823</v>
      </c>
      <c r="H2454" t="n">
        <v>0.0300849642783015</v>
      </c>
      <c r="I2454" t="n">
        <v>0.0107233007472063</v>
      </c>
      <c r="J2454" t="n">
        <v>0.7089982925034471</v>
      </c>
      <c r="K2454" t="n">
        <v>0.014253517338876</v>
      </c>
      <c r="L2454" t="b">
        <v>1</v>
      </c>
      <c r="M2454" t="b">
        <v>1</v>
      </c>
      <c r="N2454" t="inlineStr">
        <is>
          <t>alt</t>
        </is>
      </c>
      <c r="O2454" t="n">
        <v>-40</v>
      </c>
      <c r="P2454" t="n">
        <v>0.001129</v>
      </c>
      <c r="Q2454" t="n">
        <v>-45</v>
      </c>
      <c r="R2454" t="n">
        <v>0.11554</v>
      </c>
      <c r="S2454">
        <f>IMAGE("https://mitra.stanford.edu/kundaje/oak/projects/neuro-variants/variant_position/credible/roussos_2024/variant_figures/roussos_2024.adolescence.GLU/rs910799_count_position.png",4,220,900)</f>
        <v/>
      </c>
      <c r="T2454">
        <f>IMAGE("https://mitra.stanford.edu/kundaje/oak/projects/neuro-variants/variant_position/credible/roussos_2024/variant_figures/roussos_2024.adolescence.GLU/rs910799_profile_position.png",4,220,900)</f>
        <v/>
      </c>
    </row>
    <row r="2455">
      <c r="A2455" t="inlineStr">
        <is>
          <t>chr22</t>
        </is>
      </c>
      <c r="B2455" t="n">
        <v>49884994</v>
      </c>
      <c r="C2455" t="inlineStr">
        <is>
          <t>C</t>
        </is>
      </c>
      <c r="D2455" t="inlineStr">
        <is>
          <t>T</t>
        </is>
      </c>
      <c r="E2455" t="inlineStr">
        <is>
          <t>rs910800</t>
        </is>
      </c>
      <c r="F2455" t="n">
        <v>-0.1179163073999999</v>
      </c>
      <c r="G2455" t="n">
        <v>0.006609637812184</v>
      </c>
      <c r="H2455" t="n">
        <v>0.0241183157045651</v>
      </c>
      <c r="I2455" t="n">
        <v>0.040497701583955</v>
      </c>
      <c r="J2455" t="n">
        <v>0.6884969029298926</v>
      </c>
      <c r="K2455" t="n">
        <v>0.0167353419619861</v>
      </c>
      <c r="L2455" t="b">
        <v>1</v>
      </c>
      <c r="M2455" t="b">
        <v>1</v>
      </c>
      <c r="N2455" t="inlineStr">
        <is>
          <t>ref</t>
        </is>
      </c>
      <c r="O2455" t="n">
        <v>-100</v>
      </c>
      <c r="P2455" t="n">
        <v>0.002998</v>
      </c>
      <c r="Q2455" t="n">
        <v>70</v>
      </c>
      <c r="R2455" t="n">
        <v>0.04977</v>
      </c>
      <c r="S2455">
        <f>IMAGE("https://mitra.stanford.edu/kundaje/oak/projects/neuro-variants/variant_position/credible/roussos_2024/variant_figures/roussos_2024.adolescence.GLU/rs910800_count_position.png",4,220,900)</f>
        <v/>
      </c>
      <c r="T2455">
        <f>IMAGE("https://mitra.stanford.edu/kundaje/oak/projects/neuro-variants/variant_position/credible/roussos_2024/variant_figures/roussos_2024.adolescence.GLU/rs910800_profile_position.png",4,220,900)</f>
        <v/>
      </c>
    </row>
    <row r="2456">
      <c r="A2456" t="inlineStr">
        <is>
          <t>chr22</t>
        </is>
      </c>
      <c r="B2456" t="n">
        <v>49893179</v>
      </c>
      <c r="C2456" t="inlineStr">
        <is>
          <t>G</t>
        </is>
      </c>
      <c r="D2456" t="inlineStr">
        <is>
          <t>A</t>
        </is>
      </c>
      <c r="E2456" t="inlineStr">
        <is>
          <t>rs768618</t>
        </is>
      </c>
      <c r="F2456" t="n">
        <v>-0.070321834</v>
      </c>
      <c r="G2456" t="n">
        <v>0.0236372979087802</v>
      </c>
      <c r="H2456" t="n">
        <v>0.011634322970212</v>
      </c>
      <c r="I2456" t="n">
        <v>0.3592378952223828</v>
      </c>
      <c r="J2456" t="n">
        <v>0.1956348100677996</v>
      </c>
      <c r="K2456" t="n">
        <v>0.4082499696160346</v>
      </c>
      <c r="L2456" t="b">
        <v>0</v>
      </c>
      <c r="M2456" t="b">
        <v>0</v>
      </c>
      <c r="N2456" t="inlineStr">
        <is>
          <t>ref</t>
        </is>
      </c>
      <c r="O2456" t="n">
        <v>45</v>
      </c>
      <c r="P2456" t="n">
        <v>0.001732</v>
      </c>
      <c r="Q2456" t="n">
        <v>-65</v>
      </c>
      <c r="R2456" t="n">
        <v>0.08057</v>
      </c>
      <c r="S2456">
        <f>IMAGE("https://mitra.stanford.edu/kundaje/oak/projects/neuro-variants/variant_position/credible/roussos_2024/variant_figures/roussos_2024.adolescence.GLU/rs768618_count_position.png",4,220,900)</f>
        <v/>
      </c>
      <c r="T2456">
        <f>IMAGE("https://mitra.stanford.edu/kundaje/oak/projects/neuro-variants/variant_position/credible/roussos_2024/variant_figures/roussos_2024.adolescence.GLU/rs768618_profile_position.png",4,220,900)</f>
        <v/>
      </c>
    </row>
    <row r="2457">
      <c r="A2457" t="inlineStr">
        <is>
          <t>chr22</t>
        </is>
      </c>
      <c r="B2457" t="n">
        <v>49893618</v>
      </c>
      <c r="C2457" t="inlineStr">
        <is>
          <t>C</t>
        </is>
      </c>
      <c r="D2457" t="inlineStr">
        <is>
          <t>T</t>
        </is>
      </c>
      <c r="E2457" t="inlineStr">
        <is>
          <t>rs768619</t>
        </is>
      </c>
      <c r="F2457" t="n">
        <v>0.008265335760000001</v>
      </c>
      <c r="G2457" t="n">
        <v>0.5744022386923623</v>
      </c>
      <c r="H2457" t="n">
        <v>0.0213618032893754</v>
      </c>
      <c r="I2457" t="n">
        <v>0.0406213909304521</v>
      </c>
      <c r="J2457" t="n">
        <v>0.1669245772338555</v>
      </c>
      <c r="K2457" t="n">
        <v>0.4540099509952973</v>
      </c>
      <c r="L2457" t="b">
        <v>0</v>
      </c>
      <c r="M2457" t="b">
        <v>0</v>
      </c>
      <c r="N2457" t="inlineStr">
        <is>
          <t>alt</t>
        </is>
      </c>
      <c r="O2457" t="n">
        <v>-75</v>
      </c>
      <c r="P2457" t="n">
        <v>0.008606000000000001</v>
      </c>
      <c r="Q2457" t="n">
        <v>-30</v>
      </c>
      <c r="R2457" t="n">
        <v>0.0325</v>
      </c>
      <c r="S2457">
        <f>IMAGE("https://mitra.stanford.edu/kundaje/oak/projects/neuro-variants/variant_position/credible/roussos_2024/variant_figures/roussos_2024.adolescence.GLU/rs768619_count_position.png",4,220,900)</f>
        <v/>
      </c>
      <c r="T2457">
        <f>IMAGE("https://mitra.stanford.edu/kundaje/oak/projects/neuro-variants/variant_position/credible/roussos_2024/variant_figures/roussos_2024.adolescence.GLU/rs768619_profile_position.png",4,220,900)</f>
        <v/>
      </c>
    </row>
    <row r="2458">
      <c r="A2458" t="inlineStr">
        <is>
          <t>chr22</t>
        </is>
      </c>
      <c r="B2458" t="n">
        <v>49898221</v>
      </c>
      <c r="C2458" t="inlineStr">
        <is>
          <t>A</t>
        </is>
      </c>
      <c r="D2458" t="inlineStr">
        <is>
          <t>G</t>
        </is>
      </c>
      <c r="E2458" t="inlineStr">
        <is>
          <t>rs8138687</t>
        </is>
      </c>
      <c r="F2458" t="n">
        <v>0.01026259098</v>
      </c>
      <c r="G2458" t="n">
        <v>0.4888345412013689</v>
      </c>
      <c r="H2458" t="n">
        <v>0.0077943727154334</v>
      </c>
      <c r="I2458" t="n">
        <v>0.8258263345310127</v>
      </c>
      <c r="J2458" t="n">
        <v>0.0430017646512491</v>
      </c>
      <c r="K2458" t="n">
        <v>0.7279430525437508</v>
      </c>
      <c r="L2458" t="b">
        <v>0</v>
      </c>
      <c r="M2458" t="b">
        <v>0</v>
      </c>
      <c r="N2458" t="inlineStr">
        <is>
          <t>alt</t>
        </is>
      </c>
      <c r="O2458" t="n">
        <v>75</v>
      </c>
      <c r="P2458" t="n">
        <v>0.03174</v>
      </c>
      <c r="Q2458" t="n">
        <v>100</v>
      </c>
      <c r="R2458" t="n">
        <v>0.06128</v>
      </c>
      <c r="S2458">
        <f>IMAGE("https://mitra.stanford.edu/kundaje/oak/projects/neuro-variants/variant_position/credible/roussos_2024/variant_figures/roussos_2024.adolescence.GLU/rs8138687_count_position.png",4,220,900)</f>
        <v/>
      </c>
      <c r="T2458">
        <f>IMAGE("https://mitra.stanford.edu/kundaje/oak/projects/neuro-variants/variant_position/credible/roussos_2024/variant_figures/roussos_2024.adolescence.GLU/rs8138687_profile_position.png",4,220,900)</f>
        <v/>
      </c>
    </row>
    <row r="2459">
      <c r="A2459" t="inlineStr">
        <is>
          <t>chr22</t>
        </is>
      </c>
      <c r="B2459" t="n">
        <v>49915587</v>
      </c>
      <c r="C2459" t="inlineStr">
        <is>
          <t>T</t>
        </is>
      </c>
      <c r="D2459" t="inlineStr">
        <is>
          <t>A</t>
        </is>
      </c>
      <c r="E2459" t="inlineStr">
        <is>
          <t>rs3883952</t>
        </is>
      </c>
      <c r="F2459" t="n">
        <v>-0.0035175979139999</v>
      </c>
      <c r="G2459" t="n">
        <v>0.8120825854194113</v>
      </c>
      <c r="H2459" t="n">
        <v>0.0173104557850356</v>
      </c>
      <c r="I2459" t="n">
        <v>0.1043419508414833</v>
      </c>
      <c r="J2459" t="n">
        <v>0.3648427174200369</v>
      </c>
      <c r="K2459" t="n">
        <v>0.2018407112608739</v>
      </c>
      <c r="L2459" t="b">
        <v>0</v>
      </c>
      <c r="M2459" t="b">
        <v>0</v>
      </c>
      <c r="N2459" t="inlineStr">
        <is>
          <t>ref</t>
        </is>
      </c>
      <c r="O2459" t="n">
        <v>-100</v>
      </c>
      <c r="P2459" t="n">
        <v>0.002838</v>
      </c>
      <c r="Q2459" t="n">
        <v>90</v>
      </c>
      <c r="R2459" t="n">
        <v>0.06569999999999999</v>
      </c>
      <c r="S2459">
        <f>IMAGE("https://mitra.stanford.edu/kundaje/oak/projects/neuro-variants/variant_position/credible/roussos_2024/variant_figures/roussos_2024.adolescence.GLU/rs3883952_count_position.png",4,220,900)</f>
        <v/>
      </c>
      <c r="T2459">
        <f>IMAGE("https://mitra.stanford.edu/kundaje/oak/projects/neuro-variants/variant_position/credible/roussos_2024/variant_figures/roussos_2024.adolescence.GLU/rs3883952_profile_position.png",4,220,900)</f>
        <v/>
      </c>
    </row>
    <row r="2460">
      <c r="A2460" t="inlineStr">
        <is>
          <t>chr22</t>
        </is>
      </c>
      <c r="B2460" t="n">
        <v>49919710</v>
      </c>
      <c r="C2460" t="inlineStr">
        <is>
          <t>G</t>
        </is>
      </c>
      <c r="D2460" t="inlineStr">
        <is>
          <t>C</t>
        </is>
      </c>
      <c r="E2460" t="inlineStr">
        <is>
          <t>rs8137331</t>
        </is>
      </c>
      <c r="F2460" t="n">
        <v>-0.0322901164</v>
      </c>
      <c r="G2460" t="n">
        <v>0.160302721250698</v>
      </c>
      <c r="H2460" t="n">
        <v>0.0117203290254213</v>
      </c>
      <c r="I2460" t="n">
        <v>0.3628921799792205</v>
      </c>
      <c r="J2460" t="n">
        <v>0.5640496960084589</v>
      </c>
      <c r="K2460" t="n">
        <v>0.0529166345639346</v>
      </c>
      <c r="L2460" t="b">
        <v>0</v>
      </c>
      <c r="M2460" t="b">
        <v>0</v>
      </c>
      <c r="N2460" t="inlineStr">
        <is>
          <t>ref</t>
        </is>
      </c>
      <c r="O2460" t="n">
        <v>90</v>
      </c>
      <c r="P2460" t="n">
        <v>0.00923</v>
      </c>
      <c r="Q2460" t="n">
        <v>-35</v>
      </c>
      <c r="R2460" t="n">
        <v>0.02069</v>
      </c>
      <c r="S2460">
        <f>IMAGE("https://mitra.stanford.edu/kundaje/oak/projects/neuro-variants/variant_position/credible/roussos_2024/variant_figures/roussos_2024.adolescence.GLU/rs8137331_count_position.png",4,220,900)</f>
        <v/>
      </c>
      <c r="T2460">
        <f>IMAGE("https://mitra.stanford.edu/kundaje/oak/projects/neuro-variants/variant_position/credible/roussos_2024/variant_figures/roussos_2024.adolescence.GLU/rs8137331_profile_position.png",4,220,900)</f>
        <v/>
      </c>
    </row>
    <row r="2461">
      <c r="A2461" t="inlineStr">
        <is>
          <t>chr22</t>
        </is>
      </c>
      <c r="B2461" t="n">
        <v>49920698</v>
      </c>
      <c r="C2461" t="inlineStr">
        <is>
          <t>A</t>
        </is>
      </c>
      <c r="D2461" t="inlineStr">
        <is>
          <t>G</t>
        </is>
      </c>
      <c r="E2461" t="inlineStr">
        <is>
          <t>rs7284417</t>
        </is>
      </c>
      <c r="F2461" t="n">
        <v>0.0347010098</v>
      </c>
      <c r="G2461" t="n">
        <v>0.1330470771921271</v>
      </c>
      <c r="H2461" t="n">
        <v>0.0104699585293227</v>
      </c>
      <c r="I2461" t="n">
        <v>0.4733079533516163</v>
      </c>
      <c r="J2461" t="n">
        <v>0.5431082152731638</v>
      </c>
      <c r="K2461" t="n">
        <v>0.0631477867011101</v>
      </c>
      <c r="L2461" t="b">
        <v>0</v>
      </c>
      <c r="M2461" t="b">
        <v>0</v>
      </c>
      <c r="N2461" t="inlineStr">
        <is>
          <t>alt</t>
        </is>
      </c>
      <c r="O2461" t="n">
        <v>-60</v>
      </c>
      <c r="P2461" t="n">
        <v>0.003681</v>
      </c>
      <c r="Q2461" t="n">
        <v>100</v>
      </c>
      <c r="R2461" t="n">
        <v>0.1592</v>
      </c>
      <c r="S2461">
        <f>IMAGE("https://mitra.stanford.edu/kundaje/oak/projects/neuro-variants/variant_position/credible/roussos_2024/variant_figures/roussos_2024.adolescence.GLU/rs7284417_count_position.png",4,220,900)</f>
        <v/>
      </c>
      <c r="T2461">
        <f>IMAGE("https://mitra.stanford.edu/kundaje/oak/projects/neuro-variants/variant_position/credible/roussos_2024/variant_figures/roussos_2024.adolescence.GLU/rs7284417_profile_position.png",4,220,900)</f>
        <v/>
      </c>
    </row>
    <row r="2462">
      <c r="A2462" t="inlineStr">
        <is>
          <t>chr22</t>
        </is>
      </c>
      <c r="B2462" t="n">
        <v>50660705</v>
      </c>
      <c r="C2462" t="inlineStr">
        <is>
          <t>G</t>
        </is>
      </c>
      <c r="D2462" t="inlineStr">
        <is>
          <t>A</t>
        </is>
      </c>
      <c r="E2462" t="inlineStr">
        <is>
          <t>rs6010043</t>
        </is>
      </c>
      <c r="F2462" t="n">
        <v>-0.00086814484</v>
      </c>
      <c r="G2462" t="n">
        <v>0.8400128354468862</v>
      </c>
      <c r="H2462" t="n">
        <v>0.0241758724315019</v>
      </c>
      <c r="I2462" t="n">
        <v>0.022910719455416</v>
      </c>
      <c r="J2462" t="n">
        <v>0.0178179765808631</v>
      </c>
      <c r="K2462" t="n">
        <v>0.8349614067173511</v>
      </c>
      <c r="L2462" t="b">
        <v>0</v>
      </c>
      <c r="M2462" t="b">
        <v>0</v>
      </c>
      <c r="N2462" t="inlineStr">
        <is>
          <t>ref</t>
        </is>
      </c>
      <c r="O2462" t="n">
        <v>100</v>
      </c>
      <c r="P2462" t="n">
        <v>0.01417</v>
      </c>
      <c r="Q2462" t="n">
        <v>-100</v>
      </c>
      <c r="R2462" t="n">
        <v>0.02539</v>
      </c>
      <c r="S2462">
        <f>IMAGE("https://mitra.stanford.edu/kundaje/oak/projects/neuro-variants/variant_position/credible/roussos_2024/variant_figures/roussos_2024.adolescence.GLU/rs6010043_count_position.png",4,220,900)</f>
        <v/>
      </c>
      <c r="T2462">
        <f>IMAGE("https://mitra.stanford.edu/kundaje/oak/projects/neuro-variants/variant_position/credible/roussos_2024/variant_figures/roussos_2024.adolescence.GLU/rs6010043_profile_position.png",4,220,900)</f>
        <v/>
      </c>
    </row>
    <row r="2463">
      <c r="A2463" t="inlineStr">
        <is>
          <t>chr3</t>
        </is>
      </c>
      <c r="B2463" t="n">
        <v>2325211</v>
      </c>
      <c r="C2463" t="inlineStr">
        <is>
          <t>G</t>
        </is>
      </c>
      <c r="D2463" t="inlineStr">
        <is>
          <t>A</t>
        </is>
      </c>
      <c r="E2463" t="inlineStr">
        <is>
          <t>rs4685508</t>
        </is>
      </c>
      <c r="F2463" t="n">
        <v>-0.0817427414</v>
      </c>
      <c r="G2463" t="n">
        <v>0.0201192954788521</v>
      </c>
      <c r="H2463" t="n">
        <v>0.0178917035101803</v>
      </c>
      <c r="I2463" t="n">
        <v>0.0921028797873904</v>
      </c>
      <c r="J2463" t="n">
        <v>0.2016489129891191</v>
      </c>
      <c r="K2463" t="n">
        <v>0.3963888445792738</v>
      </c>
      <c r="L2463" t="b">
        <v>1</v>
      </c>
      <c r="M2463" t="b">
        <v>0</v>
      </c>
      <c r="N2463" t="inlineStr">
        <is>
          <t>ref</t>
        </is>
      </c>
      <c r="O2463" t="n">
        <v>35</v>
      </c>
      <c r="P2463" t="n">
        <v>0.004417</v>
      </c>
      <c r="Q2463" t="n">
        <v>-65</v>
      </c>
      <c r="R2463" t="n">
        <v>0.03088</v>
      </c>
      <c r="S2463">
        <f>IMAGE("https://mitra.stanford.edu/kundaje/oak/projects/neuro-variants/variant_position/credible/roussos_2024/variant_figures/roussos_2024.adolescence.GLU/rs4685508_count_position.png",4,220,900)</f>
        <v/>
      </c>
      <c r="T2463">
        <f>IMAGE("https://mitra.stanford.edu/kundaje/oak/projects/neuro-variants/variant_position/credible/roussos_2024/variant_figures/roussos_2024.adolescence.GLU/rs4685508_profile_position.png",4,220,900)</f>
        <v/>
      </c>
    </row>
    <row r="2464">
      <c r="A2464" t="inlineStr">
        <is>
          <t>chr3</t>
        </is>
      </c>
      <c r="B2464" t="n">
        <v>2326193</v>
      </c>
      <c r="C2464" t="inlineStr">
        <is>
          <t>G</t>
        </is>
      </c>
      <c r="D2464" t="inlineStr">
        <is>
          <t>A</t>
        </is>
      </c>
      <c r="E2464" t="inlineStr">
        <is>
          <t>rs12638682</t>
        </is>
      </c>
      <c r="F2464" t="n">
        <v>0.0313627186</v>
      </c>
      <c r="G2464" t="n">
        <v>0.1614198823731941</v>
      </c>
      <c r="H2464" t="n">
        <v>0.0192981977595721</v>
      </c>
      <c r="I2464" t="n">
        <v>0.0771896214810123</v>
      </c>
      <c r="J2464" t="n">
        <v>0.1428167263218809</v>
      </c>
      <c r="K2464" t="n">
        <v>0.4892183430044827</v>
      </c>
      <c r="L2464" t="b">
        <v>0</v>
      </c>
      <c r="M2464" t="b">
        <v>0</v>
      </c>
      <c r="N2464" t="inlineStr">
        <is>
          <t>alt</t>
        </is>
      </c>
      <c r="O2464" t="n">
        <v>25</v>
      </c>
      <c r="P2464" t="n">
        <v>0.000828</v>
      </c>
      <c r="Q2464" t="n">
        <v>65</v>
      </c>
      <c r="R2464" t="n">
        <v>0.03137</v>
      </c>
      <c r="S2464">
        <f>IMAGE("https://mitra.stanford.edu/kundaje/oak/projects/neuro-variants/variant_position/credible/roussos_2024/variant_figures/roussos_2024.adolescence.GLU/rs12638682_count_position.png",4,220,900)</f>
        <v/>
      </c>
      <c r="T2464">
        <f>IMAGE("https://mitra.stanford.edu/kundaje/oak/projects/neuro-variants/variant_position/credible/roussos_2024/variant_figures/roussos_2024.adolescence.GLU/rs12638682_profile_position.png",4,220,900)</f>
        <v/>
      </c>
    </row>
    <row r="2465">
      <c r="A2465" t="inlineStr">
        <is>
          <t>chr3</t>
        </is>
      </c>
      <c r="B2465" t="n">
        <v>2331105</v>
      </c>
      <c r="C2465" t="inlineStr">
        <is>
          <t>A</t>
        </is>
      </c>
      <c r="D2465" t="inlineStr">
        <is>
          <t>C</t>
        </is>
      </c>
      <c r="E2465" t="inlineStr">
        <is>
          <t>rs56251018</t>
        </is>
      </c>
      <c r="F2465" t="n">
        <v>-0.0255820645399999</v>
      </c>
      <c r="G2465" t="n">
        <v>0.2411087573297141</v>
      </c>
      <c r="H2465" t="n">
        <v>0.0188825179978156</v>
      </c>
      <c r="I2465" t="n">
        <v>0.0777979065800323</v>
      </c>
      <c r="J2465" t="n">
        <v>0.036357531202892</v>
      </c>
      <c r="K2465" t="n">
        <v>0.752863062019537</v>
      </c>
      <c r="L2465" t="b">
        <v>0</v>
      </c>
      <c r="M2465" t="b">
        <v>0</v>
      </c>
      <c r="N2465" t="inlineStr">
        <is>
          <t>ref</t>
        </is>
      </c>
      <c r="O2465" t="n">
        <v>40</v>
      </c>
      <c r="P2465" t="n">
        <v>0.00235</v>
      </c>
      <c r="Q2465" t="n">
        <v>95</v>
      </c>
      <c r="R2465" t="n">
        <v>0.02281</v>
      </c>
      <c r="S2465">
        <f>IMAGE("https://mitra.stanford.edu/kundaje/oak/projects/neuro-variants/variant_position/credible/roussos_2024/variant_figures/roussos_2024.adolescence.GLU/rs56251018_count_position.png",4,220,900)</f>
        <v/>
      </c>
      <c r="T2465">
        <f>IMAGE("https://mitra.stanford.edu/kundaje/oak/projects/neuro-variants/variant_position/credible/roussos_2024/variant_figures/roussos_2024.adolescence.GLU/rs56251018_profile_position.png",4,220,900)</f>
        <v/>
      </c>
    </row>
    <row r="2466">
      <c r="A2466" t="inlineStr">
        <is>
          <t>chr3</t>
        </is>
      </c>
      <c r="B2466" t="n">
        <v>2343483</v>
      </c>
      <c r="C2466" t="inlineStr">
        <is>
          <t>G</t>
        </is>
      </c>
      <c r="D2466" t="inlineStr">
        <is>
          <t>A</t>
        </is>
      </c>
      <c r="E2466" t="inlineStr">
        <is>
          <t>rs1720179</t>
        </is>
      </c>
      <c r="F2466" t="n">
        <v>0.168562953</v>
      </c>
      <c r="G2466" t="n">
        <v>0.001600040833247</v>
      </c>
      <c r="H2466" t="n">
        <v>0.0422128547746531</v>
      </c>
      <c r="I2466" t="n">
        <v>0.0023455638122679</v>
      </c>
      <c r="J2466" t="n">
        <v>0.4122725421694493</v>
      </c>
      <c r="K2466" t="n">
        <v>0.1551281085051244</v>
      </c>
      <c r="L2466" t="b">
        <v>1</v>
      </c>
      <c r="M2466" t="b">
        <v>1</v>
      </c>
      <c r="N2466" t="inlineStr">
        <is>
          <t>alt</t>
        </is>
      </c>
      <c r="O2466" t="n">
        <v>-70</v>
      </c>
      <c r="P2466" t="n">
        <v>0.005844</v>
      </c>
      <c r="Q2466" t="n">
        <v>-95</v>
      </c>
      <c r="R2466" t="n">
        <v>0.1426</v>
      </c>
      <c r="S2466">
        <f>IMAGE("https://mitra.stanford.edu/kundaje/oak/projects/neuro-variants/variant_position/credible/roussos_2024/variant_figures/roussos_2024.adolescence.GLU/rs1720179_count_position.png",4,220,900)</f>
        <v/>
      </c>
      <c r="T2466">
        <f>IMAGE("https://mitra.stanford.edu/kundaje/oak/projects/neuro-variants/variant_position/credible/roussos_2024/variant_figures/roussos_2024.adolescence.GLU/rs1720179_profile_position.png",4,220,900)</f>
        <v/>
      </c>
    </row>
    <row r="2467">
      <c r="A2467" t="inlineStr">
        <is>
          <t>chr3</t>
        </is>
      </c>
      <c r="B2467" t="n">
        <v>2348928</v>
      </c>
      <c r="C2467" t="inlineStr">
        <is>
          <t>C</t>
        </is>
      </c>
      <c r="D2467" t="inlineStr">
        <is>
          <t>A</t>
        </is>
      </c>
      <c r="E2467" t="inlineStr">
        <is>
          <t>rs1685495</t>
        </is>
      </c>
      <c r="F2467" t="n">
        <v>-0.0158365863999999</v>
      </c>
      <c r="G2467" t="n">
        <v>0.3971157025344313</v>
      </c>
      <c r="H2467" t="n">
        <v>0.0110527903422405</v>
      </c>
      <c r="I2467" t="n">
        <v>0.4217847020991161</v>
      </c>
      <c r="J2467" t="n">
        <v>0.0079716512706202</v>
      </c>
      <c r="K2467" t="n">
        <v>0.8964447337631621</v>
      </c>
      <c r="L2467" t="b">
        <v>0</v>
      </c>
      <c r="M2467" t="b">
        <v>0</v>
      </c>
      <c r="N2467" t="inlineStr">
        <is>
          <t>ref</t>
        </is>
      </c>
      <c r="O2467" t="n">
        <v>95</v>
      </c>
      <c r="P2467" t="n">
        <v>0.01051</v>
      </c>
      <c r="Q2467" t="n">
        <v>-80</v>
      </c>
      <c r="R2467" t="n">
        <v>0.07240000000000001</v>
      </c>
      <c r="S2467">
        <f>IMAGE("https://mitra.stanford.edu/kundaje/oak/projects/neuro-variants/variant_position/credible/roussos_2024/variant_figures/roussos_2024.adolescence.GLU/rs1685495_count_position.png",4,220,900)</f>
        <v/>
      </c>
      <c r="T2467">
        <f>IMAGE("https://mitra.stanford.edu/kundaje/oak/projects/neuro-variants/variant_position/credible/roussos_2024/variant_figures/roussos_2024.adolescence.GLU/rs1685495_profile_position.png",4,220,900)</f>
        <v/>
      </c>
    </row>
    <row r="2468">
      <c r="A2468" t="inlineStr">
        <is>
          <t>chr3</t>
        </is>
      </c>
      <c r="B2468" t="n">
        <v>2351034</v>
      </c>
      <c r="C2468" t="inlineStr">
        <is>
          <t>T</t>
        </is>
      </c>
      <c r="D2468" t="inlineStr">
        <is>
          <t>G</t>
        </is>
      </c>
      <c r="E2468" t="inlineStr">
        <is>
          <t>rs4685517</t>
        </is>
      </c>
      <c r="F2468" t="n">
        <v>0.00301362788</v>
      </c>
      <c r="G2468" t="n">
        <v>0.7944779023614599</v>
      </c>
      <c r="H2468" t="n">
        <v>0.0140656875962467</v>
      </c>
      <c r="I2468" t="n">
        <v>0.2004519287804351</v>
      </c>
      <c r="J2468" t="n">
        <v>0.1150595480492387</v>
      </c>
      <c r="K2468" t="n">
        <v>0.5390812549567598</v>
      </c>
      <c r="L2468" t="b">
        <v>0</v>
      </c>
      <c r="M2468" t="b">
        <v>0</v>
      </c>
      <c r="N2468" t="inlineStr">
        <is>
          <t>alt</t>
        </is>
      </c>
      <c r="O2468" t="n">
        <v>95</v>
      </c>
      <c r="P2468" t="n">
        <v>0.003254</v>
      </c>
      <c r="Q2468" t="n">
        <v>-55</v>
      </c>
      <c r="R2468" t="n">
        <v>0.05124</v>
      </c>
      <c r="S2468">
        <f>IMAGE("https://mitra.stanford.edu/kundaje/oak/projects/neuro-variants/variant_position/credible/roussos_2024/variant_figures/roussos_2024.adolescence.GLU/rs4685517_count_position.png",4,220,900)</f>
        <v/>
      </c>
      <c r="T2468">
        <f>IMAGE("https://mitra.stanford.edu/kundaje/oak/projects/neuro-variants/variant_position/credible/roussos_2024/variant_figures/roussos_2024.adolescence.GLU/rs4685517_profile_position.png",4,220,900)</f>
        <v/>
      </c>
    </row>
    <row r="2469">
      <c r="A2469" t="inlineStr">
        <is>
          <t>chr3</t>
        </is>
      </c>
      <c r="B2469" t="n">
        <v>2394813</v>
      </c>
      <c r="C2469" t="inlineStr">
        <is>
          <t>A</t>
        </is>
      </c>
      <c r="D2469" t="inlineStr">
        <is>
          <t>G</t>
        </is>
      </c>
      <c r="E2469" t="inlineStr">
        <is>
          <t>rs6787394</t>
        </is>
      </c>
      <c r="F2469" t="n">
        <v>0.00334409068</v>
      </c>
      <c r="G2469" t="n">
        <v>0.7047791439896489</v>
      </c>
      <c r="H2469" t="n">
        <v>0.0209206510207689</v>
      </c>
      <c r="I2469" t="n">
        <v>0.0482525339861651</v>
      </c>
      <c r="J2469" t="n">
        <v>0.0892642047281222</v>
      </c>
      <c r="K2469" t="n">
        <v>0.5888918814110257</v>
      </c>
      <c r="L2469" t="b">
        <v>0</v>
      </c>
      <c r="M2469" t="b">
        <v>0</v>
      </c>
      <c r="N2469" t="inlineStr">
        <is>
          <t>alt</t>
        </is>
      </c>
      <c r="O2469" t="n">
        <v>-100</v>
      </c>
      <c r="P2469" t="n">
        <v>0.003418</v>
      </c>
      <c r="Q2469" t="n">
        <v>-90</v>
      </c>
      <c r="R2469" t="n">
        <v>0.01019</v>
      </c>
      <c r="S2469">
        <f>IMAGE("https://mitra.stanford.edu/kundaje/oak/projects/neuro-variants/variant_position/credible/roussos_2024/variant_figures/roussos_2024.adolescence.GLU/rs6787394_count_position.png",4,220,900)</f>
        <v/>
      </c>
      <c r="T2469">
        <f>IMAGE("https://mitra.stanford.edu/kundaje/oak/projects/neuro-variants/variant_position/credible/roussos_2024/variant_figures/roussos_2024.adolescence.GLU/rs6787394_profile_position.png",4,220,900)</f>
        <v/>
      </c>
    </row>
    <row r="2470">
      <c r="A2470" t="inlineStr">
        <is>
          <t>chr3</t>
        </is>
      </c>
      <c r="B2470" t="n">
        <v>2507826</v>
      </c>
      <c r="C2470" t="inlineStr">
        <is>
          <t>T</t>
        </is>
      </c>
      <c r="D2470" t="inlineStr">
        <is>
          <t>G</t>
        </is>
      </c>
      <c r="E2470" t="inlineStr">
        <is>
          <t>rs67888396</t>
        </is>
      </c>
      <c r="F2470" t="n">
        <v>0.00653404058</v>
      </c>
      <c r="G2470" t="n">
        <v>0.6398440594658139</v>
      </c>
      <c r="H2470" t="n">
        <v>0.0194638771551317</v>
      </c>
      <c r="I2470" t="n">
        <v>0.0613922564868518</v>
      </c>
      <c r="J2470" t="n">
        <v>0.0687642440219759</v>
      </c>
      <c r="K2470" t="n">
        <v>0.6452515700940873</v>
      </c>
      <c r="L2470" t="b">
        <v>0</v>
      </c>
      <c r="M2470" t="b">
        <v>0</v>
      </c>
      <c r="N2470" t="inlineStr">
        <is>
          <t>alt</t>
        </is>
      </c>
      <c r="O2470" t="n">
        <v>35</v>
      </c>
      <c r="P2470" t="n">
        <v>0.011536</v>
      </c>
      <c r="Q2470" t="n">
        <v>-30</v>
      </c>
      <c r="R2470" t="n">
        <v>0.04016</v>
      </c>
      <c r="S2470">
        <f>IMAGE("https://mitra.stanford.edu/kundaje/oak/projects/neuro-variants/variant_position/credible/roussos_2024/variant_figures/roussos_2024.adolescence.GLU/rs67888396_count_position.png",4,220,900)</f>
        <v/>
      </c>
      <c r="T2470">
        <f>IMAGE("https://mitra.stanford.edu/kundaje/oak/projects/neuro-variants/variant_position/credible/roussos_2024/variant_figures/roussos_2024.adolescence.GLU/rs67888396_profile_position.png",4,220,900)</f>
        <v/>
      </c>
    </row>
    <row r="2471">
      <c r="A2471" t="inlineStr">
        <is>
          <t>chr3</t>
        </is>
      </c>
      <c r="B2471" t="n">
        <v>2507907</v>
      </c>
      <c r="C2471" t="inlineStr">
        <is>
          <t>T</t>
        </is>
      </c>
      <c r="D2471" t="inlineStr">
        <is>
          <t>C</t>
        </is>
      </c>
      <c r="E2471" t="inlineStr">
        <is>
          <t>rs67733815</t>
        </is>
      </c>
      <c r="F2471" t="n">
        <v>0.00168276886</v>
      </c>
      <c r="G2471" t="n">
        <v>0.770757615214444</v>
      </c>
      <c r="H2471" t="n">
        <v>0.0241743956910394</v>
      </c>
      <c r="I2471" t="n">
        <v>0.0242531024882837</v>
      </c>
      <c r="J2471" t="n">
        <v>0.062741567896207</v>
      </c>
      <c r="K2471" t="n">
        <v>0.6617750662008367</v>
      </c>
      <c r="L2471" t="b">
        <v>0</v>
      </c>
      <c r="M2471" t="b">
        <v>0</v>
      </c>
      <c r="N2471" t="inlineStr">
        <is>
          <t>alt</t>
        </is>
      </c>
      <c r="O2471" t="n">
        <v>-45</v>
      </c>
      <c r="P2471" t="n">
        <v>0.0901</v>
      </c>
      <c r="Q2471" t="n">
        <v>-100</v>
      </c>
      <c r="R2471" t="n">
        <v>0.04385</v>
      </c>
      <c r="S2471">
        <f>IMAGE("https://mitra.stanford.edu/kundaje/oak/projects/neuro-variants/variant_position/credible/roussos_2024/variant_figures/roussos_2024.adolescence.GLU/rs67733815_count_position.png",4,220,900)</f>
        <v/>
      </c>
      <c r="T2471">
        <f>IMAGE("https://mitra.stanford.edu/kundaje/oak/projects/neuro-variants/variant_position/credible/roussos_2024/variant_figures/roussos_2024.adolescence.GLU/rs67733815_profile_position.png",4,220,900)</f>
        <v/>
      </c>
    </row>
    <row r="2472">
      <c r="A2472" t="inlineStr">
        <is>
          <t>chr3</t>
        </is>
      </c>
      <c r="B2472" t="n">
        <v>3558477</v>
      </c>
      <c r="C2472" t="inlineStr">
        <is>
          <t>A</t>
        </is>
      </c>
      <c r="D2472" t="inlineStr">
        <is>
          <t>G</t>
        </is>
      </c>
      <c r="E2472" t="inlineStr">
        <is>
          <t>rs1072848</t>
        </is>
      </c>
      <c r="F2472" t="n">
        <v>0.0397084786</v>
      </c>
      <c r="G2472" t="n">
        <v>0.1062411545868113</v>
      </c>
      <c r="H2472" t="n">
        <v>0.0133473580624106</v>
      </c>
      <c r="I2472" t="n">
        <v>0.234345600304862</v>
      </c>
      <c r="J2472" t="n">
        <v>0.0998764029691864</v>
      </c>
      <c r="K2472" t="n">
        <v>0.5814214733235668</v>
      </c>
      <c r="L2472" t="b">
        <v>0</v>
      </c>
      <c r="M2472" t="b">
        <v>0</v>
      </c>
      <c r="N2472" t="inlineStr">
        <is>
          <t>alt</t>
        </is>
      </c>
      <c r="O2472" t="n">
        <v>-55</v>
      </c>
      <c r="P2472" t="n">
        <v>0.009169999999999999</v>
      </c>
      <c r="Q2472" t="n">
        <v>-5</v>
      </c>
      <c r="R2472" t="n">
        <v>0.0004578</v>
      </c>
      <c r="S2472">
        <f>IMAGE("https://mitra.stanford.edu/kundaje/oak/projects/neuro-variants/variant_position/credible/roussos_2024/variant_figures/roussos_2024.adolescence.GLU/rs1072848_count_position.png",4,220,900)</f>
        <v/>
      </c>
      <c r="T2472">
        <f>IMAGE("https://mitra.stanford.edu/kundaje/oak/projects/neuro-variants/variant_position/credible/roussos_2024/variant_figures/roussos_2024.adolescence.GLU/rs1072848_profile_position.png",4,220,900)</f>
        <v/>
      </c>
    </row>
    <row r="2473">
      <c r="A2473" t="inlineStr">
        <is>
          <t>chr3</t>
        </is>
      </c>
      <c r="B2473" t="n">
        <v>3562021</v>
      </c>
      <c r="C2473" t="inlineStr">
        <is>
          <t>G</t>
        </is>
      </c>
      <c r="D2473" t="inlineStr">
        <is>
          <t>A</t>
        </is>
      </c>
      <c r="E2473" t="inlineStr">
        <is>
          <t>rs7642870</t>
        </is>
      </c>
      <c r="F2473" t="n">
        <v>-0.0277180839999999</v>
      </c>
      <c r="G2473" t="n">
        <v>0.2182577695118808</v>
      </c>
      <c r="H2473" t="n">
        <v>0.0116818331211968</v>
      </c>
      <c r="I2473" t="n">
        <v>0.3888167551824252</v>
      </c>
      <c r="J2473" t="n">
        <v>0.0180323066921004</v>
      </c>
      <c r="K2473" t="n">
        <v>0.8324560555022483</v>
      </c>
      <c r="L2473" t="b">
        <v>0</v>
      </c>
      <c r="M2473" t="b">
        <v>0</v>
      </c>
      <c r="N2473" t="inlineStr">
        <is>
          <t>ref</t>
        </is>
      </c>
      <c r="O2473" t="n">
        <v>55</v>
      </c>
      <c r="P2473" t="n">
        <v>0.00399</v>
      </c>
      <c r="Q2473" t="n">
        <v>-80</v>
      </c>
      <c r="R2473" t="n">
        <v>0.0392</v>
      </c>
      <c r="S2473">
        <f>IMAGE("https://mitra.stanford.edu/kundaje/oak/projects/neuro-variants/variant_position/credible/roussos_2024/variant_figures/roussos_2024.adolescence.GLU/rs7642870_count_position.png",4,220,900)</f>
        <v/>
      </c>
      <c r="T2473">
        <f>IMAGE("https://mitra.stanford.edu/kundaje/oak/projects/neuro-variants/variant_position/credible/roussos_2024/variant_figures/roussos_2024.adolescence.GLU/rs7642870_profile_position.png",4,220,900)</f>
        <v/>
      </c>
    </row>
    <row r="2474">
      <c r="A2474" t="inlineStr">
        <is>
          <t>chr3</t>
        </is>
      </c>
      <c r="B2474" t="n">
        <v>16730989</v>
      </c>
      <c r="C2474" t="inlineStr">
        <is>
          <t>G</t>
        </is>
      </c>
      <c r="D2474" t="inlineStr">
        <is>
          <t>T</t>
        </is>
      </c>
      <c r="E2474" t="inlineStr">
        <is>
          <t>rs56345807</t>
        </is>
      </c>
      <c r="F2474" t="n">
        <v>-0.00932264904</v>
      </c>
      <c r="G2474" t="n">
        <v>0.5675261098625513</v>
      </c>
      <c r="H2474" t="n">
        <v>0.0106949483319493</v>
      </c>
      <c r="I2474" t="n">
        <v>0.4560190043116921</v>
      </c>
      <c r="J2474" t="n">
        <v>0.1970593908738238</v>
      </c>
      <c r="K2474" t="n">
        <v>0.4054231902669974</v>
      </c>
      <c r="L2474" t="b">
        <v>0</v>
      </c>
      <c r="M2474" t="b">
        <v>0</v>
      </c>
      <c r="N2474" t="inlineStr">
        <is>
          <t>ref</t>
        </is>
      </c>
      <c r="O2474" t="n">
        <v>100</v>
      </c>
      <c r="P2474" t="n">
        <v>0.01512</v>
      </c>
      <c r="Q2474" t="n">
        <v>60</v>
      </c>
      <c r="R2474" t="n">
        <v>0.09906</v>
      </c>
      <c r="S2474">
        <f>IMAGE("https://mitra.stanford.edu/kundaje/oak/projects/neuro-variants/variant_position/credible/roussos_2024/variant_figures/roussos_2024.adolescence.GLU/rs56345807_count_position.png",4,220,900)</f>
        <v/>
      </c>
      <c r="T2474">
        <f>IMAGE("https://mitra.stanford.edu/kundaje/oak/projects/neuro-variants/variant_position/credible/roussos_2024/variant_figures/roussos_2024.adolescence.GLU/rs56345807_profile_position.png",4,220,900)</f>
        <v/>
      </c>
    </row>
    <row r="2475">
      <c r="A2475" t="inlineStr">
        <is>
          <t>chr3</t>
        </is>
      </c>
      <c r="B2475" t="n">
        <v>16745264</v>
      </c>
      <c r="C2475" t="inlineStr">
        <is>
          <t>C</t>
        </is>
      </c>
      <c r="D2475" t="inlineStr">
        <is>
          <t>T</t>
        </is>
      </c>
      <c r="E2475" t="inlineStr">
        <is>
          <t>rs138823185</t>
        </is>
      </c>
      <c r="F2475" t="n">
        <v>-0.040010749</v>
      </c>
      <c r="G2475" t="n">
        <v>0.1148508988638152</v>
      </c>
      <c r="H2475" t="n">
        <v>0.0113692624344228</v>
      </c>
      <c r="I2475" t="n">
        <v>0.3673158845140762</v>
      </c>
      <c r="J2475" t="n">
        <v>0.4391495381186102</v>
      </c>
      <c r="K2475" t="n">
        <v>0.1303410985008525</v>
      </c>
      <c r="L2475" t="b">
        <v>0</v>
      </c>
      <c r="M2475" t="b">
        <v>0</v>
      </c>
      <c r="N2475" t="inlineStr">
        <is>
          <t>ref</t>
        </is>
      </c>
      <c r="O2475" t="n">
        <v>-75</v>
      </c>
      <c r="P2475" t="n">
        <v>0.005253</v>
      </c>
      <c r="Q2475" t="n">
        <v>20</v>
      </c>
      <c r="R2475" t="n">
        <v>0.04272</v>
      </c>
      <c r="S2475">
        <f>IMAGE("https://mitra.stanford.edu/kundaje/oak/projects/neuro-variants/variant_position/credible/roussos_2024/variant_figures/roussos_2024.adolescence.GLU/rs138823185_count_position.png",4,220,900)</f>
        <v/>
      </c>
      <c r="T2475">
        <f>IMAGE("https://mitra.stanford.edu/kundaje/oak/projects/neuro-variants/variant_position/credible/roussos_2024/variant_figures/roussos_2024.adolescence.GLU/rs138823185_profile_position.png",4,220,900)</f>
        <v/>
      </c>
    </row>
    <row r="2476">
      <c r="A2476" t="inlineStr">
        <is>
          <t>chr3</t>
        </is>
      </c>
      <c r="B2476" t="n">
        <v>16748700</v>
      </c>
      <c r="C2476" t="inlineStr">
        <is>
          <t>A</t>
        </is>
      </c>
      <c r="D2476" t="inlineStr">
        <is>
          <t>G</t>
        </is>
      </c>
      <c r="E2476" t="inlineStr">
        <is>
          <t>rs9874028</t>
        </is>
      </c>
      <c r="F2476" t="n">
        <v>0.10125812</v>
      </c>
      <c r="G2476" t="n">
        <v>0.007922001238175101</v>
      </c>
      <c r="H2476" t="n">
        <v>0.0217523864427729</v>
      </c>
      <c r="I2476" t="n">
        <v>0.0475823547696724</v>
      </c>
      <c r="J2476" t="n">
        <v>0.3377856841774367</v>
      </c>
      <c r="K2476" t="n">
        <v>0.22911260280335</v>
      </c>
      <c r="L2476" t="b">
        <v>1</v>
      </c>
      <c r="M2476" t="b">
        <v>1</v>
      </c>
      <c r="N2476" t="inlineStr">
        <is>
          <t>alt</t>
        </is>
      </c>
      <c r="O2476" t="n">
        <v>100</v>
      </c>
      <c r="P2476" t="n">
        <v>0.001545</v>
      </c>
      <c r="Q2476" t="n">
        <v>50</v>
      </c>
      <c r="R2476" t="n">
        <v>0.0202</v>
      </c>
      <c r="S2476">
        <f>IMAGE("https://mitra.stanford.edu/kundaje/oak/projects/neuro-variants/variant_position/credible/roussos_2024/variant_figures/roussos_2024.adolescence.GLU/rs9874028_count_position.png",4,220,900)</f>
        <v/>
      </c>
      <c r="T2476">
        <f>IMAGE("https://mitra.stanford.edu/kundaje/oak/projects/neuro-variants/variant_position/credible/roussos_2024/variant_figures/roussos_2024.adolescence.GLU/rs9874028_profile_position.png",4,220,900)</f>
        <v/>
      </c>
    </row>
    <row r="2477">
      <c r="A2477" t="inlineStr">
        <is>
          <t>chr3</t>
        </is>
      </c>
      <c r="B2477" t="n">
        <v>17411731</v>
      </c>
      <c r="C2477" t="inlineStr">
        <is>
          <t>T</t>
        </is>
      </c>
      <c r="D2477" t="inlineStr">
        <is>
          <t>C</t>
        </is>
      </c>
      <c r="E2477" t="inlineStr">
        <is>
          <t>rs6787756</t>
        </is>
      </c>
      <c r="F2477" t="n">
        <v>0.08814213559999989</v>
      </c>
      <c r="G2477" t="n">
        <v>0.0104217643540847</v>
      </c>
      <c r="H2477" t="n">
        <v>0.0149730532971385</v>
      </c>
      <c r="I2477" t="n">
        <v>0.1602249283346717</v>
      </c>
      <c r="J2477" t="n">
        <v>0.0870923262675839</v>
      </c>
      <c r="K2477" t="n">
        <v>0.602815013849259</v>
      </c>
      <c r="L2477" t="b">
        <v>1</v>
      </c>
      <c r="M2477" t="b">
        <v>0</v>
      </c>
      <c r="N2477" t="inlineStr">
        <is>
          <t>alt</t>
        </is>
      </c>
      <c r="O2477" t="n">
        <v>95</v>
      </c>
      <c r="P2477" t="n">
        <v>0.005108</v>
      </c>
      <c r="Q2477" t="n">
        <v>-35</v>
      </c>
      <c r="R2477" t="n">
        <v>0.04236</v>
      </c>
      <c r="S2477">
        <f>IMAGE("https://mitra.stanford.edu/kundaje/oak/projects/neuro-variants/variant_position/credible/roussos_2024/variant_figures/roussos_2024.adolescence.GLU/rs6787756_count_position.png",4,220,900)</f>
        <v/>
      </c>
      <c r="T2477">
        <f>IMAGE("https://mitra.stanford.edu/kundaje/oak/projects/neuro-variants/variant_position/credible/roussos_2024/variant_figures/roussos_2024.adolescence.GLU/rs6787756_profile_position.png",4,220,900)</f>
        <v/>
      </c>
    </row>
    <row r="2478">
      <c r="A2478" t="inlineStr">
        <is>
          <t>chr3</t>
        </is>
      </c>
      <c r="B2478" t="n">
        <v>17613896</v>
      </c>
      <c r="C2478" t="inlineStr">
        <is>
          <t>T</t>
        </is>
      </c>
      <c r="D2478" t="inlineStr">
        <is>
          <t>C</t>
        </is>
      </c>
      <c r="E2478" t="inlineStr">
        <is>
          <t>rs9681617</t>
        </is>
      </c>
      <c r="F2478" t="n">
        <v>-0.0152998516599999</v>
      </c>
      <c r="G2478" t="n">
        <v>0.4122115474203793</v>
      </c>
      <c r="H2478" t="n">
        <v>0.0194120235551041</v>
      </c>
      <c r="I2478" t="n">
        <v>0.0670786136278589</v>
      </c>
      <c r="J2478" t="n">
        <v>0.1029298926206142</v>
      </c>
      <c r="K2478" t="n">
        <v>0.5654063638413617</v>
      </c>
      <c r="L2478" t="b">
        <v>0</v>
      </c>
      <c r="M2478" t="b">
        <v>0</v>
      </c>
      <c r="N2478" t="inlineStr">
        <is>
          <t>ref</t>
        </is>
      </c>
      <c r="O2478" t="n">
        <v>-100</v>
      </c>
      <c r="P2478" t="n">
        <v>0.01566</v>
      </c>
      <c r="Q2478" t="n">
        <v>-100</v>
      </c>
      <c r="R2478" t="n">
        <v>0.04147</v>
      </c>
      <c r="S2478">
        <f>IMAGE("https://mitra.stanford.edu/kundaje/oak/projects/neuro-variants/variant_position/credible/roussos_2024/variant_figures/roussos_2024.adolescence.GLU/rs9681617_count_position.png",4,220,900)</f>
        <v/>
      </c>
      <c r="T2478">
        <f>IMAGE("https://mitra.stanford.edu/kundaje/oak/projects/neuro-variants/variant_position/credible/roussos_2024/variant_figures/roussos_2024.adolescence.GLU/rs9681617_profile_position.png",4,220,900)</f>
        <v/>
      </c>
    </row>
    <row r="2479">
      <c r="A2479" t="inlineStr">
        <is>
          <t>chr3</t>
        </is>
      </c>
      <c r="B2479" t="n">
        <v>17648935</v>
      </c>
      <c r="C2479" t="inlineStr">
        <is>
          <t>C</t>
        </is>
      </c>
      <c r="D2479" t="inlineStr">
        <is>
          <t>T</t>
        </is>
      </c>
      <c r="E2479" t="inlineStr">
        <is>
          <t>rs55701200</t>
        </is>
      </c>
      <c r="F2479" t="n">
        <v>-0.0382483092</v>
      </c>
      <c r="G2479" t="n">
        <v>0.1233924298070673</v>
      </c>
      <c r="H2479" t="n">
        <v>0.0219832110774169</v>
      </c>
      <c r="I2479" t="n">
        <v>0.0391463366764</v>
      </c>
      <c r="J2479" t="n">
        <v>0.0736895499782096</v>
      </c>
      <c r="K2479" t="n">
        <v>0.6388644028899506</v>
      </c>
      <c r="L2479" t="b">
        <v>0</v>
      </c>
      <c r="M2479" t="b">
        <v>0</v>
      </c>
      <c r="N2479" t="inlineStr">
        <is>
          <t>ref</t>
        </is>
      </c>
      <c r="O2479" t="n">
        <v>-100</v>
      </c>
      <c r="P2479" t="n">
        <v>0.002382</v>
      </c>
      <c r="Q2479" t="n">
        <v>-100</v>
      </c>
      <c r="R2479" t="n">
        <v>0.05148</v>
      </c>
      <c r="S2479">
        <f>IMAGE("https://mitra.stanford.edu/kundaje/oak/projects/neuro-variants/variant_position/credible/roussos_2024/variant_figures/roussos_2024.adolescence.GLU/rs55701200_count_position.png",4,220,900)</f>
        <v/>
      </c>
      <c r="T2479">
        <f>IMAGE("https://mitra.stanford.edu/kundaje/oak/projects/neuro-variants/variant_position/credible/roussos_2024/variant_figures/roussos_2024.adolescence.GLU/rs55701200_profile_position.png",4,220,900)</f>
        <v/>
      </c>
    </row>
    <row r="2480">
      <c r="A2480" t="inlineStr">
        <is>
          <t>chr3</t>
        </is>
      </c>
      <c r="B2480" t="n">
        <v>17655683</v>
      </c>
      <c r="C2480" t="inlineStr">
        <is>
          <t>T</t>
        </is>
      </c>
      <c r="D2480" t="inlineStr">
        <is>
          <t>C</t>
        </is>
      </c>
      <c r="E2480" t="inlineStr">
        <is>
          <t>rs11128837</t>
        </is>
      </c>
      <c r="F2480" t="n">
        <v>0.079076784</v>
      </c>
      <c r="G2480" t="n">
        <v>0.0151786890037737</v>
      </c>
      <c r="H2480" t="n">
        <v>0.0180223880299106</v>
      </c>
      <c r="I2480" t="n">
        <v>0.0861958074339229</v>
      </c>
      <c r="J2480" t="n">
        <v>0.1326674811210893</v>
      </c>
      <c r="K2480" t="n">
        <v>0.5126553245436066</v>
      </c>
      <c r="L2480" t="b">
        <v>1</v>
      </c>
      <c r="M2480" t="b">
        <v>0</v>
      </c>
      <c r="N2480" t="inlineStr">
        <is>
          <t>alt</t>
        </is>
      </c>
      <c r="O2480" t="n">
        <v>-80</v>
      </c>
      <c r="P2480" t="n">
        <v>0.01474</v>
      </c>
      <c r="Q2480" t="n">
        <v>90</v>
      </c>
      <c r="R2480" t="n">
        <v>0.0737</v>
      </c>
      <c r="S2480">
        <f>IMAGE("https://mitra.stanford.edu/kundaje/oak/projects/neuro-variants/variant_position/credible/roussos_2024/variant_figures/roussos_2024.adolescence.GLU/rs11128837_count_position.png",4,220,900)</f>
        <v/>
      </c>
      <c r="T2480">
        <f>IMAGE("https://mitra.stanford.edu/kundaje/oak/projects/neuro-variants/variant_position/credible/roussos_2024/variant_figures/roussos_2024.adolescence.GLU/rs11128837_profile_position.png",4,220,900)</f>
        <v/>
      </c>
    </row>
    <row r="2481">
      <c r="A2481" t="inlineStr">
        <is>
          <t>chr3</t>
        </is>
      </c>
      <c r="B2481" t="n">
        <v>17672024</v>
      </c>
      <c r="C2481" t="inlineStr">
        <is>
          <t>T</t>
        </is>
      </c>
      <c r="D2481" t="inlineStr">
        <is>
          <t>A</t>
        </is>
      </c>
      <c r="E2481" t="inlineStr">
        <is>
          <t>rs13083917</t>
        </is>
      </c>
      <c r="F2481" t="n">
        <v>-0.0029593441407999</v>
      </c>
      <c r="G2481" t="n">
        <v>0.7219760977332036</v>
      </c>
      <c r="H2481" t="n">
        <v>0.0077589515009145</v>
      </c>
      <c r="I2481" t="n">
        <v>0.8345176697517427</v>
      </c>
      <c r="J2481" t="n">
        <v>0.0469697294439562</v>
      </c>
      <c r="K2481" t="n">
        <v>0.7081729763761169</v>
      </c>
      <c r="L2481" t="b">
        <v>0</v>
      </c>
      <c r="M2481" t="b">
        <v>0</v>
      </c>
      <c r="N2481" t="inlineStr">
        <is>
          <t>ref</t>
        </is>
      </c>
      <c r="O2481" t="n">
        <v>80</v>
      </c>
      <c r="P2481" t="n">
        <v>0.01008</v>
      </c>
      <c r="Q2481" t="n">
        <v>-65</v>
      </c>
      <c r="R2481" t="n">
        <v>0.09174</v>
      </c>
      <c r="S2481">
        <f>IMAGE("https://mitra.stanford.edu/kundaje/oak/projects/neuro-variants/variant_position/credible/roussos_2024/variant_figures/roussos_2024.adolescence.GLU/rs13083917_count_position.png",4,220,900)</f>
        <v/>
      </c>
      <c r="T2481">
        <f>IMAGE("https://mitra.stanford.edu/kundaje/oak/projects/neuro-variants/variant_position/credible/roussos_2024/variant_figures/roussos_2024.adolescence.GLU/rs13083917_profile_position.png",4,220,900)</f>
        <v/>
      </c>
    </row>
    <row r="2482">
      <c r="A2482" t="inlineStr">
        <is>
          <t>chr3</t>
        </is>
      </c>
      <c r="B2482" t="n">
        <v>17678612</v>
      </c>
      <c r="C2482" t="inlineStr">
        <is>
          <t>C</t>
        </is>
      </c>
      <c r="D2482" t="inlineStr">
        <is>
          <t>A</t>
        </is>
      </c>
      <c r="E2482" t="inlineStr">
        <is>
          <t>rs4909009</t>
        </is>
      </c>
      <c r="F2482" t="n">
        <v>0.01734096294</v>
      </c>
      <c r="G2482" t="n">
        <v>0.3579465273937887</v>
      </c>
      <c r="H2482" t="n">
        <v>0.0137823827219853</v>
      </c>
      <c r="I2482" t="n">
        <v>0.2572821310770863</v>
      </c>
      <c r="J2482" t="n">
        <v>0.0331468661365568</v>
      </c>
      <c r="K2482" t="n">
        <v>0.7624438814472492</v>
      </c>
      <c r="L2482" t="b">
        <v>0</v>
      </c>
      <c r="M2482" t="b">
        <v>0</v>
      </c>
      <c r="N2482" t="inlineStr">
        <is>
          <t>alt</t>
        </is>
      </c>
      <c r="O2482" t="n">
        <v>-30</v>
      </c>
      <c r="P2482" t="n">
        <v>0.004272</v>
      </c>
      <c r="Q2482" t="n">
        <v>-100</v>
      </c>
      <c r="R2482" t="n">
        <v>0.0246</v>
      </c>
      <c r="S2482">
        <f>IMAGE("https://mitra.stanford.edu/kundaje/oak/projects/neuro-variants/variant_position/credible/roussos_2024/variant_figures/roussos_2024.adolescence.GLU/rs4909009_count_position.png",4,220,900)</f>
        <v/>
      </c>
      <c r="T2482">
        <f>IMAGE("https://mitra.stanford.edu/kundaje/oak/projects/neuro-variants/variant_position/credible/roussos_2024/variant_figures/roussos_2024.adolescence.GLU/rs4909009_profile_position.png",4,220,900)</f>
        <v/>
      </c>
    </row>
    <row r="2483">
      <c r="A2483" t="inlineStr">
        <is>
          <t>chr3</t>
        </is>
      </c>
      <c r="B2483" t="n">
        <v>17693826</v>
      </c>
      <c r="C2483" t="inlineStr">
        <is>
          <t>A</t>
        </is>
      </c>
      <c r="D2483" t="inlineStr">
        <is>
          <t>G</t>
        </is>
      </c>
      <c r="E2483" t="inlineStr">
        <is>
          <t>rs6797952</t>
        </is>
      </c>
      <c r="F2483" t="n">
        <v>0.04909391632</v>
      </c>
      <c r="G2483" t="n">
        <v>0.0869102739353665</v>
      </c>
      <c r="H2483" t="n">
        <v>0.0374407815860811</v>
      </c>
      <c r="I2483" t="n">
        <v>0.0063176972686622</v>
      </c>
      <c r="J2483" t="n">
        <v>0.6271327632152375</v>
      </c>
      <c r="K2483" t="n">
        <v>0.02967873146702</v>
      </c>
      <c r="L2483" t="b">
        <v>1</v>
      </c>
      <c r="M2483" t="b">
        <v>1</v>
      </c>
      <c r="N2483" t="inlineStr">
        <is>
          <t>alt</t>
        </is>
      </c>
      <c r="O2483" t="n">
        <v>-100</v>
      </c>
      <c r="P2483" t="n">
        <v>0.02162</v>
      </c>
      <c r="Q2483" t="n">
        <v>-100</v>
      </c>
      <c r="R2483" t="n">
        <v>0.1323</v>
      </c>
      <c r="S2483">
        <f>IMAGE("https://mitra.stanford.edu/kundaje/oak/projects/neuro-variants/variant_position/credible/roussos_2024/variant_figures/roussos_2024.adolescence.GLU/rs6797952_count_position.png",4,220,900)</f>
        <v/>
      </c>
      <c r="T2483">
        <f>IMAGE("https://mitra.stanford.edu/kundaje/oak/projects/neuro-variants/variant_position/credible/roussos_2024/variant_figures/roussos_2024.adolescence.GLU/rs6797952_profile_position.png",4,220,900)</f>
        <v/>
      </c>
    </row>
    <row r="2484">
      <c r="A2484" t="inlineStr">
        <is>
          <t>chr3</t>
        </is>
      </c>
      <c r="B2484" t="n">
        <v>17699917</v>
      </c>
      <c r="C2484" t="inlineStr">
        <is>
          <t>C</t>
        </is>
      </c>
      <c r="D2484" t="inlineStr">
        <is>
          <t>G</t>
        </is>
      </c>
      <c r="E2484" t="inlineStr">
        <is>
          <t>rs35642812</t>
        </is>
      </c>
      <c r="F2484" t="n">
        <v>0.0109822930199999</v>
      </c>
      <c r="G2484" t="n">
        <v>0.5022170988765545</v>
      </c>
      <c r="H2484" t="n">
        <v>0.0096172817014377</v>
      </c>
      <c r="I2484" t="n">
        <v>0.5845790713095097</v>
      </c>
      <c r="J2484" t="n">
        <v>0.0361189103457144</v>
      </c>
      <c r="K2484" t="n">
        <v>0.7454125338925321</v>
      </c>
      <c r="L2484" t="b">
        <v>0</v>
      </c>
      <c r="M2484" t="b">
        <v>0</v>
      </c>
      <c r="N2484" t="inlineStr">
        <is>
          <t>alt</t>
        </is>
      </c>
      <c r="O2484" t="n">
        <v>-35</v>
      </c>
      <c r="P2484" t="n">
        <v>0.004684</v>
      </c>
      <c r="Q2484" t="n">
        <v>30</v>
      </c>
      <c r="R2484" t="n">
        <v>0.003235</v>
      </c>
      <c r="S2484">
        <f>IMAGE("https://mitra.stanford.edu/kundaje/oak/projects/neuro-variants/variant_position/credible/roussos_2024/variant_figures/roussos_2024.adolescence.GLU/rs35642812_count_position.png",4,220,900)</f>
        <v/>
      </c>
      <c r="T2484">
        <f>IMAGE("https://mitra.stanford.edu/kundaje/oak/projects/neuro-variants/variant_position/credible/roussos_2024/variant_figures/roussos_2024.adolescence.GLU/rs35642812_profile_position.png",4,220,900)</f>
        <v/>
      </c>
    </row>
    <row r="2485">
      <c r="A2485" t="inlineStr">
        <is>
          <t>chr3</t>
        </is>
      </c>
      <c r="B2485" t="n">
        <v>17712309</v>
      </c>
      <c r="C2485" t="inlineStr">
        <is>
          <t>C</t>
        </is>
      </c>
      <c r="D2485" t="inlineStr">
        <is>
          <t>A</t>
        </is>
      </c>
      <c r="E2485" t="inlineStr">
        <is>
          <t>rs6810235</t>
        </is>
      </c>
      <c r="F2485" t="n">
        <v>0.00794292814</v>
      </c>
      <c r="G2485" t="n">
        <v>0.6107706999302904</v>
      </c>
      <c r="H2485" t="n">
        <v>0.009976416737535999</v>
      </c>
      <c r="I2485" t="n">
        <v>0.543015538595642</v>
      </c>
      <c r="J2485" t="n">
        <v>0.1013781426152559</v>
      </c>
      <c r="K2485" t="n">
        <v>0.5673119153892093</v>
      </c>
      <c r="L2485" t="b">
        <v>0</v>
      </c>
      <c r="M2485" t="b">
        <v>0</v>
      </c>
      <c r="N2485" t="inlineStr">
        <is>
          <t>alt</t>
        </is>
      </c>
      <c r="O2485" t="n">
        <v>80</v>
      </c>
      <c r="P2485" t="n">
        <v>0.004696</v>
      </c>
      <c r="Q2485" t="n">
        <v>100</v>
      </c>
      <c r="R2485" t="n">
        <v>0.05014</v>
      </c>
      <c r="S2485">
        <f>IMAGE("https://mitra.stanford.edu/kundaje/oak/projects/neuro-variants/variant_position/credible/roussos_2024/variant_figures/roussos_2024.adolescence.GLU/rs6810235_count_position.png",4,220,900)</f>
        <v/>
      </c>
      <c r="T2485">
        <f>IMAGE("https://mitra.stanford.edu/kundaje/oak/projects/neuro-variants/variant_position/credible/roussos_2024/variant_figures/roussos_2024.adolescence.GLU/rs6810235_profile_position.png",4,220,900)</f>
        <v/>
      </c>
    </row>
    <row r="2486">
      <c r="A2486" t="inlineStr">
        <is>
          <t>chr3</t>
        </is>
      </c>
      <c r="B2486" t="n">
        <v>17716436</v>
      </c>
      <c r="C2486" t="inlineStr">
        <is>
          <t>G</t>
        </is>
      </c>
      <c r="D2486" t="inlineStr">
        <is>
          <t>C</t>
        </is>
      </c>
      <c r="E2486" t="inlineStr">
        <is>
          <t>rs13071934</t>
        </is>
      </c>
      <c r="F2486" t="n">
        <v>-0.0449139334</v>
      </c>
      <c r="G2486" t="n">
        <v>0.0963651344571525</v>
      </c>
      <c r="H2486" t="n">
        <v>0.0211242422840311</v>
      </c>
      <c r="I2486" t="n">
        <v>0.0609282327287582</v>
      </c>
      <c r="J2486" t="n">
        <v>0.0487400961627764</v>
      </c>
      <c r="K2486" t="n">
        <v>0.7022090693631633</v>
      </c>
      <c r="L2486" t="b">
        <v>0</v>
      </c>
      <c r="M2486" t="b">
        <v>0</v>
      </c>
      <c r="N2486" t="inlineStr">
        <is>
          <t>ref</t>
        </is>
      </c>
      <c r="O2486" t="n">
        <v>-100</v>
      </c>
      <c r="P2486" t="n">
        <v>0.006786</v>
      </c>
      <c r="Q2486" t="n">
        <v>-55</v>
      </c>
      <c r="R2486" t="n">
        <v>0.01262</v>
      </c>
      <c r="S2486">
        <f>IMAGE("https://mitra.stanford.edu/kundaje/oak/projects/neuro-variants/variant_position/credible/roussos_2024/variant_figures/roussos_2024.adolescence.GLU/rs13071934_count_position.png",4,220,900)</f>
        <v/>
      </c>
      <c r="T2486">
        <f>IMAGE("https://mitra.stanford.edu/kundaje/oak/projects/neuro-variants/variant_position/credible/roussos_2024/variant_figures/roussos_2024.adolescence.GLU/rs13071934_profile_position.png",4,220,900)</f>
        <v/>
      </c>
    </row>
    <row r="2487">
      <c r="A2487" t="inlineStr">
        <is>
          <t>chr3</t>
        </is>
      </c>
      <c r="B2487" t="n">
        <v>17735631</v>
      </c>
      <c r="C2487" t="inlineStr">
        <is>
          <t>A</t>
        </is>
      </c>
      <c r="D2487" t="inlineStr">
        <is>
          <t>G</t>
        </is>
      </c>
      <c r="E2487" t="inlineStr">
        <is>
          <t>rs9880456</t>
        </is>
      </c>
      <c r="F2487" t="n">
        <v>0.0285259866</v>
      </c>
      <c r="G2487" t="n">
        <v>0.1823688404236428</v>
      </c>
      <c r="H2487" t="n">
        <v>0.0085012473137368</v>
      </c>
      <c r="I2487" t="n">
        <v>0.7403263904115012</v>
      </c>
      <c r="J2487" t="n">
        <v>0.2729536832629616</v>
      </c>
      <c r="K2487" t="n">
        <v>0.3055747534426591</v>
      </c>
      <c r="L2487" t="b">
        <v>0</v>
      </c>
      <c r="M2487" t="b">
        <v>0</v>
      </c>
      <c r="N2487" t="inlineStr">
        <is>
          <t>alt</t>
        </is>
      </c>
      <c r="O2487" t="n">
        <v>100</v>
      </c>
      <c r="P2487" t="n">
        <v>0.00601</v>
      </c>
      <c r="Q2487" t="n">
        <v>85</v>
      </c>
      <c r="R2487" t="n">
        <v>0.1231</v>
      </c>
      <c r="S2487">
        <f>IMAGE("https://mitra.stanford.edu/kundaje/oak/projects/neuro-variants/variant_position/credible/roussos_2024/variant_figures/roussos_2024.adolescence.GLU/rs9880456_count_position.png",4,220,900)</f>
        <v/>
      </c>
      <c r="T2487">
        <f>IMAGE("https://mitra.stanford.edu/kundaje/oak/projects/neuro-variants/variant_position/credible/roussos_2024/variant_figures/roussos_2024.adolescence.GLU/rs9880456_profile_position.png",4,220,900)</f>
        <v/>
      </c>
    </row>
    <row r="2488">
      <c r="A2488" t="inlineStr">
        <is>
          <t>chr3</t>
        </is>
      </c>
      <c r="B2488" t="n">
        <v>17757432</v>
      </c>
      <c r="C2488" t="inlineStr">
        <is>
          <t>A</t>
        </is>
      </c>
      <c r="D2488" t="inlineStr">
        <is>
          <t>G</t>
        </is>
      </c>
      <c r="E2488" t="inlineStr">
        <is>
          <t>rs4566568</t>
        </is>
      </c>
      <c r="F2488" t="n">
        <v>0.0242397704</v>
      </c>
      <c r="G2488" t="n">
        <v>0.2250236503390613</v>
      </c>
      <c r="H2488" t="n">
        <v>0.0076267219016762</v>
      </c>
      <c r="I2488" t="n">
        <v>0.8357468893908429</v>
      </c>
      <c r="J2488" t="n">
        <v>0.0573890305849068</v>
      </c>
      <c r="K2488" t="n">
        <v>0.6814389778838339</v>
      </c>
      <c r="L2488" t="b">
        <v>0</v>
      </c>
      <c r="M2488" t="b">
        <v>0</v>
      </c>
      <c r="N2488" t="inlineStr">
        <is>
          <t>alt</t>
        </is>
      </c>
      <c r="O2488" t="n">
        <v>100</v>
      </c>
      <c r="P2488" t="n">
        <v>0.00925</v>
      </c>
      <c r="Q2488" t="n">
        <v>65</v>
      </c>
      <c r="R2488" t="n">
        <v>0.01645</v>
      </c>
      <c r="S2488">
        <f>IMAGE("https://mitra.stanford.edu/kundaje/oak/projects/neuro-variants/variant_position/credible/roussos_2024/variant_figures/roussos_2024.adolescence.GLU/rs4566568_count_position.png",4,220,900)</f>
        <v/>
      </c>
      <c r="T2488">
        <f>IMAGE("https://mitra.stanford.edu/kundaje/oak/projects/neuro-variants/variant_position/credible/roussos_2024/variant_figures/roussos_2024.adolescence.GLU/rs4566568_profile_position.png",4,220,900)</f>
        <v/>
      </c>
    </row>
    <row r="2489">
      <c r="A2489" t="inlineStr">
        <is>
          <t>chr3</t>
        </is>
      </c>
      <c r="B2489" t="n">
        <v>17762972</v>
      </c>
      <c r="C2489" t="inlineStr">
        <is>
          <t>A</t>
        </is>
      </c>
      <c r="D2489" t="inlineStr">
        <is>
          <t>G</t>
        </is>
      </c>
      <c r="E2489" t="inlineStr">
        <is>
          <t>rs7609916</t>
        </is>
      </c>
      <c r="F2489" t="n">
        <v>0.0292998706</v>
      </c>
      <c r="G2489" t="n">
        <v>0.1750904780373494</v>
      </c>
      <c r="H2489" t="n">
        <v>0.007920443377058699</v>
      </c>
      <c r="I2489" t="n">
        <v>0.8097574051153046</v>
      </c>
      <c r="J2489" t="n">
        <v>0.1103057061819948</v>
      </c>
      <c r="K2489" t="n">
        <v>0.5510618642412181</v>
      </c>
      <c r="L2489" t="b">
        <v>0</v>
      </c>
      <c r="M2489" t="b">
        <v>0</v>
      </c>
      <c r="N2489" t="inlineStr">
        <is>
          <t>alt</t>
        </is>
      </c>
      <c r="O2489" t="n">
        <v>-5</v>
      </c>
      <c r="P2489" t="n">
        <v>0.0008526</v>
      </c>
      <c r="Q2489" t="n">
        <v>30</v>
      </c>
      <c r="R2489" t="n">
        <v>0.0321</v>
      </c>
      <c r="S2489">
        <f>IMAGE("https://mitra.stanford.edu/kundaje/oak/projects/neuro-variants/variant_position/credible/roussos_2024/variant_figures/roussos_2024.adolescence.GLU/rs7609916_count_position.png",4,220,900)</f>
        <v/>
      </c>
      <c r="T2489">
        <f>IMAGE("https://mitra.stanford.edu/kundaje/oak/projects/neuro-variants/variant_position/credible/roussos_2024/variant_figures/roussos_2024.adolescence.GLU/rs7609916_profile_position.png",4,220,900)</f>
        <v/>
      </c>
    </row>
    <row r="2490">
      <c r="A2490" t="inlineStr">
        <is>
          <t>chr3</t>
        </is>
      </c>
      <c r="B2490" t="n">
        <v>17780701</v>
      </c>
      <c r="C2490" t="inlineStr">
        <is>
          <t>A</t>
        </is>
      </c>
      <c r="D2490" t="inlineStr">
        <is>
          <t>C</t>
        </is>
      </c>
      <c r="E2490" t="inlineStr">
        <is>
          <t>rs11709790</t>
        </is>
      </c>
      <c r="F2490" t="n">
        <v>0.014461212</v>
      </c>
      <c r="G2490" t="n">
        <v>0.3800731061846186</v>
      </c>
      <c r="H2490" t="n">
        <v>0.0114076393759568</v>
      </c>
      <c r="I2490" t="n">
        <v>0.366855633505804</v>
      </c>
      <c r="J2490" t="n">
        <v>0.1282179880118024</v>
      </c>
      <c r="K2490" t="n">
        <v>0.5294497611996365</v>
      </c>
      <c r="L2490" t="b">
        <v>0</v>
      </c>
      <c r="M2490" t="b">
        <v>0</v>
      </c>
      <c r="N2490" t="inlineStr">
        <is>
          <t>alt</t>
        </is>
      </c>
      <c r="O2490" t="n">
        <v>100</v>
      </c>
      <c r="P2490" t="n">
        <v>0.001789</v>
      </c>
      <c r="Q2490" t="n">
        <v>-100</v>
      </c>
      <c r="R2490" t="n">
        <v>0.05786</v>
      </c>
      <c r="S2490">
        <f>IMAGE("https://mitra.stanford.edu/kundaje/oak/projects/neuro-variants/variant_position/credible/roussos_2024/variant_figures/roussos_2024.adolescence.GLU/rs11709790_count_position.png",4,220,900)</f>
        <v/>
      </c>
      <c r="T2490">
        <f>IMAGE("https://mitra.stanford.edu/kundaje/oak/projects/neuro-variants/variant_position/credible/roussos_2024/variant_figures/roussos_2024.adolescence.GLU/rs11709790_profile_position.png",4,220,900)</f>
        <v/>
      </c>
    </row>
    <row r="2491">
      <c r="A2491" t="inlineStr">
        <is>
          <t>chr3</t>
        </is>
      </c>
      <c r="B2491" t="n">
        <v>17782174</v>
      </c>
      <c r="C2491" t="inlineStr">
        <is>
          <t>A</t>
        </is>
      </c>
      <c r="D2491" t="inlineStr">
        <is>
          <t>G</t>
        </is>
      </c>
      <c r="E2491" t="inlineStr">
        <is>
          <t>rs4616675</t>
        </is>
      </c>
      <c r="F2491" t="n">
        <v>0.097159722</v>
      </c>
      <c r="G2491" t="n">
        <v>0.0082195869563534</v>
      </c>
      <c r="H2491" t="n">
        <v>0.0142708065652783</v>
      </c>
      <c r="I2491" t="n">
        <v>0.2010370658441787</v>
      </c>
      <c r="J2491" t="n">
        <v>0.3967864771988483</v>
      </c>
      <c r="K2491" t="n">
        <v>0.1622956844104682</v>
      </c>
      <c r="L2491" t="b">
        <v>1</v>
      </c>
      <c r="M2491" t="b">
        <v>1</v>
      </c>
      <c r="N2491" t="inlineStr">
        <is>
          <t>alt</t>
        </is>
      </c>
      <c r="O2491" t="n">
        <v>-40</v>
      </c>
      <c r="P2491" t="n">
        <v>0.002274</v>
      </c>
      <c r="Q2491" t="n">
        <v>100</v>
      </c>
      <c r="R2491" t="n">
        <v>0.09503</v>
      </c>
      <c r="S2491">
        <f>IMAGE("https://mitra.stanford.edu/kundaje/oak/projects/neuro-variants/variant_position/credible/roussos_2024/variant_figures/roussos_2024.adolescence.GLU/rs4616675_count_position.png",4,220,900)</f>
        <v/>
      </c>
      <c r="T2491">
        <f>IMAGE("https://mitra.stanford.edu/kundaje/oak/projects/neuro-variants/variant_position/credible/roussos_2024/variant_figures/roussos_2024.adolescence.GLU/rs4616675_profile_position.png",4,220,900)</f>
        <v/>
      </c>
    </row>
    <row r="2492">
      <c r="A2492" t="inlineStr">
        <is>
          <t>chr3</t>
        </is>
      </c>
      <c r="B2492" t="n">
        <v>17803260</v>
      </c>
      <c r="C2492" t="inlineStr">
        <is>
          <t>C</t>
        </is>
      </c>
      <c r="D2492" t="inlineStr">
        <is>
          <t>T</t>
        </is>
      </c>
      <c r="E2492" t="inlineStr">
        <is>
          <t>rs17200916</t>
        </is>
      </c>
      <c r="F2492" t="n">
        <v>-0.0591366168</v>
      </c>
      <c r="G2492" t="n">
        <v>0.0463706567201703</v>
      </c>
      <c r="H2492" t="n">
        <v>0.0115716979140578</v>
      </c>
      <c r="I2492" t="n">
        <v>0.3811233931669247</v>
      </c>
      <c r="J2492" t="n">
        <v>0.226119696222789</v>
      </c>
      <c r="K2492" t="n">
        <v>0.3671578206308391</v>
      </c>
      <c r="L2492" t="b">
        <v>0</v>
      </c>
      <c r="M2492" t="b">
        <v>0</v>
      </c>
      <c r="N2492" t="inlineStr">
        <is>
          <t>ref</t>
        </is>
      </c>
      <c r="O2492" t="n">
        <v>-100</v>
      </c>
      <c r="P2492" t="n">
        <v>0.00416</v>
      </c>
      <c r="Q2492" t="n">
        <v>100</v>
      </c>
      <c r="R2492" t="n">
        <v>0.06759999999999999</v>
      </c>
      <c r="S2492">
        <f>IMAGE("https://mitra.stanford.edu/kundaje/oak/projects/neuro-variants/variant_position/credible/roussos_2024/variant_figures/roussos_2024.adolescence.GLU/rs17200916_count_position.png",4,220,900)</f>
        <v/>
      </c>
      <c r="T2492">
        <f>IMAGE("https://mitra.stanford.edu/kundaje/oak/projects/neuro-variants/variant_position/credible/roussos_2024/variant_figures/roussos_2024.adolescence.GLU/rs17200916_profile_position.png",4,220,900)</f>
        <v/>
      </c>
    </row>
    <row r="2493">
      <c r="A2493" t="inlineStr">
        <is>
          <t>chr3</t>
        </is>
      </c>
      <c r="B2493" t="n">
        <v>17811044</v>
      </c>
      <c r="C2493" t="inlineStr">
        <is>
          <t>G</t>
        </is>
      </c>
      <c r="D2493" t="inlineStr">
        <is>
          <t>T</t>
        </is>
      </c>
      <c r="E2493" t="inlineStr">
        <is>
          <t>rs11128871</t>
        </is>
      </c>
      <c r="F2493" t="n">
        <v>-0.0582337869999999</v>
      </c>
      <c r="G2493" t="n">
        <v>0.0573806694263745</v>
      </c>
      <c r="H2493" t="n">
        <v>0.0228857568659207</v>
      </c>
      <c r="I2493" t="n">
        <v>0.0406933439583587</v>
      </c>
      <c r="J2493" t="n">
        <v>0.2113266319451886</v>
      </c>
      <c r="K2493" t="n">
        <v>0.3904642220198924</v>
      </c>
      <c r="L2493" t="b">
        <v>0</v>
      </c>
      <c r="M2493" t="b">
        <v>0</v>
      </c>
      <c r="N2493" t="inlineStr">
        <is>
          <t>ref</t>
        </is>
      </c>
      <c r="O2493" t="n">
        <v>90</v>
      </c>
      <c r="P2493" t="n">
        <v>0.0231</v>
      </c>
      <c r="Q2493" t="n">
        <v>100</v>
      </c>
      <c r="R2493" t="n">
        <v>0.1013</v>
      </c>
      <c r="S2493">
        <f>IMAGE("https://mitra.stanford.edu/kundaje/oak/projects/neuro-variants/variant_position/credible/roussos_2024/variant_figures/roussos_2024.adolescence.GLU/rs11128871_count_position.png",4,220,900)</f>
        <v/>
      </c>
      <c r="T2493">
        <f>IMAGE("https://mitra.stanford.edu/kundaje/oak/projects/neuro-variants/variant_position/credible/roussos_2024/variant_figures/roussos_2024.adolescence.GLU/rs11128871_profile_position.png",4,220,900)</f>
        <v/>
      </c>
    </row>
    <row r="2494">
      <c r="A2494" t="inlineStr">
        <is>
          <t>chr3</t>
        </is>
      </c>
      <c r="B2494" t="n">
        <v>17811429</v>
      </c>
      <c r="C2494" t="inlineStr">
        <is>
          <t>G</t>
        </is>
      </c>
      <c r="D2494" t="inlineStr">
        <is>
          <t>A</t>
        </is>
      </c>
      <c r="E2494" t="inlineStr">
        <is>
          <t>rs12495352</t>
        </is>
      </c>
      <c r="F2494" t="n">
        <v>-0.00239508198</v>
      </c>
      <c r="G2494" t="n">
        <v>0.8423580195433069</v>
      </c>
      <c r="H2494" t="n">
        <v>0.0080238482429864</v>
      </c>
      <c r="I2494" t="n">
        <v>0.771320732465137</v>
      </c>
      <c r="J2494" t="n">
        <v>0.1655671531960191</v>
      </c>
      <c r="K2494" t="n">
        <v>0.4629923518505944</v>
      </c>
      <c r="L2494" t="b">
        <v>0</v>
      </c>
      <c r="M2494" t="b">
        <v>0</v>
      </c>
      <c r="N2494" t="inlineStr">
        <is>
          <t>ref</t>
        </is>
      </c>
      <c r="O2494" t="n">
        <v>-100</v>
      </c>
      <c r="P2494" t="n">
        <v>0.013916</v>
      </c>
      <c r="Q2494" t="n">
        <v>-50</v>
      </c>
      <c r="R2494" t="n">
        <v>0.08386</v>
      </c>
      <c r="S2494">
        <f>IMAGE("https://mitra.stanford.edu/kundaje/oak/projects/neuro-variants/variant_position/credible/roussos_2024/variant_figures/roussos_2024.adolescence.GLU/rs12495352_count_position.png",4,220,900)</f>
        <v/>
      </c>
      <c r="T2494">
        <f>IMAGE("https://mitra.stanford.edu/kundaje/oak/projects/neuro-variants/variant_position/credible/roussos_2024/variant_figures/roussos_2024.adolescence.GLU/rs12495352_profile_position.png",4,220,900)</f>
        <v/>
      </c>
    </row>
    <row r="2495">
      <c r="A2495" t="inlineStr">
        <is>
          <t>chr3</t>
        </is>
      </c>
      <c r="B2495" t="n">
        <v>17815368</v>
      </c>
      <c r="C2495" t="inlineStr">
        <is>
          <t>G</t>
        </is>
      </c>
      <c r="D2495" t="inlineStr">
        <is>
          <t>A</t>
        </is>
      </c>
      <c r="E2495" t="inlineStr">
        <is>
          <t>rs6771673</t>
        </is>
      </c>
      <c r="F2495" t="n">
        <v>0.006746276066</v>
      </c>
      <c r="G2495" t="n">
        <v>0.6423748434267402</v>
      </c>
      <c r="H2495" t="n">
        <v>0.0152058913344188</v>
      </c>
      <c r="I2495" t="n">
        <v>0.1640343177033906</v>
      </c>
      <c r="J2495" t="n">
        <v>0.2576176493702266</v>
      </c>
      <c r="K2495" t="n">
        <v>0.3249660364597299</v>
      </c>
      <c r="L2495" t="b">
        <v>0</v>
      </c>
      <c r="M2495" t="b">
        <v>0</v>
      </c>
      <c r="N2495" t="inlineStr">
        <is>
          <t>alt</t>
        </is>
      </c>
      <c r="O2495" t="n">
        <v>10</v>
      </c>
      <c r="P2495" t="n">
        <v>0.000847</v>
      </c>
      <c r="Q2495" t="n">
        <v>100</v>
      </c>
      <c r="R2495" t="n">
        <v>0.01224</v>
      </c>
      <c r="S2495">
        <f>IMAGE("https://mitra.stanford.edu/kundaje/oak/projects/neuro-variants/variant_position/credible/roussos_2024/variant_figures/roussos_2024.adolescence.GLU/rs6771673_count_position.png",4,220,900)</f>
        <v/>
      </c>
      <c r="T2495">
        <f>IMAGE("https://mitra.stanford.edu/kundaje/oak/projects/neuro-variants/variant_position/credible/roussos_2024/variant_figures/roussos_2024.adolescence.GLU/rs6771673_profile_position.png",4,220,900)</f>
        <v/>
      </c>
    </row>
    <row r="2496">
      <c r="A2496" t="inlineStr">
        <is>
          <t>chr3</t>
        </is>
      </c>
      <c r="B2496" t="n">
        <v>17815640</v>
      </c>
      <c r="C2496" t="inlineStr">
        <is>
          <t>T</t>
        </is>
      </c>
      <c r="D2496" t="inlineStr">
        <is>
          <t>A</t>
        </is>
      </c>
      <c r="E2496" t="inlineStr">
        <is>
          <t>rs4908979</t>
        </is>
      </c>
      <c r="F2496" t="n">
        <v>-0.030783337</v>
      </c>
      <c r="G2496" t="n">
        <v>0.1824078267550968</v>
      </c>
      <c r="H2496" t="n">
        <v>0.0164080397908786</v>
      </c>
      <c r="I2496" t="n">
        <v>0.1392629317064257</v>
      </c>
      <c r="J2496" t="n">
        <v>0.2926720534967957</v>
      </c>
      <c r="K2496" t="n">
        <v>0.2812216900360334</v>
      </c>
      <c r="L2496" t="b">
        <v>0</v>
      </c>
      <c r="M2496" t="b">
        <v>0</v>
      </c>
      <c r="N2496" t="inlineStr">
        <is>
          <t>ref</t>
        </is>
      </c>
      <c r="O2496" t="n">
        <v>65</v>
      </c>
      <c r="P2496" t="n">
        <v>0.0341</v>
      </c>
      <c r="Q2496" t="n">
        <v>5</v>
      </c>
      <c r="R2496" t="n">
        <v>0.003746</v>
      </c>
      <c r="S2496">
        <f>IMAGE("https://mitra.stanford.edu/kundaje/oak/projects/neuro-variants/variant_position/credible/roussos_2024/variant_figures/roussos_2024.adolescence.GLU/rs4908979_count_position.png",4,220,900)</f>
        <v/>
      </c>
      <c r="T2496">
        <f>IMAGE("https://mitra.stanford.edu/kundaje/oak/projects/neuro-variants/variant_position/credible/roussos_2024/variant_figures/roussos_2024.adolescence.GLU/rs4908979_profile_position.png",4,220,900)</f>
        <v/>
      </c>
    </row>
    <row r="2497">
      <c r="A2497" t="inlineStr">
        <is>
          <t>chr3</t>
        </is>
      </c>
      <c r="B2497" t="n">
        <v>17816952</v>
      </c>
      <c r="C2497" t="inlineStr">
        <is>
          <t>T</t>
        </is>
      </c>
      <c r="D2497" t="inlineStr">
        <is>
          <t>C</t>
        </is>
      </c>
      <c r="E2497" t="inlineStr">
        <is>
          <t>rs2033373</t>
        </is>
      </c>
      <c r="F2497" t="n">
        <v>0.0364391628</v>
      </c>
      <c r="G2497" t="n">
        <v>0.1249350845586006</v>
      </c>
      <c r="H2497" t="n">
        <v>0.0176532973449346</v>
      </c>
      <c r="I2497" t="n">
        <v>0.0989398378011051</v>
      </c>
      <c r="J2497" t="n">
        <v>0.5174857649084452</v>
      </c>
      <c r="K2497" t="n">
        <v>0.0748700796863792</v>
      </c>
      <c r="L2497" t="b">
        <v>0</v>
      </c>
      <c r="M2497" t="b">
        <v>0</v>
      </c>
      <c r="N2497" t="inlineStr">
        <is>
          <t>alt</t>
        </is>
      </c>
      <c r="O2497" t="n">
        <v>40</v>
      </c>
      <c r="P2497" t="n">
        <v>0.002365</v>
      </c>
      <c r="Q2497" t="n">
        <v>-65</v>
      </c>
      <c r="R2497" t="n">
        <v>0.04285</v>
      </c>
      <c r="S2497">
        <f>IMAGE("https://mitra.stanford.edu/kundaje/oak/projects/neuro-variants/variant_position/credible/roussos_2024/variant_figures/roussos_2024.adolescence.GLU/rs2033373_count_position.png",4,220,900)</f>
        <v/>
      </c>
      <c r="T2497">
        <f>IMAGE("https://mitra.stanford.edu/kundaje/oak/projects/neuro-variants/variant_position/credible/roussos_2024/variant_figures/roussos_2024.adolescence.GLU/rs2033373_profile_position.png",4,220,900)</f>
        <v/>
      </c>
    </row>
    <row r="2498">
      <c r="A2498" t="inlineStr">
        <is>
          <t>chr3</t>
        </is>
      </c>
      <c r="B2498" t="n">
        <v>18869767</v>
      </c>
      <c r="C2498" t="inlineStr">
        <is>
          <t>C</t>
        </is>
      </c>
      <c r="D2498" t="inlineStr">
        <is>
          <t>T</t>
        </is>
      </c>
      <c r="E2498" t="inlineStr">
        <is>
          <t>rs7638304</t>
        </is>
      </c>
      <c r="F2498" t="n">
        <v>0.023652993</v>
      </c>
      <c r="G2498" t="n">
        <v>0.2361252773712672</v>
      </c>
      <c r="H2498" t="n">
        <v>0.0133428405776085</v>
      </c>
      <c r="I2498" t="n">
        <v>0.2343286605393311</v>
      </c>
      <c r="J2498" t="n">
        <v>0.1086396467839766</v>
      </c>
      <c r="K2498" t="n">
        <v>0.5500223925727069</v>
      </c>
      <c r="L2498" t="b">
        <v>0</v>
      </c>
      <c r="M2498" t="b">
        <v>0</v>
      </c>
      <c r="N2498" t="inlineStr">
        <is>
          <t>alt</t>
        </is>
      </c>
      <c r="O2498" t="n">
        <v>-75</v>
      </c>
      <c r="P2498" t="n">
        <v>0.005722</v>
      </c>
      <c r="Q2498" t="n">
        <v>-80</v>
      </c>
      <c r="R2498" t="n">
        <v>0.0741</v>
      </c>
      <c r="S2498">
        <f>IMAGE("https://mitra.stanford.edu/kundaje/oak/projects/neuro-variants/variant_position/credible/roussos_2024/variant_figures/roussos_2024.adolescence.GLU/rs7638304_count_position.png",4,220,900)</f>
        <v/>
      </c>
      <c r="T2498">
        <f>IMAGE("https://mitra.stanford.edu/kundaje/oak/projects/neuro-variants/variant_position/credible/roussos_2024/variant_figures/roussos_2024.adolescence.GLU/rs7638304_profile_position.png",4,220,900)</f>
        <v/>
      </c>
    </row>
    <row r="2499">
      <c r="A2499" t="inlineStr">
        <is>
          <t>chr3</t>
        </is>
      </c>
      <c r="B2499" t="n">
        <v>24451001</v>
      </c>
      <c r="C2499" t="inlineStr">
        <is>
          <t>A</t>
        </is>
      </c>
      <c r="D2499" t="inlineStr">
        <is>
          <t>G</t>
        </is>
      </c>
      <c r="E2499" t="inlineStr">
        <is>
          <t>rs6781559</t>
        </is>
      </c>
      <c r="F2499" t="n">
        <v>0.01178967534</v>
      </c>
      <c r="G2499" t="n">
        <v>0.4660628637866709</v>
      </c>
      <c r="H2499" t="n">
        <v>0.0147100258131442</v>
      </c>
      <c r="I2499" t="n">
        <v>0.1782682322047195</v>
      </c>
      <c r="J2499" t="n">
        <v>0.0519278993505797</v>
      </c>
      <c r="K2499" t="n">
        <v>0.6943082861449302</v>
      </c>
      <c r="L2499" t="b">
        <v>0</v>
      </c>
      <c r="M2499" t="b">
        <v>0</v>
      </c>
      <c r="N2499" t="inlineStr">
        <is>
          <t>alt</t>
        </is>
      </c>
      <c r="O2499" t="n">
        <v>65</v>
      </c>
      <c r="P2499" t="n">
        <v>0.00772</v>
      </c>
      <c r="Q2499" t="n">
        <v>-65</v>
      </c>
      <c r="R2499" t="n">
        <v>0.0818</v>
      </c>
      <c r="S2499">
        <f>IMAGE("https://mitra.stanford.edu/kundaje/oak/projects/neuro-variants/variant_position/credible/roussos_2024/variant_figures/roussos_2024.adolescence.GLU/rs6781559_count_position.png",4,220,900)</f>
        <v/>
      </c>
      <c r="T2499">
        <f>IMAGE("https://mitra.stanford.edu/kundaje/oak/projects/neuro-variants/variant_position/credible/roussos_2024/variant_figures/roussos_2024.adolescence.GLU/rs6781559_profile_position.png",4,220,900)</f>
        <v/>
      </c>
    </row>
    <row r="2500">
      <c r="A2500" t="inlineStr">
        <is>
          <t>chr3</t>
        </is>
      </c>
      <c r="B2500" t="n">
        <v>24458364</v>
      </c>
      <c r="C2500" t="inlineStr">
        <is>
          <t>G</t>
        </is>
      </c>
      <c r="D2500" t="inlineStr">
        <is>
          <t>C</t>
        </is>
      </c>
      <c r="E2500" t="inlineStr">
        <is>
          <t>rs58274299</t>
        </is>
      </c>
      <c r="F2500" t="n">
        <v>0.0868810727999999</v>
      </c>
      <c r="G2500" t="n">
        <v>0.0145601018050794</v>
      </c>
      <c r="H2500" t="n">
        <v>0.0202021103733046</v>
      </c>
      <c r="I2500" t="n">
        <v>0.0603162259794758</v>
      </c>
      <c r="J2500" t="n">
        <v>0.1794700330782805</v>
      </c>
      <c r="K2500" t="n">
        <v>0.4337886906508238</v>
      </c>
      <c r="L2500" t="b">
        <v>1</v>
      </c>
      <c r="M2500" t="b">
        <v>0</v>
      </c>
      <c r="N2500" t="inlineStr">
        <is>
          <t>alt</t>
        </is>
      </c>
      <c r="O2500" t="n">
        <v>-40</v>
      </c>
      <c r="P2500" t="n">
        <v>0.00882</v>
      </c>
      <c r="Q2500" t="n">
        <v>-100</v>
      </c>
      <c r="R2500" t="n">
        <v>0.03418</v>
      </c>
      <c r="S2500">
        <f>IMAGE("https://mitra.stanford.edu/kundaje/oak/projects/neuro-variants/variant_position/credible/roussos_2024/variant_figures/roussos_2024.adolescence.GLU/rs58274299_count_position.png",4,220,900)</f>
        <v/>
      </c>
      <c r="T2500">
        <f>IMAGE("https://mitra.stanford.edu/kundaje/oak/projects/neuro-variants/variant_position/credible/roussos_2024/variant_figures/roussos_2024.adolescence.GLU/rs58274299_profile_position.png",4,220,900)</f>
        <v/>
      </c>
    </row>
    <row r="2501">
      <c r="A2501" t="inlineStr">
        <is>
          <t>chr3</t>
        </is>
      </c>
      <c r="B2501" t="n">
        <v>24461494</v>
      </c>
      <c r="C2501" t="inlineStr">
        <is>
          <t>G</t>
        </is>
      </c>
      <c r="D2501" t="inlineStr">
        <is>
          <t>A</t>
        </is>
      </c>
      <c r="E2501" t="inlineStr">
        <is>
          <t>rs78158283</t>
        </is>
      </c>
      <c r="F2501" t="n">
        <v>-0.022993819</v>
      </c>
      <c r="G2501" t="n">
        <v>0.2661296578833164</v>
      </c>
      <c r="H2501" t="n">
        <v>0.0152639437338413</v>
      </c>
      <c r="I2501" t="n">
        <v>0.1627045297588718</v>
      </c>
      <c r="J2501" t="n">
        <v>0.0601653199591343</v>
      </c>
      <c r="K2501" t="n">
        <v>0.6707763388793472</v>
      </c>
      <c r="L2501" t="b">
        <v>0</v>
      </c>
      <c r="M2501" t="b">
        <v>0</v>
      </c>
      <c r="N2501" t="inlineStr">
        <is>
          <t>ref</t>
        </is>
      </c>
      <c r="O2501" t="n">
        <v>65</v>
      </c>
      <c r="P2501" t="n">
        <v>0.0028</v>
      </c>
      <c r="Q2501" t="n">
        <v>-80</v>
      </c>
      <c r="R2501" t="n">
        <v>0.0834</v>
      </c>
      <c r="S2501">
        <f>IMAGE("https://mitra.stanford.edu/kundaje/oak/projects/neuro-variants/variant_position/credible/roussos_2024/variant_figures/roussos_2024.adolescence.GLU/rs78158283_count_position.png",4,220,900)</f>
        <v/>
      </c>
      <c r="T2501">
        <f>IMAGE("https://mitra.stanford.edu/kundaje/oak/projects/neuro-variants/variant_position/credible/roussos_2024/variant_figures/roussos_2024.adolescence.GLU/rs78158283_profile_position.png",4,220,900)</f>
        <v/>
      </c>
    </row>
    <row r="2502">
      <c r="A2502" t="inlineStr">
        <is>
          <t>chr3</t>
        </is>
      </c>
      <c r="B2502" t="n">
        <v>24472985</v>
      </c>
      <c r="C2502" t="inlineStr">
        <is>
          <t>G</t>
        </is>
      </c>
      <c r="D2502" t="inlineStr">
        <is>
          <t>A</t>
        </is>
      </c>
      <c r="E2502" t="inlineStr">
        <is>
          <t>rs77704657</t>
        </is>
      </c>
      <c r="F2502" t="n">
        <v>-0.1160270304</v>
      </c>
      <c r="G2502" t="n">
        <v>0.019201298280616</v>
      </c>
      <c r="H2502" t="n">
        <v>0.0390294797872414</v>
      </c>
      <c r="I2502" t="n">
        <v>0.0185814934271367</v>
      </c>
      <c r="J2502" t="n">
        <v>0.0603696479985139</v>
      </c>
      <c r="K2502" t="n">
        <v>0.6674610498428745</v>
      </c>
      <c r="L2502" t="b">
        <v>1</v>
      </c>
      <c r="M2502" t="b">
        <v>0</v>
      </c>
      <c r="N2502" t="inlineStr">
        <is>
          <t>ref</t>
        </is>
      </c>
      <c r="O2502" t="n">
        <v>-95</v>
      </c>
      <c r="P2502" t="n">
        <v>0.01155</v>
      </c>
      <c r="Q2502" t="n">
        <v>-45</v>
      </c>
      <c r="R2502" t="n">
        <v>0.04776</v>
      </c>
      <c r="S2502">
        <f>IMAGE("https://mitra.stanford.edu/kundaje/oak/projects/neuro-variants/variant_position/credible/roussos_2024/variant_figures/roussos_2024.adolescence.GLU/rs77704657_count_position.png",4,220,900)</f>
        <v/>
      </c>
      <c r="T2502">
        <f>IMAGE("https://mitra.stanford.edu/kundaje/oak/projects/neuro-variants/variant_position/credible/roussos_2024/variant_figures/roussos_2024.adolescence.GLU/rs77704657_profile_position.png",4,220,900)</f>
        <v/>
      </c>
    </row>
    <row r="2503">
      <c r="A2503" t="inlineStr">
        <is>
          <t>chr3</t>
        </is>
      </c>
      <c r="B2503" t="n">
        <v>24515284</v>
      </c>
      <c r="C2503" t="inlineStr">
        <is>
          <t>G</t>
        </is>
      </c>
      <c r="D2503" t="inlineStr">
        <is>
          <t>C</t>
        </is>
      </c>
      <c r="E2503" t="inlineStr">
        <is>
          <t>rs2362188</t>
        </is>
      </c>
      <c r="F2503" t="n">
        <v>-0.0066160646199999</v>
      </c>
      <c r="G2503" t="n">
        <v>0.6692714058886259</v>
      </c>
      <c r="H2503" t="n">
        <v>0.0065614272792745</v>
      </c>
      <c r="I2503" t="n">
        <v>0.9401207547746216</v>
      </c>
      <c r="J2503" t="n">
        <v>0.0049281636910502</v>
      </c>
      <c r="K2503" t="n">
        <v>0.9203579778879568</v>
      </c>
      <c r="L2503" t="b">
        <v>0</v>
      </c>
      <c r="M2503" t="b">
        <v>0</v>
      </c>
      <c r="N2503" t="inlineStr">
        <is>
          <t>ref</t>
        </is>
      </c>
      <c r="O2503" t="n">
        <v>60</v>
      </c>
      <c r="P2503" t="n">
        <v>0.01144</v>
      </c>
      <c r="Q2503" t="n">
        <v>-60</v>
      </c>
      <c r="R2503" t="n">
        <v>0.02023</v>
      </c>
      <c r="S2503">
        <f>IMAGE("https://mitra.stanford.edu/kundaje/oak/projects/neuro-variants/variant_position/credible/roussos_2024/variant_figures/roussos_2024.adolescence.GLU/rs2362188_count_position.png",4,220,900)</f>
        <v/>
      </c>
      <c r="T2503">
        <f>IMAGE("https://mitra.stanford.edu/kundaje/oak/projects/neuro-variants/variant_position/credible/roussos_2024/variant_figures/roussos_2024.adolescence.GLU/rs2362188_profile_position.png",4,220,900)</f>
        <v/>
      </c>
    </row>
    <row r="2504">
      <c r="A2504" t="inlineStr">
        <is>
          <t>chr3</t>
        </is>
      </c>
      <c r="B2504" t="n">
        <v>24583168</v>
      </c>
      <c r="C2504" t="inlineStr">
        <is>
          <t>C</t>
        </is>
      </c>
      <c r="D2504" t="inlineStr">
        <is>
          <t>A</t>
        </is>
      </c>
      <c r="E2504" t="inlineStr">
        <is>
          <t>rs79369190</t>
        </is>
      </c>
      <c r="F2504" t="n">
        <v>0.0269840152</v>
      </c>
      <c r="G2504" t="n">
        <v>0.194884525711237</v>
      </c>
      <c r="H2504" t="n">
        <v>0.0175012429281462</v>
      </c>
      <c r="I2504" t="n">
        <v>0.092685035764222</v>
      </c>
      <c r="J2504" t="n">
        <v>0.4194854648462896</v>
      </c>
      <c r="K2504" t="n">
        <v>0.1485852515256505</v>
      </c>
      <c r="L2504" t="b">
        <v>0</v>
      </c>
      <c r="M2504" t="b">
        <v>0</v>
      </c>
      <c r="N2504" t="inlineStr">
        <is>
          <t>alt</t>
        </is>
      </c>
      <c r="O2504" t="n">
        <v>-30</v>
      </c>
      <c r="P2504" t="n">
        <v>0.001221</v>
      </c>
      <c r="Q2504" t="n">
        <v>95</v>
      </c>
      <c r="R2504" t="n">
        <v>0.0779</v>
      </c>
      <c r="S2504">
        <f>IMAGE("https://mitra.stanford.edu/kundaje/oak/projects/neuro-variants/variant_position/credible/roussos_2024/variant_figures/roussos_2024.adolescence.GLU/rs79369190_count_position.png",4,220,900)</f>
        <v/>
      </c>
      <c r="T2504">
        <f>IMAGE("https://mitra.stanford.edu/kundaje/oak/projects/neuro-variants/variant_position/credible/roussos_2024/variant_figures/roussos_2024.adolescence.GLU/rs79369190_profile_position.png",4,220,900)</f>
        <v/>
      </c>
    </row>
    <row r="2505">
      <c r="A2505" t="inlineStr">
        <is>
          <t>chr3</t>
        </is>
      </c>
      <c r="B2505" t="n">
        <v>29687101</v>
      </c>
      <c r="C2505" t="inlineStr">
        <is>
          <t>T</t>
        </is>
      </c>
      <c r="D2505" t="inlineStr">
        <is>
          <t>C</t>
        </is>
      </c>
      <c r="E2505" t="inlineStr">
        <is>
          <t>rs1440502</t>
        </is>
      </c>
      <c r="F2505" t="n">
        <v>0.00296566529</v>
      </c>
      <c r="G2505" t="n">
        <v>0.7682907720742463</v>
      </c>
      <c r="H2505" t="n">
        <v>0.0141273190633025</v>
      </c>
      <c r="I2505" t="n">
        <v>0.1989080492653166</v>
      </c>
      <c r="J2505" t="n">
        <v>0.0069128605211079</v>
      </c>
      <c r="K2505" t="n">
        <v>0.8999777752357557</v>
      </c>
      <c r="L2505" t="b">
        <v>0</v>
      </c>
      <c r="M2505" t="b">
        <v>0</v>
      </c>
      <c r="N2505" t="inlineStr">
        <is>
          <t>alt</t>
        </is>
      </c>
      <c r="O2505" t="n">
        <v>95</v>
      </c>
      <c r="P2505" t="n">
        <v>0.001373</v>
      </c>
      <c r="Q2505" t="n">
        <v>-65</v>
      </c>
      <c r="R2505" t="n">
        <v>0.04437</v>
      </c>
      <c r="S2505">
        <f>IMAGE("https://mitra.stanford.edu/kundaje/oak/projects/neuro-variants/variant_position/credible/roussos_2024/variant_figures/roussos_2024.adolescence.GLU/rs1440502_count_position.png",4,220,900)</f>
        <v/>
      </c>
      <c r="T2505">
        <f>IMAGE("https://mitra.stanford.edu/kundaje/oak/projects/neuro-variants/variant_position/credible/roussos_2024/variant_figures/roussos_2024.adolescence.GLU/rs1440502_profile_position.png",4,220,900)</f>
        <v/>
      </c>
    </row>
    <row r="2506">
      <c r="A2506" t="inlineStr">
        <is>
          <t>chr3</t>
        </is>
      </c>
      <c r="B2506" t="n">
        <v>29700840</v>
      </c>
      <c r="C2506" t="inlineStr">
        <is>
          <t>A</t>
        </is>
      </c>
      <c r="D2506" t="inlineStr">
        <is>
          <t>G</t>
        </is>
      </c>
      <c r="E2506" t="inlineStr">
        <is>
          <t>rs7634119</t>
        </is>
      </c>
      <c r="F2506" t="n">
        <v>0.07870018479999991</v>
      </c>
      <c r="G2506" t="n">
        <v>0.0156328699187609</v>
      </c>
      <c r="H2506" t="n">
        <v>0.0158407476234359</v>
      </c>
      <c r="I2506" t="n">
        <v>0.1437327620791336</v>
      </c>
      <c r="J2506" t="n">
        <v>0.2123382700702288</v>
      </c>
      <c r="K2506" t="n">
        <v>0.3858410761193108</v>
      </c>
      <c r="L2506" t="b">
        <v>1</v>
      </c>
      <c r="M2506" t="b">
        <v>0</v>
      </c>
      <c r="N2506" t="inlineStr">
        <is>
          <t>alt</t>
        </is>
      </c>
      <c r="O2506" t="n">
        <v>-100</v>
      </c>
      <c r="P2506" t="n">
        <v>0.008630000000000001</v>
      </c>
      <c r="Q2506" t="n">
        <v>-50</v>
      </c>
      <c r="R2506" t="n">
        <v>0.01929</v>
      </c>
      <c r="S2506">
        <f>IMAGE("https://mitra.stanford.edu/kundaje/oak/projects/neuro-variants/variant_position/credible/roussos_2024/variant_figures/roussos_2024.adolescence.GLU/rs7634119_count_position.png",4,220,900)</f>
        <v/>
      </c>
      <c r="T2506">
        <f>IMAGE("https://mitra.stanford.edu/kundaje/oak/projects/neuro-variants/variant_position/credible/roussos_2024/variant_figures/roussos_2024.adolescence.GLU/rs7634119_profile_position.png",4,220,900)</f>
        <v/>
      </c>
    </row>
    <row r="2507">
      <c r="A2507" t="inlineStr">
        <is>
          <t>chr3</t>
        </is>
      </c>
      <c r="B2507" t="n">
        <v>29702478</v>
      </c>
      <c r="C2507" t="inlineStr">
        <is>
          <t>C</t>
        </is>
      </c>
      <c r="D2507" t="inlineStr">
        <is>
          <t>A</t>
        </is>
      </c>
      <c r="E2507" t="inlineStr">
        <is>
          <t>rs140030786</t>
        </is>
      </c>
      <c r="F2507" t="n">
        <v>-0.008326884119999999</v>
      </c>
      <c r="G2507" t="n">
        <v>0.5454134712916524</v>
      </c>
      <c r="H2507" t="n">
        <v>0.009531911830817599</v>
      </c>
      <c r="I2507" t="n">
        <v>0.5974173403380796</v>
      </c>
      <c r="J2507" t="n">
        <v>0.5133591958334226</v>
      </c>
      <c r="K2507" t="n">
        <v>0.0775768335110492</v>
      </c>
      <c r="L2507" t="b">
        <v>0</v>
      </c>
      <c r="M2507" t="b">
        <v>0</v>
      </c>
      <c r="N2507" t="inlineStr">
        <is>
          <t>ref</t>
        </is>
      </c>
      <c r="O2507" t="n">
        <v>-85</v>
      </c>
      <c r="P2507" t="n">
        <v>0.002281</v>
      </c>
      <c r="Q2507" t="n">
        <v>10</v>
      </c>
      <c r="R2507" t="n">
        <v>0.01575</v>
      </c>
      <c r="S2507">
        <f>IMAGE("https://mitra.stanford.edu/kundaje/oak/projects/neuro-variants/variant_position/credible/roussos_2024/variant_figures/roussos_2024.adolescence.GLU/rs140030786_count_position.png",4,220,900)</f>
        <v/>
      </c>
      <c r="T2507">
        <f>IMAGE("https://mitra.stanford.edu/kundaje/oak/projects/neuro-variants/variant_position/credible/roussos_2024/variant_figures/roussos_2024.adolescence.GLU/rs140030786_profile_position.png",4,220,900)</f>
        <v/>
      </c>
    </row>
    <row r="2508">
      <c r="A2508" t="inlineStr">
        <is>
          <t>chr3</t>
        </is>
      </c>
      <c r="B2508" t="n">
        <v>29714011</v>
      </c>
      <c r="C2508" t="inlineStr">
        <is>
          <t>T</t>
        </is>
      </c>
      <c r="D2508" t="inlineStr">
        <is>
          <t>C</t>
        </is>
      </c>
      <c r="E2508" t="inlineStr">
        <is>
          <t>rs7632532</t>
        </is>
      </c>
      <c r="F2508" t="n">
        <v>0.006729144684</v>
      </c>
      <c r="G2508" t="n">
        <v>0.6094683997084981</v>
      </c>
      <c r="H2508" t="n">
        <v>0.008527756022301901</v>
      </c>
      <c r="I2508" t="n">
        <v>0.7190250200809701</v>
      </c>
      <c r="J2508" t="n">
        <v>0.0508291003136363</v>
      </c>
      <c r="K2508" t="n">
        <v>0.7013249310855506</v>
      </c>
      <c r="L2508" t="b">
        <v>0</v>
      </c>
      <c r="M2508" t="b">
        <v>0</v>
      </c>
      <c r="N2508" t="inlineStr">
        <is>
          <t>alt</t>
        </is>
      </c>
      <c r="O2508" t="n">
        <v>10</v>
      </c>
      <c r="P2508" t="n">
        <v>0.00241</v>
      </c>
      <c r="Q2508" t="n">
        <v>10</v>
      </c>
      <c r="R2508" t="n">
        <v>0.008330000000000001</v>
      </c>
      <c r="S2508">
        <f>IMAGE("https://mitra.stanford.edu/kundaje/oak/projects/neuro-variants/variant_position/credible/roussos_2024/variant_figures/roussos_2024.adolescence.GLU/rs7632532_count_position.png",4,220,900)</f>
        <v/>
      </c>
      <c r="T2508">
        <f>IMAGE("https://mitra.stanford.edu/kundaje/oak/projects/neuro-variants/variant_position/credible/roussos_2024/variant_figures/roussos_2024.adolescence.GLU/rs7632532_profile_position.png",4,220,900)</f>
        <v/>
      </c>
    </row>
    <row r="2509">
      <c r="A2509" t="inlineStr">
        <is>
          <t>chr3</t>
        </is>
      </c>
      <c r="B2509" t="n">
        <v>29750230</v>
      </c>
      <c r="C2509" t="inlineStr">
        <is>
          <t>T</t>
        </is>
      </c>
      <c r="D2509" t="inlineStr">
        <is>
          <t>G</t>
        </is>
      </c>
      <c r="E2509" t="inlineStr">
        <is>
          <t>rs7634890</t>
        </is>
      </c>
      <c r="F2509" t="n">
        <v>-0.00129496364</v>
      </c>
      <c r="G2509" t="n">
        <v>0.6920200839268389</v>
      </c>
      <c r="H2509" t="n">
        <v>0.0265868683087777</v>
      </c>
      <c r="I2509" t="n">
        <v>0.0154321247623473</v>
      </c>
      <c r="J2509" t="n">
        <v>0.0020432803937958</v>
      </c>
      <c r="K2509" t="n">
        <v>0.9602549119731164</v>
      </c>
      <c r="L2509" t="b">
        <v>0</v>
      </c>
      <c r="M2509" t="b">
        <v>0</v>
      </c>
      <c r="N2509" t="inlineStr">
        <is>
          <t>ref</t>
        </is>
      </c>
      <c r="O2509" t="n">
        <v>75</v>
      </c>
      <c r="P2509" t="n">
        <v>0.006424</v>
      </c>
      <c r="Q2509" t="n">
        <v>10</v>
      </c>
      <c r="R2509" t="n">
        <v>0.00238</v>
      </c>
      <c r="S2509">
        <f>IMAGE("https://mitra.stanford.edu/kundaje/oak/projects/neuro-variants/variant_position/credible/roussos_2024/variant_figures/roussos_2024.adolescence.GLU/rs7634890_count_position.png",4,220,900)</f>
        <v/>
      </c>
      <c r="T2509">
        <f>IMAGE("https://mitra.stanford.edu/kundaje/oak/projects/neuro-variants/variant_position/credible/roussos_2024/variant_figures/roussos_2024.adolescence.GLU/rs7634890_profile_position.png",4,220,900)</f>
        <v/>
      </c>
    </row>
    <row r="2510">
      <c r="A2510" t="inlineStr">
        <is>
          <t>chr3</t>
        </is>
      </c>
      <c r="B2510" t="n">
        <v>29752250</v>
      </c>
      <c r="C2510" t="inlineStr">
        <is>
          <t>T</t>
        </is>
      </c>
      <c r="D2510" t="inlineStr">
        <is>
          <t>G</t>
        </is>
      </c>
      <c r="E2510" t="inlineStr">
        <is>
          <t>rs1595901</t>
        </is>
      </c>
      <c r="F2510" t="n">
        <v>0.08313986399999999</v>
      </c>
      <c r="G2510" t="n">
        <v>0.0136942962978058</v>
      </c>
      <c r="H2510" t="n">
        <v>0.0195295542613335</v>
      </c>
      <c r="I2510" t="n">
        <v>0.06296830968774569</v>
      </c>
      <c r="J2510" t="n">
        <v>0.2996549285209079</v>
      </c>
      <c r="K2510" t="n">
        <v>0.2711223781536562</v>
      </c>
      <c r="L2510" t="b">
        <v>1</v>
      </c>
      <c r="M2510" t="b">
        <v>0</v>
      </c>
      <c r="N2510" t="inlineStr">
        <is>
          <t>alt</t>
        </is>
      </c>
      <c r="O2510" t="n">
        <v>10</v>
      </c>
      <c r="P2510" t="n">
        <v>0.001892</v>
      </c>
      <c r="Q2510" t="n">
        <v>90</v>
      </c>
      <c r="R2510" t="n">
        <v>0.074</v>
      </c>
      <c r="S2510">
        <f>IMAGE("https://mitra.stanford.edu/kundaje/oak/projects/neuro-variants/variant_position/credible/roussos_2024/variant_figures/roussos_2024.adolescence.GLU/rs1595901_count_position.png",4,220,900)</f>
        <v/>
      </c>
      <c r="T2510">
        <f>IMAGE("https://mitra.stanford.edu/kundaje/oak/projects/neuro-variants/variant_position/credible/roussos_2024/variant_figures/roussos_2024.adolescence.GLU/rs1595901_profile_position.png",4,220,900)</f>
        <v/>
      </c>
    </row>
    <row r="2511">
      <c r="A2511" t="inlineStr">
        <is>
          <t>chr3</t>
        </is>
      </c>
      <c r="B2511" t="n">
        <v>29758222</v>
      </c>
      <c r="C2511" t="inlineStr">
        <is>
          <t>A</t>
        </is>
      </c>
      <c r="D2511" t="inlineStr">
        <is>
          <t>G</t>
        </is>
      </c>
      <c r="E2511" t="inlineStr">
        <is>
          <t>rs6780082</t>
        </is>
      </c>
      <c r="F2511" t="n">
        <v>0.063020985</v>
      </c>
      <c r="G2511" t="n">
        <v>0.0297977907542408</v>
      </c>
      <c r="H2511" t="n">
        <v>0.011989719706899</v>
      </c>
      <c r="I2511" t="n">
        <v>0.3409088548188922</v>
      </c>
      <c r="J2511" t="n">
        <v>0.0715319601917539</v>
      </c>
      <c r="K2511" t="n">
        <v>0.6418621049536083</v>
      </c>
      <c r="L2511" t="b">
        <v>0</v>
      </c>
      <c r="M2511" t="b">
        <v>0</v>
      </c>
      <c r="N2511" t="inlineStr">
        <is>
          <t>alt</t>
        </is>
      </c>
      <c r="O2511" t="n">
        <v>-95</v>
      </c>
      <c r="P2511" t="n">
        <v>0.003746</v>
      </c>
      <c r="Q2511" t="n">
        <v>45</v>
      </c>
      <c r="R2511" t="n">
        <v>0.114</v>
      </c>
      <c r="S2511">
        <f>IMAGE("https://mitra.stanford.edu/kundaje/oak/projects/neuro-variants/variant_position/credible/roussos_2024/variant_figures/roussos_2024.adolescence.GLU/rs6780082_count_position.png",4,220,900)</f>
        <v/>
      </c>
      <c r="T2511">
        <f>IMAGE("https://mitra.stanford.edu/kundaje/oak/projects/neuro-variants/variant_position/credible/roussos_2024/variant_figures/roussos_2024.adolescence.GLU/rs6780082_profile_position.png",4,220,900)</f>
        <v/>
      </c>
    </row>
    <row r="2512">
      <c r="A2512" t="inlineStr">
        <is>
          <t>chr3</t>
        </is>
      </c>
      <c r="B2512" t="n">
        <v>29758779</v>
      </c>
      <c r="C2512" t="inlineStr">
        <is>
          <t>G</t>
        </is>
      </c>
      <c r="D2512" t="inlineStr">
        <is>
          <t>A</t>
        </is>
      </c>
      <c r="E2512" t="inlineStr">
        <is>
          <t>rs17551079</t>
        </is>
      </c>
      <c r="F2512" t="n">
        <v>-0.0137543923999999</v>
      </c>
      <c r="G2512" t="n">
        <v>0.4514973964708716</v>
      </c>
      <c r="H2512" t="n">
        <v>0.0086759541695544</v>
      </c>
      <c r="I2512" t="n">
        <v>0.7178206535526124</v>
      </c>
      <c r="J2512" t="n">
        <v>0.2298904773131576</v>
      </c>
      <c r="K2512" t="n">
        <v>0.3588755179381165</v>
      </c>
      <c r="L2512" t="b">
        <v>0</v>
      </c>
      <c r="M2512" t="b">
        <v>0</v>
      </c>
      <c r="N2512" t="inlineStr">
        <is>
          <t>ref</t>
        </is>
      </c>
      <c r="O2512" t="n">
        <v>-85</v>
      </c>
      <c r="P2512" t="n">
        <v>0.00496</v>
      </c>
      <c r="Q2512" t="n">
        <v>-10</v>
      </c>
      <c r="R2512" t="n">
        <v>0.01648</v>
      </c>
      <c r="S2512">
        <f>IMAGE("https://mitra.stanford.edu/kundaje/oak/projects/neuro-variants/variant_position/credible/roussos_2024/variant_figures/roussos_2024.adolescence.GLU/rs17551079_count_position.png",4,220,900)</f>
        <v/>
      </c>
      <c r="T2512">
        <f>IMAGE("https://mitra.stanford.edu/kundaje/oak/projects/neuro-variants/variant_position/credible/roussos_2024/variant_figures/roussos_2024.adolescence.GLU/rs17551079_profile_position.png",4,220,900)</f>
        <v/>
      </c>
    </row>
    <row r="2513">
      <c r="A2513" t="inlineStr">
        <is>
          <t>chr3</t>
        </is>
      </c>
      <c r="B2513" t="n">
        <v>29760935</v>
      </c>
      <c r="C2513" t="inlineStr">
        <is>
          <t>C</t>
        </is>
      </c>
      <c r="D2513" t="inlineStr">
        <is>
          <t>T</t>
        </is>
      </c>
      <c r="E2513" t="inlineStr">
        <is>
          <t>rs2028408</t>
        </is>
      </c>
      <c r="F2513" t="n">
        <v>0.0029033051192</v>
      </c>
      <c r="G2513" t="n">
        <v>0.7352895507403899</v>
      </c>
      <c r="H2513" t="n">
        <v>0.0274448541088231</v>
      </c>
      <c r="I2513" t="n">
        <v>0.014133845209043</v>
      </c>
      <c r="J2513" t="n">
        <v>0.1863114502289759</v>
      </c>
      <c r="K2513" t="n">
        <v>0.4134373385802224</v>
      </c>
      <c r="L2513" t="b">
        <v>1</v>
      </c>
      <c r="M2513" t="b">
        <v>0</v>
      </c>
      <c r="N2513" t="inlineStr">
        <is>
          <t>alt</t>
        </is>
      </c>
      <c r="O2513" t="n">
        <v>45</v>
      </c>
      <c r="P2513" t="n">
        <v>0.004578</v>
      </c>
      <c r="Q2513" t="n">
        <v>-100</v>
      </c>
      <c r="R2513" t="n">
        <v>0.0667</v>
      </c>
      <c r="S2513">
        <f>IMAGE("https://mitra.stanford.edu/kundaje/oak/projects/neuro-variants/variant_position/credible/roussos_2024/variant_figures/roussos_2024.adolescence.GLU/rs2028408_count_position.png",4,220,900)</f>
        <v/>
      </c>
      <c r="T2513">
        <f>IMAGE("https://mitra.stanford.edu/kundaje/oak/projects/neuro-variants/variant_position/credible/roussos_2024/variant_figures/roussos_2024.adolescence.GLU/rs2028408_profile_position.png",4,220,900)</f>
        <v/>
      </c>
    </row>
    <row r="2514">
      <c r="A2514" t="inlineStr">
        <is>
          <t>chr3</t>
        </is>
      </c>
      <c r="B2514" t="n">
        <v>29760939</v>
      </c>
      <c r="C2514" t="inlineStr">
        <is>
          <t>T</t>
        </is>
      </c>
      <c r="D2514" t="inlineStr">
        <is>
          <t>G</t>
        </is>
      </c>
      <c r="E2514" t="inlineStr">
        <is>
          <t>rs2028409</t>
        </is>
      </c>
      <c r="F2514" t="n">
        <v>-0.011572066</v>
      </c>
      <c r="G2514" t="n">
        <v>0.4982387727774163</v>
      </c>
      <c r="H2514" t="n">
        <v>0.0333348628212401</v>
      </c>
      <c r="I2514" t="n">
        <v>0.0060791067381469</v>
      </c>
      <c r="J2514" t="n">
        <v>0.1847396960799022</v>
      </c>
      <c r="K2514" t="n">
        <v>0.4162033657406743</v>
      </c>
      <c r="L2514" t="b">
        <v>1</v>
      </c>
      <c r="M2514" t="b">
        <v>1</v>
      </c>
      <c r="N2514" t="inlineStr">
        <is>
          <t>ref</t>
        </is>
      </c>
      <c r="O2514" t="n">
        <v>45</v>
      </c>
      <c r="P2514" t="n">
        <v>0.0056</v>
      </c>
      <c r="Q2514" t="n">
        <v>-35</v>
      </c>
      <c r="R2514" t="n">
        <v>0.05463</v>
      </c>
      <c r="S2514">
        <f>IMAGE("https://mitra.stanford.edu/kundaje/oak/projects/neuro-variants/variant_position/credible/roussos_2024/variant_figures/roussos_2024.adolescence.GLU/rs2028409_count_position.png",4,220,900)</f>
        <v/>
      </c>
      <c r="T2514">
        <f>IMAGE("https://mitra.stanford.edu/kundaje/oak/projects/neuro-variants/variant_position/credible/roussos_2024/variant_figures/roussos_2024.adolescence.GLU/rs2028409_profile_position.png",4,220,900)</f>
        <v/>
      </c>
    </row>
    <row r="2515">
      <c r="A2515" t="inlineStr">
        <is>
          <t>chr3</t>
        </is>
      </c>
      <c r="B2515" t="n">
        <v>29764026</v>
      </c>
      <c r="C2515" t="inlineStr">
        <is>
          <t>T</t>
        </is>
      </c>
      <c r="D2515" t="inlineStr">
        <is>
          <t>C</t>
        </is>
      </c>
      <c r="E2515" t="inlineStr">
        <is>
          <t>rs12715161</t>
        </is>
      </c>
      <c r="F2515" t="n">
        <v>0.008917786279999999</v>
      </c>
      <c r="G2515" t="n">
        <v>0.5269025284708229</v>
      </c>
      <c r="H2515" t="n">
        <v>0.0087278828300222</v>
      </c>
      <c r="I2515" t="n">
        <v>0.6858107444693157</v>
      </c>
      <c r="J2515" t="n">
        <v>0.1529131034285673</v>
      </c>
      <c r="K2515" t="n">
        <v>0.4652889749421089</v>
      </c>
      <c r="L2515" t="b">
        <v>0</v>
      </c>
      <c r="M2515" t="b">
        <v>0</v>
      </c>
      <c r="N2515" t="inlineStr">
        <is>
          <t>alt</t>
        </is>
      </c>
      <c r="O2515" t="n">
        <v>100</v>
      </c>
      <c r="P2515" t="n">
        <v>0.01465</v>
      </c>
      <c r="Q2515" t="n">
        <v>70</v>
      </c>
      <c r="R2515" t="n">
        <v>0.0752</v>
      </c>
      <c r="S2515">
        <f>IMAGE("https://mitra.stanford.edu/kundaje/oak/projects/neuro-variants/variant_position/credible/roussos_2024/variant_figures/roussos_2024.adolescence.GLU/rs12715161_count_position.png",4,220,900)</f>
        <v/>
      </c>
      <c r="T2515">
        <f>IMAGE("https://mitra.stanford.edu/kundaje/oak/projects/neuro-variants/variant_position/credible/roussos_2024/variant_figures/roussos_2024.adolescence.GLU/rs12715161_profile_position.png",4,220,900)</f>
        <v/>
      </c>
    </row>
    <row r="2516">
      <c r="A2516" t="inlineStr">
        <is>
          <t>chr3</t>
        </is>
      </c>
      <c r="B2516" t="n">
        <v>29764085</v>
      </c>
      <c r="C2516" t="inlineStr">
        <is>
          <t>A</t>
        </is>
      </c>
      <c r="D2516" t="inlineStr">
        <is>
          <t>T</t>
        </is>
      </c>
      <c r="E2516" t="inlineStr">
        <is>
          <t>rs7340606</t>
        </is>
      </c>
      <c r="F2516" t="n">
        <v>0.0106391739</v>
      </c>
      <c r="G2516" t="n">
        <v>0.4883456543326565</v>
      </c>
      <c r="H2516" t="n">
        <v>0.0262474215095538</v>
      </c>
      <c r="I2516" t="n">
        <v>0.0156624300320105</v>
      </c>
      <c r="J2516" t="n">
        <v>0.160783305113202</v>
      </c>
      <c r="K2516" t="n">
        <v>0.4513544618551174</v>
      </c>
      <c r="L2516" t="b">
        <v>1</v>
      </c>
      <c r="M2516" t="b">
        <v>0</v>
      </c>
      <c r="N2516" t="inlineStr">
        <is>
          <t>alt</t>
        </is>
      </c>
      <c r="O2516" t="n">
        <v>85</v>
      </c>
      <c r="P2516" t="n">
        <v>0.014694</v>
      </c>
      <c r="Q2516" t="n">
        <v>100</v>
      </c>
      <c r="R2516" t="n">
        <v>0.155</v>
      </c>
      <c r="S2516">
        <f>IMAGE("https://mitra.stanford.edu/kundaje/oak/projects/neuro-variants/variant_position/credible/roussos_2024/variant_figures/roussos_2024.adolescence.GLU/rs7340606_count_position.png",4,220,900)</f>
        <v/>
      </c>
      <c r="T2516">
        <f>IMAGE("https://mitra.stanford.edu/kundaje/oak/projects/neuro-variants/variant_position/credible/roussos_2024/variant_figures/roussos_2024.adolescence.GLU/rs7340606_profile_position.png",4,220,900)</f>
        <v/>
      </c>
    </row>
    <row r="2517">
      <c r="A2517" t="inlineStr">
        <is>
          <t>chr3</t>
        </is>
      </c>
      <c r="B2517" t="n">
        <v>29963152</v>
      </c>
      <c r="C2517" t="inlineStr">
        <is>
          <t>T</t>
        </is>
      </c>
      <c r="D2517" t="inlineStr">
        <is>
          <t>C</t>
        </is>
      </c>
      <c r="E2517" t="inlineStr">
        <is>
          <t>rs7612854</t>
        </is>
      </c>
      <c r="F2517" t="n">
        <v>-0.005240217674</v>
      </c>
      <c r="G2517" t="n">
        <v>0.7512837530530359</v>
      </c>
      <c r="H2517" t="n">
        <v>0.0208324992511888</v>
      </c>
      <c r="I2517" t="n">
        <v>0.0508078312092941</v>
      </c>
      <c r="J2517" t="n">
        <v>0.0289531402933464</v>
      </c>
      <c r="K2517" t="n">
        <v>0.7760115634771314</v>
      </c>
      <c r="L2517" t="b">
        <v>0</v>
      </c>
      <c r="M2517" t="b">
        <v>0</v>
      </c>
      <c r="N2517" t="inlineStr">
        <is>
          <t>ref</t>
        </is>
      </c>
      <c r="O2517" t="n">
        <v>-70</v>
      </c>
      <c r="P2517" t="n">
        <v>0.00657</v>
      </c>
      <c r="Q2517" t="n">
        <v>55</v>
      </c>
      <c r="R2517" t="n">
        <v>0.07403999999999999</v>
      </c>
      <c r="S2517">
        <f>IMAGE("https://mitra.stanford.edu/kundaje/oak/projects/neuro-variants/variant_position/credible/roussos_2024/variant_figures/roussos_2024.adolescence.GLU/rs7612854_count_position.png",4,220,900)</f>
        <v/>
      </c>
      <c r="T2517">
        <f>IMAGE("https://mitra.stanford.edu/kundaje/oak/projects/neuro-variants/variant_position/credible/roussos_2024/variant_figures/roussos_2024.adolescence.GLU/rs7612854_profile_position.png",4,220,900)</f>
        <v/>
      </c>
    </row>
    <row r="2518">
      <c r="A2518" t="inlineStr">
        <is>
          <t>chr3</t>
        </is>
      </c>
      <c r="B2518" t="n">
        <v>29970451</v>
      </c>
      <c r="C2518" t="inlineStr">
        <is>
          <t>T</t>
        </is>
      </c>
      <c r="D2518" t="inlineStr">
        <is>
          <t>C</t>
        </is>
      </c>
      <c r="E2518" t="inlineStr">
        <is>
          <t>rs1449281</t>
        </is>
      </c>
      <c r="F2518" t="n">
        <v>0.002340735712</v>
      </c>
      <c r="G2518" t="n">
        <v>0.734663197579605</v>
      </c>
      <c r="H2518" t="n">
        <v>0.028936520142627</v>
      </c>
      <c r="I2518" t="n">
        <v>0.009992997888303899</v>
      </c>
      <c r="J2518" t="n">
        <v>0.0302334054911373</v>
      </c>
      <c r="K2518" t="n">
        <v>0.771884225295801</v>
      </c>
      <c r="L2518" t="b">
        <v>1</v>
      </c>
      <c r="M2518" t="b">
        <v>0</v>
      </c>
      <c r="N2518" t="inlineStr">
        <is>
          <t>alt</t>
        </is>
      </c>
      <c r="O2518" t="n">
        <v>100</v>
      </c>
      <c r="P2518" t="n">
        <v>0.001999</v>
      </c>
      <c r="Q2518" t="n">
        <v>-100</v>
      </c>
      <c r="R2518" t="n">
        <v>0.02907</v>
      </c>
      <c r="S2518">
        <f>IMAGE("https://mitra.stanford.edu/kundaje/oak/projects/neuro-variants/variant_position/credible/roussos_2024/variant_figures/roussos_2024.adolescence.GLU/rs1449281_count_position.png",4,220,900)</f>
        <v/>
      </c>
      <c r="T2518">
        <f>IMAGE("https://mitra.stanford.edu/kundaje/oak/projects/neuro-variants/variant_position/credible/roussos_2024/variant_figures/roussos_2024.adolescence.GLU/rs1449281_profile_position.png",4,220,900)</f>
        <v/>
      </c>
    </row>
    <row r="2519">
      <c r="A2519" t="inlineStr">
        <is>
          <t>chr3</t>
        </is>
      </c>
      <c r="B2519" t="n">
        <v>29990864</v>
      </c>
      <c r="C2519" t="inlineStr">
        <is>
          <t>A</t>
        </is>
      </c>
      <c r="D2519" t="inlineStr">
        <is>
          <t>G</t>
        </is>
      </c>
      <c r="E2519" t="inlineStr">
        <is>
          <t>rs3773124</t>
        </is>
      </c>
      <c r="F2519" t="n">
        <v>0.0889002374</v>
      </c>
      <c r="G2519" t="n">
        <v>0.0188190117284666</v>
      </c>
      <c r="H2519" t="n">
        <v>0.0195175725300519</v>
      </c>
      <c r="I2519" t="n">
        <v>0.1037428940484004</v>
      </c>
      <c r="J2519" t="n">
        <v>0.0556686742253752</v>
      </c>
      <c r="K2519" t="n">
        <v>0.6798795688693149</v>
      </c>
      <c r="L2519" t="b">
        <v>1</v>
      </c>
      <c r="M2519" t="b">
        <v>0</v>
      </c>
      <c r="N2519" t="inlineStr">
        <is>
          <t>alt</t>
        </is>
      </c>
      <c r="O2519" t="n">
        <v>85</v>
      </c>
      <c r="P2519" t="n">
        <v>0.0067</v>
      </c>
      <c r="Q2519" t="n">
        <v>100</v>
      </c>
      <c r="R2519" t="n">
        <v>0.0539</v>
      </c>
      <c r="S2519">
        <f>IMAGE("https://mitra.stanford.edu/kundaje/oak/projects/neuro-variants/variant_position/credible/roussos_2024/variant_figures/roussos_2024.adolescence.GLU/rs3773124_count_position.png",4,220,900)</f>
        <v/>
      </c>
      <c r="T2519">
        <f>IMAGE("https://mitra.stanford.edu/kundaje/oak/projects/neuro-variants/variant_position/credible/roussos_2024/variant_figures/roussos_2024.adolescence.GLU/rs3773124_profile_position.png",4,220,900)</f>
        <v/>
      </c>
    </row>
    <row r="2520">
      <c r="A2520" t="inlineStr">
        <is>
          <t>chr3</t>
        </is>
      </c>
      <c r="B2520" t="n">
        <v>30001813</v>
      </c>
      <c r="C2520" t="inlineStr">
        <is>
          <t>A</t>
        </is>
      </c>
      <c r="D2520" t="inlineStr">
        <is>
          <t>G</t>
        </is>
      </c>
      <c r="E2520" t="inlineStr">
        <is>
          <t>rs4680866</t>
        </is>
      </c>
      <c r="F2520" t="n">
        <v>0.001946245568</v>
      </c>
      <c r="G2520" t="n">
        <v>0.8615953570784142</v>
      </c>
      <c r="H2520" t="n">
        <v>0.0158060562557731</v>
      </c>
      <c r="I2520" t="n">
        <v>0.1399688202294272</v>
      </c>
      <c r="J2520" t="n">
        <v>0.0582906459195118</v>
      </c>
      <c r="K2520" t="n">
        <v>0.6768178696241977</v>
      </c>
      <c r="L2520" t="b">
        <v>0</v>
      </c>
      <c r="M2520" t="b">
        <v>0</v>
      </c>
      <c r="N2520" t="inlineStr">
        <is>
          <t>alt</t>
        </is>
      </c>
      <c r="O2520" t="n">
        <v>70</v>
      </c>
      <c r="P2520" t="n">
        <v>0.000763</v>
      </c>
      <c r="Q2520" t="n">
        <v>100</v>
      </c>
      <c r="R2520" t="n">
        <v>0.07965</v>
      </c>
      <c r="S2520">
        <f>IMAGE("https://mitra.stanford.edu/kundaje/oak/projects/neuro-variants/variant_position/credible/roussos_2024/variant_figures/roussos_2024.adolescence.GLU/rs4680866_count_position.png",4,220,900)</f>
        <v/>
      </c>
      <c r="T2520">
        <f>IMAGE("https://mitra.stanford.edu/kundaje/oak/projects/neuro-variants/variant_position/credible/roussos_2024/variant_figures/roussos_2024.adolescence.GLU/rs4680866_profile_position.png",4,220,900)</f>
        <v/>
      </c>
    </row>
    <row r="2521">
      <c r="A2521" t="inlineStr">
        <is>
          <t>chr3</t>
        </is>
      </c>
      <c r="B2521" t="n">
        <v>30056807</v>
      </c>
      <c r="C2521" t="inlineStr">
        <is>
          <t>C</t>
        </is>
      </c>
      <c r="D2521" t="inlineStr">
        <is>
          <t>T</t>
        </is>
      </c>
      <c r="E2521" t="inlineStr">
        <is>
          <t>rs62237196</t>
        </is>
      </c>
      <c r="F2521" t="n">
        <v>0.008268497640000001</v>
      </c>
      <c r="G2521" t="n">
        <v>0.4243991022412392</v>
      </c>
      <c r="H2521" t="n">
        <v>0.0144761817241326</v>
      </c>
      <c r="I2521" t="n">
        <v>0.18209813863431</v>
      </c>
      <c r="J2521" t="n">
        <v>0.0799965707182201</v>
      </c>
      <c r="K2521" t="n">
        <v>0.6299671512140383</v>
      </c>
      <c r="L2521" t="b">
        <v>0</v>
      </c>
      <c r="M2521" t="b">
        <v>0</v>
      </c>
      <c r="N2521" t="inlineStr">
        <is>
          <t>alt</t>
        </is>
      </c>
      <c r="O2521" t="n">
        <v>10</v>
      </c>
      <c r="P2521" t="n">
        <v>0.000372</v>
      </c>
      <c r="Q2521" t="n">
        <v>-80</v>
      </c>
      <c r="R2521" t="n">
        <v>0.048</v>
      </c>
      <c r="S2521">
        <f>IMAGE("https://mitra.stanford.edu/kundaje/oak/projects/neuro-variants/variant_position/credible/roussos_2024/variant_figures/roussos_2024.adolescence.GLU/rs62237196_count_position.png",4,220,900)</f>
        <v/>
      </c>
      <c r="T2521">
        <f>IMAGE("https://mitra.stanford.edu/kundaje/oak/projects/neuro-variants/variant_position/credible/roussos_2024/variant_figures/roussos_2024.adolescence.GLU/rs62237196_profile_position.png",4,220,900)</f>
        <v/>
      </c>
    </row>
    <row r="2522">
      <c r="A2522" t="inlineStr">
        <is>
          <t>chr3</t>
        </is>
      </c>
      <c r="B2522" t="n">
        <v>30058734</v>
      </c>
      <c r="C2522" t="inlineStr">
        <is>
          <t>T</t>
        </is>
      </c>
      <c r="D2522" t="inlineStr">
        <is>
          <t>C</t>
        </is>
      </c>
      <c r="E2522" t="inlineStr">
        <is>
          <t>rs56077410</t>
        </is>
      </c>
      <c r="F2522" t="n">
        <v>0.004327879236</v>
      </c>
      <c r="G2522" t="n">
        <v>0.7473585154077272</v>
      </c>
      <c r="H2522" t="n">
        <v>0.0140670503199334</v>
      </c>
      <c r="I2522" t="n">
        <v>0.2090640604514103</v>
      </c>
      <c r="J2522" t="n">
        <v>0.0001114516578433</v>
      </c>
      <c r="K2522" t="n">
        <v>0.9935813931507884</v>
      </c>
      <c r="L2522" t="b">
        <v>0</v>
      </c>
      <c r="M2522" t="b">
        <v>0</v>
      </c>
      <c r="N2522" t="inlineStr">
        <is>
          <t>alt</t>
        </is>
      </c>
      <c r="O2522" t="n">
        <v>-40</v>
      </c>
      <c r="P2522" t="n">
        <v>0.005783</v>
      </c>
      <c r="Q2522" t="n">
        <v>100</v>
      </c>
      <c r="R2522" t="n">
        <v>0.04248</v>
      </c>
      <c r="S2522">
        <f>IMAGE("https://mitra.stanford.edu/kundaje/oak/projects/neuro-variants/variant_position/credible/roussos_2024/variant_figures/roussos_2024.adolescence.GLU/rs56077410_count_position.png",4,220,900)</f>
        <v/>
      </c>
      <c r="T2522">
        <f>IMAGE("https://mitra.stanford.edu/kundaje/oak/projects/neuro-variants/variant_position/credible/roussos_2024/variant_figures/roussos_2024.adolescence.GLU/rs56077410_profile_position.png",4,220,900)</f>
        <v/>
      </c>
    </row>
    <row r="2523">
      <c r="A2523" t="inlineStr">
        <is>
          <t>chr3</t>
        </is>
      </c>
      <c r="B2523" t="n">
        <v>31981188</v>
      </c>
      <c r="C2523" t="inlineStr">
        <is>
          <t>G</t>
        </is>
      </c>
      <c r="D2523" t="inlineStr">
        <is>
          <t>C</t>
        </is>
      </c>
      <c r="E2523" t="inlineStr">
        <is>
          <t>rs76150980</t>
        </is>
      </c>
      <c r="F2523" t="n">
        <v>0.0135400565</v>
      </c>
      <c r="G2523" t="n">
        <v>0.4006269011977008</v>
      </c>
      <c r="H2523" t="n">
        <v>0.0152705598938082</v>
      </c>
      <c r="I2523" t="n">
        <v>0.1474941124559018</v>
      </c>
      <c r="J2523" t="n">
        <v>0.8759985997099399</v>
      </c>
      <c r="K2523" t="n">
        <v>0.0045627970641804</v>
      </c>
      <c r="L2523" t="b">
        <v>0</v>
      </c>
      <c r="M2523" t="b">
        <v>0</v>
      </c>
      <c r="N2523" t="inlineStr">
        <is>
          <t>alt</t>
        </is>
      </c>
      <c r="O2523" t="n">
        <v>100</v>
      </c>
      <c r="P2523" t="n">
        <v>0.001198</v>
      </c>
      <c r="Q2523" t="n">
        <v>100</v>
      </c>
      <c r="R2523" t="n">
        <v>0.07006999999999999</v>
      </c>
      <c r="S2523">
        <f>IMAGE("https://mitra.stanford.edu/kundaje/oak/projects/neuro-variants/variant_position/credible/roussos_2024/variant_figures/roussos_2024.adolescence.GLU/rs76150980_count_position.png",4,220,900)</f>
        <v/>
      </c>
      <c r="T2523">
        <f>IMAGE("https://mitra.stanford.edu/kundaje/oak/projects/neuro-variants/variant_position/credible/roussos_2024/variant_figures/roussos_2024.adolescence.GLU/rs76150980_profile_position.png",4,220,900)</f>
        <v/>
      </c>
    </row>
    <row r="2524">
      <c r="A2524" t="inlineStr">
        <is>
          <t>chr3</t>
        </is>
      </c>
      <c r="B2524" t="n">
        <v>31996113</v>
      </c>
      <c r="C2524" t="inlineStr">
        <is>
          <t>G</t>
        </is>
      </c>
      <c r="D2524" t="inlineStr">
        <is>
          <t>A</t>
        </is>
      </c>
      <c r="E2524" t="inlineStr">
        <is>
          <t>rs62244405</t>
        </is>
      </c>
      <c r="F2524" t="n">
        <v>-0.0483303489999999</v>
      </c>
      <c r="G2524" t="n">
        <v>0.07313438768823941</v>
      </c>
      <c r="H2524" t="n">
        <v>0.009412670617151999</v>
      </c>
      <c r="I2524" t="n">
        <v>0.5934902890356889</v>
      </c>
      <c r="J2524" t="n">
        <v>0.1987640296918646</v>
      </c>
      <c r="K2524" t="n">
        <v>0.4043661249204421</v>
      </c>
      <c r="L2524" t="b">
        <v>0</v>
      </c>
      <c r="M2524" t="b">
        <v>0</v>
      </c>
      <c r="N2524" t="inlineStr">
        <is>
          <t>ref</t>
        </is>
      </c>
      <c r="O2524" t="n">
        <v>15</v>
      </c>
      <c r="P2524" t="n">
        <v>0.000992</v>
      </c>
      <c r="Q2524" t="n">
        <v>-100</v>
      </c>
      <c r="R2524" t="n">
        <v>0.08075</v>
      </c>
      <c r="S2524">
        <f>IMAGE("https://mitra.stanford.edu/kundaje/oak/projects/neuro-variants/variant_position/credible/roussos_2024/variant_figures/roussos_2024.adolescence.GLU/rs62244405_count_position.png",4,220,900)</f>
        <v/>
      </c>
      <c r="T2524">
        <f>IMAGE("https://mitra.stanford.edu/kundaje/oak/projects/neuro-variants/variant_position/credible/roussos_2024/variant_figures/roussos_2024.adolescence.GLU/rs62244405_profile_position.png",4,220,900)</f>
        <v/>
      </c>
    </row>
    <row r="2525">
      <c r="A2525" t="inlineStr">
        <is>
          <t>chr3</t>
        </is>
      </c>
      <c r="B2525" t="n">
        <v>31996388</v>
      </c>
      <c r="C2525" t="inlineStr">
        <is>
          <t>T</t>
        </is>
      </c>
      <c r="D2525" t="inlineStr">
        <is>
          <t>C</t>
        </is>
      </c>
      <c r="E2525" t="inlineStr">
        <is>
          <t>rs17028710</t>
        </is>
      </c>
      <c r="F2525" t="n">
        <v>0.0552352168</v>
      </c>
      <c r="G2525" t="n">
        <v>0.0435688856489702</v>
      </c>
      <c r="H2525" t="n">
        <v>0.009479714819743299</v>
      </c>
      <c r="I2525" t="n">
        <v>0.5652934838827511</v>
      </c>
      <c r="J2525" t="n">
        <v>0.2325267376813768</v>
      </c>
      <c r="K2525" t="n">
        <v>0.3564009788491264</v>
      </c>
      <c r="L2525" t="b">
        <v>0</v>
      </c>
      <c r="M2525" t="b">
        <v>0</v>
      </c>
      <c r="N2525" t="inlineStr">
        <is>
          <t>alt</t>
        </is>
      </c>
      <c r="O2525" t="n">
        <v>-100</v>
      </c>
      <c r="P2525" t="n">
        <v>0.006653</v>
      </c>
      <c r="Q2525" t="n">
        <v>-25</v>
      </c>
      <c r="R2525" t="n">
        <v>0.01727</v>
      </c>
      <c r="S2525">
        <f>IMAGE("https://mitra.stanford.edu/kundaje/oak/projects/neuro-variants/variant_position/credible/roussos_2024/variant_figures/roussos_2024.adolescence.GLU/rs17028710_count_position.png",4,220,900)</f>
        <v/>
      </c>
      <c r="T2525">
        <f>IMAGE("https://mitra.stanford.edu/kundaje/oak/projects/neuro-variants/variant_position/credible/roussos_2024/variant_figures/roussos_2024.adolescence.GLU/rs17028710_profile_position.png",4,220,900)</f>
        <v/>
      </c>
    </row>
    <row r="2526">
      <c r="A2526" t="inlineStr">
        <is>
          <t>chr3</t>
        </is>
      </c>
      <c r="B2526" t="n">
        <v>31999737</v>
      </c>
      <c r="C2526" t="inlineStr">
        <is>
          <t>T</t>
        </is>
      </c>
      <c r="D2526" t="inlineStr">
        <is>
          <t>C</t>
        </is>
      </c>
      <c r="E2526" t="inlineStr">
        <is>
          <t>rs17028714</t>
        </is>
      </c>
      <c r="F2526" t="n">
        <v>0.079271683</v>
      </c>
      <c r="G2526" t="n">
        <v>0.015456755988948</v>
      </c>
      <c r="H2526" t="n">
        <v>0.0162632900445801</v>
      </c>
      <c r="I2526" t="n">
        <v>0.1345484060852996</v>
      </c>
      <c r="J2526" t="n">
        <v>0.1817562209314786</v>
      </c>
      <c r="K2526" t="n">
        <v>0.4306940030888098</v>
      </c>
      <c r="L2526" t="b">
        <v>1</v>
      </c>
      <c r="M2526" t="b">
        <v>0</v>
      </c>
      <c r="N2526" t="inlineStr">
        <is>
          <t>alt</t>
        </is>
      </c>
      <c r="O2526" t="n">
        <v>60</v>
      </c>
      <c r="P2526" t="n">
        <v>0.009549999999999999</v>
      </c>
      <c r="Q2526" t="n">
        <v>45</v>
      </c>
      <c r="R2526" t="n">
        <v>0.06067</v>
      </c>
      <c r="S2526">
        <f>IMAGE("https://mitra.stanford.edu/kundaje/oak/projects/neuro-variants/variant_position/credible/roussos_2024/variant_figures/roussos_2024.adolescence.GLU/rs17028714_count_position.png",4,220,900)</f>
        <v/>
      </c>
      <c r="T2526">
        <f>IMAGE("https://mitra.stanford.edu/kundaje/oak/projects/neuro-variants/variant_position/credible/roussos_2024/variant_figures/roussos_2024.adolescence.GLU/rs17028714_profile_position.png",4,220,900)</f>
        <v/>
      </c>
    </row>
    <row r="2527">
      <c r="A2527" t="inlineStr">
        <is>
          <t>chr3</t>
        </is>
      </c>
      <c r="B2527" t="n">
        <v>32000088</v>
      </c>
      <c r="C2527" t="inlineStr">
        <is>
          <t>G</t>
        </is>
      </c>
      <c r="D2527" t="inlineStr">
        <is>
          <t>C</t>
        </is>
      </c>
      <c r="E2527" t="inlineStr">
        <is>
          <t>rs17028716</t>
        </is>
      </c>
      <c r="F2527" t="n">
        <v>-0.0318678256</v>
      </c>
      <c r="G2527" t="n">
        <v>0.1677094913974717</v>
      </c>
      <c r="H2527" t="n">
        <v>0.0186735890131111</v>
      </c>
      <c r="I2527" t="n">
        <v>0.0843407855692168</v>
      </c>
      <c r="J2527" t="n">
        <v>0.245613734273528</v>
      </c>
      <c r="K2527" t="n">
        <v>0.3406728188575051</v>
      </c>
      <c r="L2527" t="b">
        <v>0</v>
      </c>
      <c r="M2527" t="b">
        <v>0</v>
      </c>
      <c r="N2527" t="inlineStr">
        <is>
          <t>ref</t>
        </is>
      </c>
      <c r="O2527" t="n">
        <v>-65</v>
      </c>
      <c r="P2527" t="n">
        <v>0.00578</v>
      </c>
      <c r="Q2527" t="n">
        <v>100</v>
      </c>
      <c r="R2527" t="n">
        <v>0.0762</v>
      </c>
      <c r="S2527">
        <f>IMAGE("https://mitra.stanford.edu/kundaje/oak/projects/neuro-variants/variant_position/credible/roussos_2024/variant_figures/roussos_2024.adolescence.GLU/rs17028716_count_position.png",4,220,900)</f>
        <v/>
      </c>
      <c r="T2527">
        <f>IMAGE("https://mitra.stanford.edu/kundaje/oak/projects/neuro-variants/variant_position/credible/roussos_2024/variant_figures/roussos_2024.adolescence.GLU/rs17028716_profile_position.png",4,220,900)</f>
        <v/>
      </c>
    </row>
    <row r="2528">
      <c r="A2528" t="inlineStr">
        <is>
          <t>chr3</t>
        </is>
      </c>
      <c r="B2528" t="n">
        <v>32010168</v>
      </c>
      <c r="C2528" t="inlineStr">
        <is>
          <t>C</t>
        </is>
      </c>
      <c r="D2528" t="inlineStr">
        <is>
          <t>G</t>
        </is>
      </c>
      <c r="E2528" t="inlineStr">
        <is>
          <t>rs1376606</t>
        </is>
      </c>
      <c r="F2528" t="n">
        <v>0.00606343394</v>
      </c>
      <c r="G2528" t="n">
        <v>0.6643673765596797</v>
      </c>
      <c r="H2528" t="n">
        <v>0.008534262039205501</v>
      </c>
      <c r="I2528" t="n">
        <v>0.7368455122436441</v>
      </c>
      <c r="J2528" t="n">
        <v>0.3709425523858513</v>
      </c>
      <c r="K2528" t="n">
        <v>0.1952702697677014</v>
      </c>
      <c r="L2528" t="b">
        <v>0</v>
      </c>
      <c r="M2528" t="b">
        <v>0</v>
      </c>
      <c r="N2528" t="inlineStr">
        <is>
          <t>alt</t>
        </is>
      </c>
      <c r="O2528" t="n">
        <v>90</v>
      </c>
      <c r="P2528" t="n">
        <v>0.013885</v>
      </c>
      <c r="Q2528" t="n">
        <v>95</v>
      </c>
      <c r="R2528" t="n">
        <v>0.02045</v>
      </c>
      <c r="S2528">
        <f>IMAGE("https://mitra.stanford.edu/kundaje/oak/projects/neuro-variants/variant_position/credible/roussos_2024/variant_figures/roussos_2024.adolescence.GLU/rs1376606_count_position.png",4,220,900)</f>
        <v/>
      </c>
      <c r="T2528">
        <f>IMAGE("https://mitra.stanford.edu/kundaje/oak/projects/neuro-variants/variant_position/credible/roussos_2024/variant_figures/roussos_2024.adolescence.GLU/rs1376606_profile_position.png",4,220,900)</f>
        <v/>
      </c>
    </row>
    <row r="2529">
      <c r="A2529" t="inlineStr">
        <is>
          <t>chr3</t>
        </is>
      </c>
      <c r="B2529" t="n">
        <v>36818214</v>
      </c>
      <c r="C2529" t="inlineStr">
        <is>
          <t>T</t>
        </is>
      </c>
      <c r="D2529" t="inlineStr">
        <is>
          <t>C</t>
        </is>
      </c>
      <c r="E2529" t="inlineStr">
        <is>
          <t>rs1553656</t>
        </is>
      </c>
      <c r="F2529" t="n">
        <v>0.0791538648</v>
      </c>
      <c r="G2529" t="n">
        <v>0.014587669636659</v>
      </c>
      <c r="H2529" t="n">
        <v>0.0134209473038007</v>
      </c>
      <c r="I2529" t="n">
        <v>0.2344646436541022</v>
      </c>
      <c r="J2529" t="n">
        <v>0.291421794514578</v>
      </c>
      <c r="K2529" t="n">
        <v>0.2820706625455323</v>
      </c>
      <c r="L2529" t="b">
        <v>1</v>
      </c>
      <c r="M2529" t="b">
        <v>0</v>
      </c>
      <c r="N2529" t="inlineStr">
        <is>
          <t>alt</t>
        </is>
      </c>
      <c r="O2529" t="n">
        <v>-100</v>
      </c>
      <c r="P2529" t="n">
        <v>0.006645</v>
      </c>
      <c r="Q2529" t="n">
        <v>-95</v>
      </c>
      <c r="R2529" t="n">
        <v>0.03912</v>
      </c>
      <c r="S2529">
        <f>IMAGE("https://mitra.stanford.edu/kundaje/oak/projects/neuro-variants/variant_position/credible/roussos_2024/variant_figures/roussos_2024.adolescence.GLU/rs1553656_count_position.png",4,220,900)</f>
        <v/>
      </c>
      <c r="T2529">
        <f>IMAGE("https://mitra.stanford.edu/kundaje/oak/projects/neuro-variants/variant_position/credible/roussos_2024/variant_figures/roussos_2024.adolescence.GLU/rs1553656_profile_position.png",4,220,900)</f>
        <v/>
      </c>
    </row>
    <row r="2530">
      <c r="A2530" t="inlineStr">
        <is>
          <t>chr3</t>
        </is>
      </c>
      <c r="B2530" t="n">
        <v>36821489</v>
      </c>
      <c r="C2530" t="inlineStr">
        <is>
          <t>C</t>
        </is>
      </c>
      <c r="D2530" t="inlineStr">
        <is>
          <t>T</t>
        </is>
      </c>
      <c r="E2530" t="inlineStr">
        <is>
          <t>rs4624519</t>
        </is>
      </c>
      <c r="F2530" t="n">
        <v>-0.03316637</v>
      </c>
      <c r="G2530" t="n">
        <v>0.1614382398678953</v>
      </c>
      <c r="H2530" t="n">
        <v>0.0077256601464131</v>
      </c>
      <c r="I2530" t="n">
        <v>0.8383190468151316</v>
      </c>
      <c r="J2530" t="n">
        <v>0.3077737531345779</v>
      </c>
      <c r="K2530" t="n">
        <v>0.2630039528217929</v>
      </c>
      <c r="L2530" t="b">
        <v>0</v>
      </c>
      <c r="M2530" t="b">
        <v>0</v>
      </c>
      <c r="N2530" t="inlineStr">
        <is>
          <t>ref</t>
        </is>
      </c>
      <c r="O2530" t="n">
        <v>70</v>
      </c>
      <c r="P2530" t="n">
        <v>0.00072</v>
      </c>
      <c r="Q2530" t="n">
        <v>40</v>
      </c>
      <c r="R2530" t="n">
        <v>0.0368</v>
      </c>
      <c r="S2530">
        <f>IMAGE("https://mitra.stanford.edu/kundaje/oak/projects/neuro-variants/variant_position/credible/roussos_2024/variant_figures/roussos_2024.adolescence.GLU/rs4624519_count_position.png",4,220,900)</f>
        <v/>
      </c>
      <c r="T2530">
        <f>IMAGE("https://mitra.stanford.edu/kundaje/oak/projects/neuro-variants/variant_position/credible/roussos_2024/variant_figures/roussos_2024.adolescence.GLU/rs4624519_profile_position.png",4,220,900)</f>
        <v/>
      </c>
    </row>
    <row r="2531">
      <c r="A2531" t="inlineStr">
        <is>
          <t>chr3</t>
        </is>
      </c>
      <c r="B2531" t="n">
        <v>36823035</v>
      </c>
      <c r="C2531" t="inlineStr">
        <is>
          <t>G</t>
        </is>
      </c>
      <c r="D2531" t="inlineStr">
        <is>
          <t>T</t>
        </is>
      </c>
      <c r="E2531" t="inlineStr">
        <is>
          <t>rs142802540</t>
        </is>
      </c>
      <c r="F2531" t="n">
        <v>0.0031035673</v>
      </c>
      <c r="G2531" t="n">
        <v>0.7214243299856262</v>
      </c>
      <c r="H2531" t="n">
        <v>0.0348131484079</v>
      </c>
      <c r="I2531" t="n">
        <v>0.0044961018491991</v>
      </c>
      <c r="J2531" t="n">
        <v>0.1002707703738631</v>
      </c>
      <c r="K2531" t="n">
        <v>0.5845367124915541</v>
      </c>
      <c r="L2531" t="b">
        <v>1</v>
      </c>
      <c r="M2531" t="b">
        <v>1</v>
      </c>
      <c r="N2531" t="inlineStr">
        <is>
          <t>alt</t>
        </is>
      </c>
      <c r="O2531" t="n">
        <v>65</v>
      </c>
      <c r="P2531" t="n">
        <v>0.002502</v>
      </c>
      <c r="Q2531" t="n">
        <v>65</v>
      </c>
      <c r="R2531" t="n">
        <v>0.04013</v>
      </c>
      <c r="S2531">
        <f>IMAGE("https://mitra.stanford.edu/kundaje/oak/projects/neuro-variants/variant_position/credible/roussos_2024/variant_figures/roussos_2024.adolescence.GLU/rs142802540_count_position.png",4,220,900)</f>
        <v/>
      </c>
      <c r="T2531">
        <f>IMAGE("https://mitra.stanford.edu/kundaje/oak/projects/neuro-variants/variant_position/credible/roussos_2024/variant_figures/roussos_2024.adolescence.GLU/rs142802540_profile_position.png",4,220,900)</f>
        <v/>
      </c>
    </row>
    <row r="2532">
      <c r="A2532" t="inlineStr">
        <is>
          <t>chr3</t>
        </is>
      </c>
      <c r="B2532" t="n">
        <v>36827948</v>
      </c>
      <c r="C2532" t="inlineStr">
        <is>
          <t>T</t>
        </is>
      </c>
      <c r="D2532" t="inlineStr">
        <is>
          <t>C</t>
        </is>
      </c>
      <c r="E2532" t="inlineStr">
        <is>
          <t>rs4789</t>
        </is>
      </c>
      <c r="F2532" t="n">
        <v>0.092060454</v>
      </c>
      <c r="G2532" t="n">
        <v>0.0097115706772537</v>
      </c>
      <c r="H2532" t="n">
        <v>0.0148438760063456</v>
      </c>
      <c r="I2532" t="n">
        <v>0.1715331594043313</v>
      </c>
      <c r="J2532" t="n">
        <v>0.3777068106965013</v>
      </c>
      <c r="K2532" t="n">
        <v>0.1882129249270633</v>
      </c>
      <c r="L2532" t="b">
        <v>1</v>
      </c>
      <c r="M2532" t="b">
        <v>0</v>
      </c>
      <c r="N2532" t="inlineStr">
        <is>
          <t>alt</t>
        </is>
      </c>
      <c r="O2532" t="n">
        <v>95</v>
      </c>
      <c r="P2532" t="n">
        <v>0.006207</v>
      </c>
      <c r="Q2532" t="n">
        <v>-55</v>
      </c>
      <c r="R2532" t="n">
        <v>0.03784</v>
      </c>
      <c r="S2532">
        <f>IMAGE("https://mitra.stanford.edu/kundaje/oak/projects/neuro-variants/variant_position/credible/roussos_2024/variant_figures/roussos_2024.adolescence.GLU/rs4789_count_position.png",4,220,900)</f>
        <v/>
      </c>
      <c r="T2532">
        <f>IMAGE("https://mitra.stanford.edu/kundaje/oak/projects/neuro-variants/variant_position/credible/roussos_2024/variant_figures/roussos_2024.adolescence.GLU/rs4789_profile_position.png",4,220,900)</f>
        <v/>
      </c>
    </row>
    <row r="2533">
      <c r="A2533" t="inlineStr">
        <is>
          <t>chr3</t>
        </is>
      </c>
      <c r="B2533" t="n">
        <v>36830403</v>
      </c>
      <c r="C2533" t="inlineStr">
        <is>
          <t>C</t>
        </is>
      </c>
      <c r="D2533" t="inlineStr">
        <is>
          <t>A</t>
        </is>
      </c>
      <c r="E2533" t="inlineStr">
        <is>
          <t>rs12637912</t>
        </is>
      </c>
      <c r="F2533" t="n">
        <v>0.01202210342</v>
      </c>
      <c r="G2533" t="n">
        <v>0.4725735481651843</v>
      </c>
      <c r="H2533" t="n">
        <v>0.0148133437061188</v>
      </c>
      <c r="I2533" t="n">
        <v>0.1941254588579551</v>
      </c>
      <c r="J2533" t="n">
        <v>0.1828978859906695</v>
      </c>
      <c r="K2533" t="n">
        <v>0.4269839408533862</v>
      </c>
      <c r="L2533" t="b">
        <v>0</v>
      </c>
      <c r="M2533" t="b">
        <v>0</v>
      </c>
      <c r="N2533" t="inlineStr">
        <is>
          <t>alt</t>
        </is>
      </c>
      <c r="O2533" t="n">
        <v>40</v>
      </c>
      <c r="P2533" t="n">
        <v>0.006287</v>
      </c>
      <c r="Q2533" t="n">
        <v>60</v>
      </c>
      <c r="R2533" t="n">
        <v>0.06235</v>
      </c>
      <c r="S2533">
        <f>IMAGE("https://mitra.stanford.edu/kundaje/oak/projects/neuro-variants/variant_position/credible/roussos_2024/variant_figures/roussos_2024.adolescence.GLU/rs12637912_count_position.png",4,220,900)</f>
        <v/>
      </c>
      <c r="T2533">
        <f>IMAGE("https://mitra.stanford.edu/kundaje/oak/projects/neuro-variants/variant_position/credible/roussos_2024/variant_figures/roussos_2024.adolescence.GLU/rs12637912_profile_position.png",4,220,900)</f>
        <v/>
      </c>
    </row>
    <row r="2534">
      <c r="A2534" t="inlineStr">
        <is>
          <t>chr3</t>
        </is>
      </c>
      <c r="B2534" t="n">
        <v>36830702</v>
      </c>
      <c r="C2534" t="inlineStr">
        <is>
          <t>C</t>
        </is>
      </c>
      <c r="D2534" t="inlineStr">
        <is>
          <t>A</t>
        </is>
      </c>
      <c r="E2534" t="inlineStr">
        <is>
          <t>rs3732385</t>
        </is>
      </c>
      <c r="F2534" t="n">
        <v>-0.0971523814</v>
      </c>
      <c r="G2534" t="n">
        <v>0.0107742128071416</v>
      </c>
      <c r="H2534" t="n">
        <v>0.024897316565154</v>
      </c>
      <c r="I2534" t="n">
        <v>0.0242280819672631</v>
      </c>
      <c r="J2534" t="n">
        <v>0.3444427774324681</v>
      </c>
      <c r="K2534" t="n">
        <v>0.2226816343772328</v>
      </c>
      <c r="L2534" t="b">
        <v>1</v>
      </c>
      <c r="M2534" t="b">
        <v>0</v>
      </c>
      <c r="N2534" t="inlineStr">
        <is>
          <t>ref</t>
        </is>
      </c>
      <c r="O2534" t="n">
        <v>70</v>
      </c>
      <c r="P2534" t="n">
        <v>0.007576</v>
      </c>
      <c r="Q2534" t="n">
        <v>-35</v>
      </c>
      <c r="R2534" t="n">
        <v>0.031</v>
      </c>
      <c r="S2534">
        <f>IMAGE("https://mitra.stanford.edu/kundaje/oak/projects/neuro-variants/variant_position/credible/roussos_2024/variant_figures/roussos_2024.adolescence.GLU/rs3732385_count_position.png",4,220,900)</f>
        <v/>
      </c>
      <c r="T2534">
        <f>IMAGE("https://mitra.stanford.edu/kundaje/oak/projects/neuro-variants/variant_position/credible/roussos_2024/variant_figures/roussos_2024.adolescence.GLU/rs3732385_profile_position.png",4,220,900)</f>
        <v/>
      </c>
    </row>
    <row r="2535">
      <c r="A2535" t="inlineStr">
        <is>
          <t>chr3</t>
        </is>
      </c>
      <c r="B2535" t="n">
        <v>36837072</v>
      </c>
      <c r="C2535" t="inlineStr">
        <is>
          <t>A</t>
        </is>
      </c>
      <c r="D2535" t="inlineStr">
        <is>
          <t>G</t>
        </is>
      </c>
      <c r="E2535" t="inlineStr">
        <is>
          <t>rs4678909</t>
        </is>
      </c>
      <c r="F2535" t="n">
        <v>0.008608672939999999</v>
      </c>
      <c r="G2535" t="n">
        <v>0.5397420146156275</v>
      </c>
      <c r="H2535" t="n">
        <v>0.0073055967953835</v>
      </c>
      <c r="I2535" t="n">
        <v>0.8657980065638901</v>
      </c>
      <c r="J2535" t="n">
        <v>0.3304798851190603</v>
      </c>
      <c r="K2535" t="n">
        <v>0.2364264552035562</v>
      </c>
      <c r="L2535" t="b">
        <v>0</v>
      </c>
      <c r="M2535" t="b">
        <v>0</v>
      </c>
      <c r="N2535" t="inlineStr">
        <is>
          <t>alt</t>
        </is>
      </c>
      <c r="O2535" t="n">
        <v>60</v>
      </c>
      <c r="P2535" t="n">
        <v>0.0553</v>
      </c>
      <c r="Q2535" t="n">
        <v>85</v>
      </c>
      <c r="R2535" t="n">
        <v>0.292</v>
      </c>
      <c r="S2535">
        <f>IMAGE("https://mitra.stanford.edu/kundaje/oak/projects/neuro-variants/variant_position/credible/roussos_2024/variant_figures/roussos_2024.adolescence.GLU/rs4678909_count_position.png",4,220,900)</f>
        <v/>
      </c>
      <c r="T2535">
        <f>IMAGE("https://mitra.stanford.edu/kundaje/oak/projects/neuro-variants/variant_position/credible/roussos_2024/variant_figures/roussos_2024.adolescence.GLU/rs4678909_profile_position.png",4,220,900)</f>
        <v/>
      </c>
    </row>
    <row r="2536">
      <c r="A2536" t="inlineStr">
        <is>
          <t>chr3</t>
        </is>
      </c>
      <c r="B2536" t="n">
        <v>36844469</v>
      </c>
      <c r="C2536" t="inlineStr">
        <is>
          <t>C</t>
        </is>
      </c>
      <c r="D2536" t="inlineStr">
        <is>
          <t>T</t>
        </is>
      </c>
      <c r="E2536" t="inlineStr">
        <is>
          <t>rs9863798</t>
        </is>
      </c>
      <c r="F2536" t="n">
        <v>-0.0584965438</v>
      </c>
      <c r="G2536" t="n">
        <v>0.0468761466527022</v>
      </c>
      <c r="H2536" t="n">
        <v>0.0126305466216811</v>
      </c>
      <c r="I2536" t="n">
        <v>0.2824101002024369</v>
      </c>
      <c r="J2536" t="n">
        <v>0.1057790542326624</v>
      </c>
      <c r="K2536" t="n">
        <v>0.5650641936790028</v>
      </c>
      <c r="L2536" t="b">
        <v>0</v>
      </c>
      <c r="M2536" t="b">
        <v>0</v>
      </c>
      <c r="N2536" t="inlineStr">
        <is>
          <t>ref</t>
        </is>
      </c>
      <c r="O2536" t="n">
        <v>80</v>
      </c>
      <c r="P2536" t="n">
        <v>0.0108</v>
      </c>
      <c r="Q2536" t="n">
        <v>45</v>
      </c>
      <c r="R2536" t="n">
        <v>0.0314</v>
      </c>
      <c r="S2536">
        <f>IMAGE("https://mitra.stanford.edu/kundaje/oak/projects/neuro-variants/variant_position/credible/roussos_2024/variant_figures/roussos_2024.adolescence.GLU/rs9863798_count_position.png",4,220,900)</f>
        <v/>
      </c>
      <c r="T2536">
        <f>IMAGE("https://mitra.stanford.edu/kundaje/oak/projects/neuro-variants/variant_position/credible/roussos_2024/variant_figures/roussos_2024.adolescence.GLU/rs9863798_profile_position.png",4,220,900)</f>
        <v/>
      </c>
    </row>
    <row r="2537">
      <c r="A2537" t="inlineStr">
        <is>
          <t>chr3</t>
        </is>
      </c>
      <c r="B2537" t="n">
        <v>36844815</v>
      </c>
      <c r="C2537" t="inlineStr">
        <is>
          <t>G</t>
        </is>
      </c>
      <c r="D2537" t="inlineStr">
        <is>
          <t>A</t>
        </is>
      </c>
      <c r="E2537" t="inlineStr">
        <is>
          <t>rs35979223</t>
        </is>
      </c>
      <c r="F2537" t="n">
        <v>-0.0266310691999999</v>
      </c>
      <c r="G2537" t="n">
        <v>0.2158460446467594</v>
      </c>
      <c r="H2537" t="n">
        <v>0.0124731444077723</v>
      </c>
      <c r="I2537" t="n">
        <v>0.3100993936502674</v>
      </c>
      <c r="J2537" t="n">
        <v>0.0561159097241571</v>
      </c>
      <c r="K2537" t="n">
        <v>0.6945894802996411</v>
      </c>
      <c r="L2537" t="b">
        <v>0</v>
      </c>
      <c r="M2537" t="b">
        <v>0</v>
      </c>
      <c r="N2537" t="inlineStr">
        <is>
          <t>ref</t>
        </is>
      </c>
      <c r="O2537" t="n">
        <v>100</v>
      </c>
      <c r="P2537" t="n">
        <v>0.02325</v>
      </c>
      <c r="Q2537" t="n">
        <v>85</v>
      </c>
      <c r="R2537" t="n">
        <v>0.0278</v>
      </c>
      <c r="S2537">
        <f>IMAGE("https://mitra.stanford.edu/kundaje/oak/projects/neuro-variants/variant_position/credible/roussos_2024/variant_figures/roussos_2024.adolescence.GLU/rs35979223_count_position.png",4,220,900)</f>
        <v/>
      </c>
      <c r="T2537">
        <f>IMAGE("https://mitra.stanford.edu/kundaje/oak/projects/neuro-variants/variant_position/credible/roussos_2024/variant_figures/roussos_2024.adolescence.GLU/rs35979223_profile_position.png",4,220,900)</f>
        <v/>
      </c>
    </row>
    <row r="2538">
      <c r="A2538" t="inlineStr">
        <is>
          <t>chr3</t>
        </is>
      </c>
      <c r="B2538" t="n">
        <v>36846482</v>
      </c>
      <c r="C2538" t="inlineStr">
        <is>
          <t>C</t>
        </is>
      </c>
      <c r="D2538" t="inlineStr">
        <is>
          <t>G</t>
        </is>
      </c>
      <c r="E2538" t="inlineStr">
        <is>
          <t>rs4678910</t>
        </is>
      </c>
      <c r="F2538" t="n">
        <v>-0.00763761598</v>
      </c>
      <c r="G2538" t="n">
        <v>0.6362731863935256</v>
      </c>
      <c r="H2538" t="n">
        <v>0.0101674083964511</v>
      </c>
      <c r="I2538" t="n">
        <v>0.5096406399668788</v>
      </c>
      <c r="J2538" t="n">
        <v>0.161047645583728</v>
      </c>
      <c r="K2538" t="n">
        <v>0.4620267056986234</v>
      </c>
      <c r="L2538" t="b">
        <v>0</v>
      </c>
      <c r="M2538" t="b">
        <v>0</v>
      </c>
      <c r="N2538" t="inlineStr">
        <is>
          <t>ref</t>
        </is>
      </c>
      <c r="O2538" t="n">
        <v>100</v>
      </c>
      <c r="P2538" t="n">
        <v>0.01355</v>
      </c>
      <c r="Q2538" t="n">
        <v>-60</v>
      </c>
      <c r="R2538" t="n">
        <v>0.04608</v>
      </c>
      <c r="S2538">
        <f>IMAGE("https://mitra.stanford.edu/kundaje/oak/projects/neuro-variants/variant_position/credible/roussos_2024/variant_figures/roussos_2024.adolescence.GLU/rs4678910_count_position.png",4,220,900)</f>
        <v/>
      </c>
      <c r="T2538">
        <f>IMAGE("https://mitra.stanford.edu/kundaje/oak/projects/neuro-variants/variant_position/credible/roussos_2024/variant_figures/roussos_2024.adolescence.GLU/rs4678910_profile_position.png",4,220,900)</f>
        <v/>
      </c>
    </row>
    <row r="2539">
      <c r="A2539" t="inlineStr">
        <is>
          <t>chr3</t>
        </is>
      </c>
      <c r="B2539" t="n">
        <v>36846573</v>
      </c>
      <c r="C2539" t="inlineStr">
        <is>
          <t>G</t>
        </is>
      </c>
      <c r="D2539" t="inlineStr">
        <is>
          <t>T</t>
        </is>
      </c>
      <c r="E2539" t="inlineStr">
        <is>
          <t>rs4678911</t>
        </is>
      </c>
      <c r="F2539" t="n">
        <v>0.0236890098</v>
      </c>
      <c r="G2539" t="n">
        <v>0.2361923044454118</v>
      </c>
      <c r="H2539" t="n">
        <v>0.0145013427226029</v>
      </c>
      <c r="I2539" t="n">
        <v>0.1857194098418016</v>
      </c>
      <c r="J2539" t="n">
        <v>0.1837023383415135</v>
      </c>
      <c r="K2539" t="n">
        <v>0.4255787170900736</v>
      </c>
      <c r="L2539" t="b">
        <v>0</v>
      </c>
      <c r="M2539" t="b">
        <v>0</v>
      </c>
      <c r="N2539" t="inlineStr">
        <is>
          <t>alt</t>
        </is>
      </c>
      <c r="O2539" t="n">
        <v>45</v>
      </c>
      <c r="P2539" t="n">
        <v>0.003754</v>
      </c>
      <c r="Q2539" t="n">
        <v>-70</v>
      </c>
      <c r="R2539" t="n">
        <v>0.07117</v>
      </c>
      <c r="S2539">
        <f>IMAGE("https://mitra.stanford.edu/kundaje/oak/projects/neuro-variants/variant_position/credible/roussos_2024/variant_figures/roussos_2024.adolescence.GLU/rs4678911_count_position.png",4,220,900)</f>
        <v/>
      </c>
      <c r="T2539">
        <f>IMAGE("https://mitra.stanford.edu/kundaje/oak/projects/neuro-variants/variant_position/credible/roussos_2024/variant_figures/roussos_2024.adolescence.GLU/rs4678911_profile_position.png",4,220,900)</f>
        <v/>
      </c>
    </row>
    <row r="2540">
      <c r="A2540" t="inlineStr">
        <is>
          <t>chr3</t>
        </is>
      </c>
      <c r="B2540" t="n">
        <v>36846681</v>
      </c>
      <c r="C2540" t="inlineStr">
        <is>
          <t>T</t>
        </is>
      </c>
      <c r="D2540" t="inlineStr">
        <is>
          <t>G</t>
        </is>
      </c>
      <c r="E2540" t="inlineStr">
        <is>
          <t>rs9819304</t>
        </is>
      </c>
      <c r="F2540" t="n">
        <v>0.0022064506079999</v>
      </c>
      <c r="G2540" t="n">
        <v>0.8141355064152608</v>
      </c>
      <c r="H2540" t="n">
        <v>0.0261297213850577</v>
      </c>
      <c r="I2540" t="n">
        <v>0.017227271648589</v>
      </c>
      <c r="J2540" t="n">
        <v>0.1921540890613055</v>
      </c>
      <c r="K2540" t="n">
        <v>0.4136229853812647</v>
      </c>
      <c r="L2540" t="b">
        <v>1</v>
      </c>
      <c r="M2540" t="b">
        <v>0</v>
      </c>
      <c r="N2540" t="inlineStr">
        <is>
          <t>alt</t>
        </is>
      </c>
      <c r="O2540" t="n">
        <v>-65</v>
      </c>
      <c r="P2540" t="n">
        <v>0.009865000000000001</v>
      </c>
      <c r="Q2540" t="n">
        <v>30</v>
      </c>
      <c r="R2540" t="n">
        <v>0.034</v>
      </c>
      <c r="S2540">
        <f>IMAGE("https://mitra.stanford.edu/kundaje/oak/projects/neuro-variants/variant_position/credible/roussos_2024/variant_figures/roussos_2024.adolescence.GLU/rs9819304_count_position.png",4,220,900)</f>
        <v/>
      </c>
      <c r="T2540">
        <f>IMAGE("https://mitra.stanford.edu/kundaje/oak/projects/neuro-variants/variant_position/credible/roussos_2024/variant_figures/roussos_2024.adolescence.GLU/rs9819304_profile_position.png",4,220,900)</f>
        <v/>
      </c>
    </row>
    <row r="2541">
      <c r="A2541" t="inlineStr">
        <is>
          <t>chr3</t>
        </is>
      </c>
      <c r="B2541" t="n">
        <v>36853088</v>
      </c>
      <c r="C2541" t="inlineStr">
        <is>
          <t>C</t>
        </is>
      </c>
      <c r="D2541" t="inlineStr">
        <is>
          <t>T</t>
        </is>
      </c>
      <c r="E2541" t="inlineStr">
        <is>
          <t>rs9883001</t>
        </is>
      </c>
      <c r="F2541" t="n">
        <v>-0.053829009</v>
      </c>
      <c r="G2541" t="n">
        <v>0.0624541329921471</v>
      </c>
      <c r="H2541" t="n">
        <v>0.0131551480595559</v>
      </c>
      <c r="I2541" t="n">
        <v>0.246599605723649</v>
      </c>
      <c r="J2541" t="n">
        <v>0.0974559015796129</v>
      </c>
      <c r="K2541" t="n">
        <v>0.591313346287876</v>
      </c>
      <c r="L2541" t="b">
        <v>0</v>
      </c>
      <c r="M2541" t="b">
        <v>0</v>
      </c>
      <c r="N2541" t="inlineStr">
        <is>
          <t>ref</t>
        </is>
      </c>
      <c r="O2541" t="n">
        <v>-100</v>
      </c>
      <c r="P2541" t="n">
        <v>0.02669</v>
      </c>
      <c r="Q2541" t="n">
        <v>-95</v>
      </c>
      <c r="R2541" t="n">
        <v>0.1378</v>
      </c>
      <c r="S2541">
        <f>IMAGE("https://mitra.stanford.edu/kundaje/oak/projects/neuro-variants/variant_position/credible/roussos_2024/variant_figures/roussos_2024.adolescence.GLU/rs9883001_count_position.png",4,220,900)</f>
        <v/>
      </c>
      <c r="T2541">
        <f>IMAGE("https://mitra.stanford.edu/kundaje/oak/projects/neuro-variants/variant_position/credible/roussos_2024/variant_figures/roussos_2024.adolescence.GLU/rs9883001_profile_position.png",4,220,900)</f>
        <v/>
      </c>
    </row>
    <row r="2542">
      <c r="A2542" t="inlineStr">
        <is>
          <t>chr3</t>
        </is>
      </c>
      <c r="B2542" t="n">
        <v>36854744</v>
      </c>
      <c r="C2542" t="inlineStr">
        <is>
          <t>C</t>
        </is>
      </c>
      <c r="D2542" t="inlineStr">
        <is>
          <t>T</t>
        </is>
      </c>
      <c r="E2542" t="inlineStr">
        <is>
          <t>rs11706780</t>
        </is>
      </c>
      <c r="F2542" t="n">
        <v>-0.0183143437199999</v>
      </c>
      <c r="G2542" t="n">
        <v>0.3755212312080435</v>
      </c>
      <c r="H2542" t="n">
        <v>0.0135446121820196</v>
      </c>
      <c r="I2542" t="n">
        <v>0.2268960033146806</v>
      </c>
      <c r="J2542" t="n">
        <v>0.1665044902158304</v>
      </c>
      <c r="K2542" t="n">
        <v>0.4550010947250748</v>
      </c>
      <c r="L2542" t="b">
        <v>0</v>
      </c>
      <c r="M2542" t="b">
        <v>0</v>
      </c>
      <c r="N2542" t="inlineStr">
        <is>
          <t>ref</t>
        </is>
      </c>
      <c r="O2542" t="n">
        <v>-25</v>
      </c>
      <c r="P2542" t="n">
        <v>0.002327</v>
      </c>
      <c r="Q2542" t="n">
        <v>-15</v>
      </c>
      <c r="R2542" t="n">
        <v>0.006195</v>
      </c>
      <c r="S2542">
        <f>IMAGE("https://mitra.stanford.edu/kundaje/oak/projects/neuro-variants/variant_position/credible/roussos_2024/variant_figures/roussos_2024.adolescence.GLU/rs11706780_count_position.png",4,220,900)</f>
        <v/>
      </c>
      <c r="T2542">
        <f>IMAGE("https://mitra.stanford.edu/kundaje/oak/projects/neuro-variants/variant_position/credible/roussos_2024/variant_figures/roussos_2024.adolescence.GLU/rs11706780_profile_position.png",4,220,900)</f>
        <v/>
      </c>
    </row>
    <row r="2543">
      <c r="A2543" t="inlineStr">
        <is>
          <t>chr3</t>
        </is>
      </c>
      <c r="B2543" t="n">
        <v>36881851</v>
      </c>
      <c r="C2543" t="inlineStr">
        <is>
          <t>A</t>
        </is>
      </c>
      <c r="D2543" t="inlineStr">
        <is>
          <t>G</t>
        </is>
      </c>
      <c r="E2543" t="inlineStr">
        <is>
          <t>rs11129739</t>
        </is>
      </c>
      <c r="F2543" t="n">
        <v>0.0536105374</v>
      </c>
      <c r="G2543" t="n">
        <v>0.0524434387570016</v>
      </c>
      <c r="H2543" t="n">
        <v>0.0103723568728446</v>
      </c>
      <c r="I2543" t="n">
        <v>0.463204821016173</v>
      </c>
      <c r="J2543" t="n">
        <v>0.0648277143122503</v>
      </c>
      <c r="K2543" t="n">
        <v>0.6553784897766612</v>
      </c>
      <c r="L2543" t="b">
        <v>0</v>
      </c>
      <c r="M2543" t="b">
        <v>0</v>
      </c>
      <c r="N2543" t="inlineStr">
        <is>
          <t>alt</t>
        </is>
      </c>
      <c r="O2543" t="n">
        <v>-100</v>
      </c>
      <c r="P2543" t="n">
        <v>0.005524</v>
      </c>
      <c r="Q2543" t="n">
        <v>-45</v>
      </c>
      <c r="R2543" t="n">
        <v>0.008545000000000001</v>
      </c>
      <c r="S2543">
        <f>IMAGE("https://mitra.stanford.edu/kundaje/oak/projects/neuro-variants/variant_position/credible/roussos_2024/variant_figures/roussos_2024.adolescence.GLU/rs11129739_count_position.png",4,220,900)</f>
        <v/>
      </c>
      <c r="T2543">
        <f>IMAGE("https://mitra.stanford.edu/kundaje/oak/projects/neuro-variants/variant_position/credible/roussos_2024/variant_figures/roussos_2024.adolescence.GLU/rs11129739_profile_position.png",4,220,900)</f>
        <v/>
      </c>
    </row>
    <row r="2544">
      <c r="A2544" t="inlineStr">
        <is>
          <t>chr3</t>
        </is>
      </c>
      <c r="B2544" t="n">
        <v>36979390</v>
      </c>
      <c r="C2544" t="inlineStr">
        <is>
          <t>C</t>
        </is>
      </c>
      <c r="D2544" t="inlineStr">
        <is>
          <t>T</t>
        </is>
      </c>
      <c r="E2544" t="inlineStr">
        <is>
          <t>rs6807351</t>
        </is>
      </c>
      <c r="F2544" t="n">
        <v>-0.00853089552</v>
      </c>
      <c r="G2544" t="n">
        <v>0.573840270156855</v>
      </c>
      <c r="H2544" t="n">
        <v>0.025470172771982</v>
      </c>
      <c r="I2544" t="n">
        <v>0.0196720381696284</v>
      </c>
      <c r="J2544" t="n">
        <v>0.0541726500489386</v>
      </c>
      <c r="K2544" t="n">
        <v>0.6837480489566147</v>
      </c>
      <c r="L2544" t="b">
        <v>1</v>
      </c>
      <c r="M2544" t="b">
        <v>0</v>
      </c>
      <c r="N2544" t="inlineStr">
        <is>
          <t>ref</t>
        </is>
      </c>
      <c r="O2544" t="n">
        <v>-95</v>
      </c>
      <c r="P2544" t="n">
        <v>0.05774</v>
      </c>
      <c r="Q2544" t="n">
        <v>85</v>
      </c>
      <c r="R2544" t="n">
        <v>0.011475</v>
      </c>
      <c r="S2544">
        <f>IMAGE("https://mitra.stanford.edu/kundaje/oak/projects/neuro-variants/variant_position/credible/roussos_2024/variant_figures/roussos_2024.adolescence.GLU/rs6807351_count_position.png",4,220,900)</f>
        <v/>
      </c>
      <c r="T2544">
        <f>IMAGE("https://mitra.stanford.edu/kundaje/oak/projects/neuro-variants/variant_position/credible/roussos_2024/variant_figures/roussos_2024.adolescence.GLU/rs6807351_profile_position.png",4,220,900)</f>
        <v/>
      </c>
    </row>
    <row r="2545">
      <c r="A2545" t="inlineStr">
        <is>
          <t>chr3</t>
        </is>
      </c>
      <c r="B2545" t="n">
        <v>37835756</v>
      </c>
      <c r="C2545" t="inlineStr">
        <is>
          <t>G</t>
        </is>
      </c>
      <c r="D2545" t="inlineStr">
        <is>
          <t>A</t>
        </is>
      </c>
      <c r="E2545" t="inlineStr">
        <is>
          <t>rs6778309</t>
        </is>
      </c>
      <c r="F2545" t="n">
        <v>-0.0007442051</v>
      </c>
      <c r="G2545" t="n">
        <v>0.8293263913434437</v>
      </c>
      <c r="H2545" t="n">
        <v>0.0197181836181494</v>
      </c>
      <c r="I2545" t="n">
        <v>0.0615866524784084</v>
      </c>
      <c r="J2545" t="n">
        <v>0.0376992376992376</v>
      </c>
      <c r="K2545" t="n">
        <v>0.7392565448064138</v>
      </c>
      <c r="L2545" t="b">
        <v>0</v>
      </c>
      <c r="M2545" t="b">
        <v>0</v>
      </c>
      <c r="N2545" t="inlineStr">
        <is>
          <t>ref</t>
        </is>
      </c>
      <c r="O2545" t="n">
        <v>100</v>
      </c>
      <c r="P2545" t="n">
        <v>0.03186</v>
      </c>
      <c r="Q2545" t="n">
        <v>60</v>
      </c>
      <c r="R2545" t="n">
        <v>0.02744</v>
      </c>
      <c r="S2545">
        <f>IMAGE("https://mitra.stanford.edu/kundaje/oak/projects/neuro-variants/variant_position/credible/roussos_2024/variant_figures/roussos_2024.adolescence.GLU/rs6778309_count_position.png",4,220,900)</f>
        <v/>
      </c>
      <c r="T2545">
        <f>IMAGE("https://mitra.stanford.edu/kundaje/oak/projects/neuro-variants/variant_position/credible/roussos_2024/variant_figures/roussos_2024.adolescence.GLU/rs6778309_profile_position.png",4,220,900)</f>
        <v/>
      </c>
    </row>
    <row r="2546">
      <c r="A2546" t="inlineStr">
        <is>
          <t>chr3</t>
        </is>
      </c>
      <c r="B2546" t="n">
        <v>37839605</v>
      </c>
      <c r="C2546" t="inlineStr">
        <is>
          <t>G</t>
        </is>
      </c>
      <c r="D2546" t="inlineStr">
        <is>
          <t>A</t>
        </is>
      </c>
      <c r="E2546" t="inlineStr">
        <is>
          <t>rs113888150</t>
        </is>
      </c>
      <c r="F2546" t="n">
        <v>-0.0544079282</v>
      </c>
      <c r="G2546" t="n">
        <v>0.0513434818727485</v>
      </c>
      <c r="H2546" t="n">
        <v>0.0111111001455613</v>
      </c>
      <c r="I2546" t="n">
        <v>0.3989855159892906</v>
      </c>
      <c r="J2546" t="n">
        <v>0.4778961356280944</v>
      </c>
      <c r="K2546" t="n">
        <v>0.1045992934622512</v>
      </c>
      <c r="L2546" t="b">
        <v>0</v>
      </c>
      <c r="M2546" t="b">
        <v>0</v>
      </c>
      <c r="N2546" t="inlineStr">
        <is>
          <t>ref</t>
        </is>
      </c>
      <c r="O2546" t="n">
        <v>-100</v>
      </c>
      <c r="P2546" t="n">
        <v>0.01002</v>
      </c>
      <c r="Q2546" t="n">
        <v>-100</v>
      </c>
      <c r="R2546" t="n">
        <v>0.09314</v>
      </c>
      <c r="S2546">
        <f>IMAGE("https://mitra.stanford.edu/kundaje/oak/projects/neuro-variants/variant_position/credible/roussos_2024/variant_figures/roussos_2024.adolescence.GLU/rs113888150_count_position.png",4,220,900)</f>
        <v/>
      </c>
      <c r="T2546">
        <f>IMAGE("https://mitra.stanford.edu/kundaje/oak/projects/neuro-variants/variant_position/credible/roussos_2024/variant_figures/roussos_2024.adolescence.GLU/rs113888150_profile_position.png",4,220,900)</f>
        <v/>
      </c>
    </row>
    <row r="2547">
      <c r="A2547" t="inlineStr">
        <is>
          <t>chr3</t>
        </is>
      </c>
      <c r="B2547" t="n">
        <v>37845490</v>
      </c>
      <c r="C2547" t="inlineStr">
        <is>
          <t>G</t>
        </is>
      </c>
      <c r="D2547" t="inlineStr">
        <is>
          <t>A</t>
        </is>
      </c>
      <c r="E2547" t="inlineStr">
        <is>
          <t>rs72862271</t>
        </is>
      </c>
      <c r="F2547" t="n">
        <v>0.0217087266</v>
      </c>
      <c r="G2547" t="n">
        <v>0.2657602974381021</v>
      </c>
      <c r="H2547" t="n">
        <v>0.0188175410974577</v>
      </c>
      <c r="I2547" t="n">
        <v>0.08142741392692369</v>
      </c>
      <c r="J2547" t="n">
        <v>0.0241249973208735</v>
      </c>
      <c r="K2547" t="n">
        <v>0.7988717381785041</v>
      </c>
      <c r="L2547" t="b">
        <v>0</v>
      </c>
      <c r="M2547" t="b">
        <v>0</v>
      </c>
      <c r="N2547" t="inlineStr">
        <is>
          <t>alt</t>
        </is>
      </c>
      <c r="O2547" t="n">
        <v>75</v>
      </c>
      <c r="P2547" t="n">
        <v>0.00804</v>
      </c>
      <c r="Q2547" t="n">
        <v>95</v>
      </c>
      <c r="R2547" t="n">
        <v>0.0355</v>
      </c>
      <c r="S2547">
        <f>IMAGE("https://mitra.stanford.edu/kundaje/oak/projects/neuro-variants/variant_position/credible/roussos_2024/variant_figures/roussos_2024.adolescence.GLU/rs72862271_count_position.png",4,220,900)</f>
        <v/>
      </c>
      <c r="T2547">
        <f>IMAGE("https://mitra.stanford.edu/kundaje/oak/projects/neuro-variants/variant_position/credible/roussos_2024/variant_figures/roussos_2024.adolescence.GLU/rs72862271_profile_position.png",4,220,900)</f>
        <v/>
      </c>
    </row>
    <row r="2548">
      <c r="A2548" t="inlineStr">
        <is>
          <t>chr3</t>
        </is>
      </c>
      <c r="B2548" t="n">
        <v>37903926</v>
      </c>
      <c r="C2548" t="inlineStr">
        <is>
          <t>G</t>
        </is>
      </c>
      <c r="D2548" t="inlineStr">
        <is>
          <t>A</t>
        </is>
      </c>
      <c r="E2548" t="inlineStr">
        <is>
          <t>rs1812423</t>
        </is>
      </c>
      <c r="F2548" t="n">
        <v>0.0189428612</v>
      </c>
      <c r="G2548" t="n">
        <v>0.2976698165759301</v>
      </c>
      <c r="H2548" t="n">
        <v>0.0173268879417391</v>
      </c>
      <c r="I2548" t="n">
        <v>0.1014858976534646</v>
      </c>
      <c r="J2548" t="n">
        <v>0.2589707868058383</v>
      </c>
      <c r="K2548" t="n">
        <v>0.322667424576111</v>
      </c>
      <c r="L2548" t="b">
        <v>0</v>
      </c>
      <c r="M2548" t="b">
        <v>0</v>
      </c>
      <c r="N2548" t="inlineStr">
        <is>
          <t>alt</t>
        </is>
      </c>
      <c r="O2548" t="n">
        <v>100</v>
      </c>
      <c r="P2548" t="n">
        <v>0.02121</v>
      </c>
      <c r="Q2548" t="n">
        <v>100</v>
      </c>
      <c r="R2548" t="n">
        <v>0.0873</v>
      </c>
      <c r="S2548">
        <f>IMAGE("https://mitra.stanford.edu/kundaje/oak/projects/neuro-variants/variant_position/credible/roussos_2024/variant_figures/roussos_2024.adolescence.GLU/rs1812423_count_position.png",4,220,900)</f>
        <v/>
      </c>
      <c r="T2548">
        <f>IMAGE("https://mitra.stanford.edu/kundaje/oak/projects/neuro-variants/variant_position/credible/roussos_2024/variant_figures/roussos_2024.adolescence.GLU/rs1812423_profile_position.png",4,220,900)</f>
        <v/>
      </c>
    </row>
    <row r="2549">
      <c r="A2549" t="inlineStr">
        <is>
          <t>chr3</t>
        </is>
      </c>
      <c r="B2549" t="n">
        <v>37928204</v>
      </c>
      <c r="C2549" t="inlineStr">
        <is>
          <t>C</t>
        </is>
      </c>
      <c r="D2549" t="inlineStr">
        <is>
          <t>G</t>
        </is>
      </c>
      <c r="E2549" t="inlineStr">
        <is>
          <t>rs9878581</t>
        </is>
      </c>
      <c r="F2549" t="n">
        <v>-0.0434430276</v>
      </c>
      <c r="G2549" t="n">
        <v>0.096900011825334</v>
      </c>
      <c r="H2549" t="n">
        <v>0.0234727774637294</v>
      </c>
      <c r="I2549" t="n">
        <v>0.0310155569192133</v>
      </c>
      <c r="J2549" t="n">
        <v>0.1018182337769966</v>
      </c>
      <c r="K2549" t="n">
        <v>0.5673225143152146</v>
      </c>
      <c r="L2549" t="b">
        <v>0</v>
      </c>
      <c r="M2549" t="b">
        <v>0</v>
      </c>
      <c r="N2549" t="inlineStr">
        <is>
          <t>ref</t>
        </is>
      </c>
      <c r="O2549" t="n">
        <v>100</v>
      </c>
      <c r="P2549" t="n">
        <v>0.004566</v>
      </c>
      <c r="Q2549" t="n">
        <v>70</v>
      </c>
      <c r="R2549" t="n">
        <v>0.05457</v>
      </c>
      <c r="S2549">
        <f>IMAGE("https://mitra.stanford.edu/kundaje/oak/projects/neuro-variants/variant_position/credible/roussos_2024/variant_figures/roussos_2024.adolescence.GLU/rs9878581_count_position.png",4,220,900)</f>
        <v/>
      </c>
      <c r="T2549">
        <f>IMAGE("https://mitra.stanford.edu/kundaje/oak/projects/neuro-variants/variant_position/credible/roussos_2024/variant_figures/roussos_2024.adolescence.GLU/rs9878581_profile_position.png",4,220,900)</f>
        <v/>
      </c>
    </row>
    <row r="2550">
      <c r="A2550" t="inlineStr">
        <is>
          <t>chr3</t>
        </is>
      </c>
      <c r="B2550" t="n">
        <v>37929755</v>
      </c>
      <c r="C2550" t="inlineStr">
        <is>
          <t>G</t>
        </is>
      </c>
      <c r="D2550" t="inlineStr">
        <is>
          <t>A</t>
        </is>
      </c>
      <c r="E2550" t="inlineStr">
        <is>
          <t>rs34054543</t>
        </is>
      </c>
      <c r="F2550" t="n">
        <v>-0.0169068689999999</v>
      </c>
      <c r="G2550" t="n">
        <v>0.3518560997965143</v>
      </c>
      <c r="H2550" t="n">
        <v>0.0130664522767046</v>
      </c>
      <c r="I2550" t="n">
        <v>0.2610289171346746</v>
      </c>
      <c r="J2550" t="n">
        <v>0.008969000721578</v>
      </c>
      <c r="K2550" t="n">
        <v>0.8860293241452983</v>
      </c>
      <c r="L2550" t="b">
        <v>0</v>
      </c>
      <c r="M2550" t="b">
        <v>0</v>
      </c>
      <c r="N2550" t="inlineStr">
        <is>
          <t>ref</t>
        </is>
      </c>
      <c r="O2550" t="n">
        <v>-100</v>
      </c>
      <c r="P2550" t="n">
        <v>0.00855</v>
      </c>
      <c r="Q2550" t="n">
        <v>-40</v>
      </c>
      <c r="R2550" t="n">
        <v>0.04816</v>
      </c>
      <c r="S2550">
        <f>IMAGE("https://mitra.stanford.edu/kundaje/oak/projects/neuro-variants/variant_position/credible/roussos_2024/variant_figures/roussos_2024.adolescence.GLU/rs34054543_count_position.png",4,220,900)</f>
        <v/>
      </c>
      <c r="T2550">
        <f>IMAGE("https://mitra.stanford.edu/kundaje/oak/projects/neuro-variants/variant_position/credible/roussos_2024/variant_figures/roussos_2024.adolescence.GLU/rs34054543_profile_position.png",4,220,900)</f>
        <v/>
      </c>
    </row>
    <row r="2551">
      <c r="A2551" t="inlineStr">
        <is>
          <t>chr3</t>
        </is>
      </c>
      <c r="B2551" t="n">
        <v>44578516</v>
      </c>
      <c r="C2551" t="inlineStr">
        <is>
          <t>G</t>
        </is>
      </c>
      <c r="D2551" t="inlineStr">
        <is>
          <t>A</t>
        </is>
      </c>
      <c r="E2551" t="inlineStr">
        <is>
          <t>rs7627777</t>
        </is>
      </c>
      <c r="F2551" t="n">
        <v>-0.0434532074</v>
      </c>
      <c r="G2551" t="n">
        <v>0.09551044698622869</v>
      </c>
      <c r="H2551" t="n">
        <v>0.0106490520139921</v>
      </c>
      <c r="I2551" t="n">
        <v>0.4487184363270243</v>
      </c>
      <c r="J2551" t="n">
        <v>0.6522193883018625</v>
      </c>
      <c r="K2551" t="n">
        <v>0.0232078244601636</v>
      </c>
      <c r="L2551" t="b">
        <v>0</v>
      </c>
      <c r="M2551" t="b">
        <v>0</v>
      </c>
      <c r="N2551" t="inlineStr">
        <is>
          <t>ref</t>
        </is>
      </c>
      <c r="O2551" t="n">
        <v>80</v>
      </c>
      <c r="P2551" t="n">
        <v>0.002535</v>
      </c>
      <c r="Q2551" t="n">
        <v>95</v>
      </c>
      <c r="R2551" t="n">
        <v>0.01909</v>
      </c>
      <c r="S2551">
        <f>IMAGE("https://mitra.stanford.edu/kundaje/oak/projects/neuro-variants/variant_position/credible/roussos_2024/variant_figures/roussos_2024.adolescence.GLU/rs7627777_count_position.png",4,220,900)</f>
        <v/>
      </c>
      <c r="T2551">
        <f>IMAGE("https://mitra.stanford.edu/kundaje/oak/projects/neuro-variants/variant_position/credible/roussos_2024/variant_figures/roussos_2024.adolescence.GLU/rs7627777_profile_position.png",4,220,900)</f>
        <v/>
      </c>
    </row>
    <row r="2552">
      <c r="A2552" t="inlineStr">
        <is>
          <t>chr3</t>
        </is>
      </c>
      <c r="B2552" t="n">
        <v>44581242</v>
      </c>
      <c r="C2552" t="inlineStr">
        <is>
          <t>C</t>
        </is>
      </c>
      <c r="D2552" t="inlineStr">
        <is>
          <t>T</t>
        </is>
      </c>
      <c r="E2552" t="inlineStr">
        <is>
          <t>rs140503691</t>
        </is>
      </c>
      <c r="F2552" t="n">
        <v>-0.0015152157599999</v>
      </c>
      <c r="G2552" t="n">
        <v>0.7192075588516743</v>
      </c>
      <c r="H2552" t="n">
        <v>0.0235640715767893</v>
      </c>
      <c r="I2552" t="n">
        <v>0.0299667592925219</v>
      </c>
      <c r="J2552" t="n">
        <v>0.6465453558237064</v>
      </c>
      <c r="K2552" t="n">
        <v>0.0244701781356899</v>
      </c>
      <c r="L2552" t="b">
        <v>0</v>
      </c>
      <c r="M2552" t="b">
        <v>0</v>
      </c>
      <c r="N2552" t="inlineStr">
        <is>
          <t>ref</t>
        </is>
      </c>
      <c r="O2552" t="n">
        <v>-100</v>
      </c>
      <c r="P2552" t="n">
        <v>0.02612</v>
      </c>
      <c r="Q2552" t="n">
        <v>0</v>
      </c>
      <c r="R2552" t="n">
        <v>0</v>
      </c>
      <c r="S2552">
        <f>IMAGE("https://mitra.stanford.edu/kundaje/oak/projects/neuro-variants/variant_position/credible/roussos_2024/variant_figures/roussos_2024.adolescence.GLU/rs140503691_count_position.png",4,220,900)</f>
        <v/>
      </c>
      <c r="T2552">
        <f>IMAGE("https://mitra.stanford.edu/kundaje/oak/projects/neuro-variants/variant_position/credible/roussos_2024/variant_figures/roussos_2024.adolescence.GLU/rs140503691_profile_position.png",4,220,900)</f>
        <v/>
      </c>
    </row>
    <row r="2553">
      <c r="A2553" t="inlineStr">
        <is>
          <t>chr3</t>
        </is>
      </c>
      <c r="B2553" t="n">
        <v>44625794</v>
      </c>
      <c r="C2553" t="inlineStr">
        <is>
          <t>C</t>
        </is>
      </c>
      <c r="D2553" t="inlineStr">
        <is>
          <t>G</t>
        </is>
      </c>
      <c r="E2553" t="inlineStr">
        <is>
          <t>rs10212378</t>
        </is>
      </c>
      <c r="F2553" t="n">
        <v>0.0490143502</v>
      </c>
      <c r="G2553" t="n">
        <v>0.06837780731912919</v>
      </c>
      <c r="H2553" t="n">
        <v>0.0151705312984684</v>
      </c>
      <c r="I2553" t="n">
        <v>0.1556233729319105</v>
      </c>
      <c r="J2553" t="n">
        <v>0.51252902386923</v>
      </c>
      <c r="K2553" t="n">
        <v>0.081545082047165</v>
      </c>
      <c r="L2553" t="b">
        <v>0</v>
      </c>
      <c r="M2553" t="b">
        <v>0</v>
      </c>
      <c r="N2553" t="inlineStr">
        <is>
          <t>alt</t>
        </is>
      </c>
      <c r="O2553" t="n">
        <v>-100</v>
      </c>
      <c r="P2553" t="n">
        <v>0.02231</v>
      </c>
      <c r="Q2553" t="n">
        <v>50</v>
      </c>
      <c r="R2553" t="n">
        <v>0.03955</v>
      </c>
      <c r="S2553">
        <f>IMAGE("https://mitra.stanford.edu/kundaje/oak/projects/neuro-variants/variant_position/credible/roussos_2024/variant_figures/roussos_2024.adolescence.GLU/rs10212378_count_position.png",4,220,900)</f>
        <v/>
      </c>
      <c r="T2553">
        <f>IMAGE("https://mitra.stanford.edu/kundaje/oak/projects/neuro-variants/variant_position/credible/roussos_2024/variant_figures/roussos_2024.adolescence.GLU/rs10212378_profile_position.png",4,220,900)</f>
        <v/>
      </c>
    </row>
    <row r="2554">
      <c r="A2554" t="inlineStr">
        <is>
          <t>chr3</t>
        </is>
      </c>
      <c r="B2554" t="n">
        <v>44693574</v>
      </c>
      <c r="C2554" t="inlineStr">
        <is>
          <t>C</t>
        </is>
      </c>
      <c r="D2554" t="inlineStr">
        <is>
          <t>T</t>
        </is>
      </c>
      <c r="E2554" t="inlineStr">
        <is>
          <t>rs9756189</t>
        </is>
      </c>
      <c r="F2554" t="n">
        <v>0.000221933252</v>
      </c>
      <c r="G2554" t="n">
        <v>0.8519242853182138</v>
      </c>
      <c r="H2554" t="n">
        <v>0.0075474675866309</v>
      </c>
      <c r="I2554" t="n">
        <v>0.8591918234463736</v>
      </c>
      <c r="J2554" t="n">
        <v>0.0448535768123396</v>
      </c>
      <c r="K2554" t="n">
        <v>0.7173800389116223</v>
      </c>
      <c r="L2554" t="b">
        <v>0</v>
      </c>
      <c r="M2554" t="b">
        <v>0</v>
      </c>
      <c r="N2554" t="inlineStr">
        <is>
          <t>alt</t>
        </is>
      </c>
      <c r="O2554" t="n">
        <v>-100</v>
      </c>
      <c r="P2554" t="n">
        <v>0.00327</v>
      </c>
      <c r="Q2554" t="n">
        <v>100</v>
      </c>
      <c r="R2554" t="n">
        <v>0.1123</v>
      </c>
      <c r="S2554">
        <f>IMAGE("https://mitra.stanford.edu/kundaje/oak/projects/neuro-variants/variant_position/credible/roussos_2024/variant_figures/roussos_2024.adolescence.GLU/rs9756189_count_position.png",4,220,900)</f>
        <v/>
      </c>
      <c r="T2554">
        <f>IMAGE("https://mitra.stanford.edu/kundaje/oak/projects/neuro-variants/variant_position/credible/roussos_2024/variant_figures/roussos_2024.adolescence.GLU/rs9756189_profile_position.png",4,220,900)</f>
        <v/>
      </c>
    </row>
    <row r="2555">
      <c r="A2555" t="inlineStr">
        <is>
          <t>chr3</t>
        </is>
      </c>
      <c r="B2555" t="n">
        <v>44843511</v>
      </c>
      <c r="C2555" t="inlineStr">
        <is>
          <t>T</t>
        </is>
      </c>
      <c r="D2555" t="inlineStr">
        <is>
          <t>A</t>
        </is>
      </c>
      <c r="E2555" t="inlineStr">
        <is>
          <t>rs3804582</t>
        </is>
      </c>
      <c r="F2555" t="n">
        <v>0.001174982012</v>
      </c>
      <c r="G2555" t="n">
        <v>0.9039928097078128</v>
      </c>
      <c r="H2555" t="n">
        <v>0.0192565599580769</v>
      </c>
      <c r="I2555" t="n">
        <v>0.0712400700743677</v>
      </c>
      <c r="J2555" t="n">
        <v>0.1057333304755984</v>
      </c>
      <c r="K2555" t="n">
        <v>0.5625920118559826</v>
      </c>
      <c r="L2555" t="b">
        <v>0</v>
      </c>
      <c r="M2555" t="b">
        <v>0</v>
      </c>
      <c r="N2555" t="inlineStr">
        <is>
          <t>alt</t>
        </is>
      </c>
      <c r="O2555" t="n">
        <v>-15</v>
      </c>
      <c r="P2555" t="n">
        <v>9.155e-05</v>
      </c>
      <c r="Q2555" t="n">
        <v>100</v>
      </c>
      <c r="R2555" t="n">
        <v>0.05118</v>
      </c>
      <c r="S2555">
        <f>IMAGE("https://mitra.stanford.edu/kundaje/oak/projects/neuro-variants/variant_position/credible/roussos_2024/variant_figures/roussos_2024.adolescence.GLU/rs3804582_count_position.png",4,220,900)</f>
        <v/>
      </c>
      <c r="T2555">
        <f>IMAGE("https://mitra.stanford.edu/kundaje/oak/projects/neuro-variants/variant_position/credible/roussos_2024/variant_figures/roussos_2024.adolescence.GLU/rs3804582_profile_position.png",4,220,900)</f>
        <v/>
      </c>
    </row>
    <row r="2556">
      <c r="A2556" t="inlineStr">
        <is>
          <t>chr3</t>
        </is>
      </c>
      <c r="B2556" t="n">
        <v>45265828</v>
      </c>
      <c r="C2556" t="inlineStr">
        <is>
          <t>A</t>
        </is>
      </c>
      <c r="D2556" t="inlineStr">
        <is>
          <t>G</t>
        </is>
      </c>
      <c r="E2556" t="inlineStr">
        <is>
          <t>rs17635268</t>
        </is>
      </c>
      <c r="F2556" t="n">
        <v>0.024844377046</v>
      </c>
      <c r="G2556" t="n">
        <v>0.2428814833993289</v>
      </c>
      <c r="H2556" t="n">
        <v>0.0128365921478452</v>
      </c>
      <c r="I2556" t="n">
        <v>0.2964648063018606</v>
      </c>
      <c r="J2556" t="n">
        <v>0.2081531174314679</v>
      </c>
      <c r="K2556" t="n">
        <v>0.3837938177045893</v>
      </c>
      <c r="L2556" t="b">
        <v>0</v>
      </c>
      <c r="M2556" t="b">
        <v>0</v>
      </c>
      <c r="N2556" t="inlineStr">
        <is>
          <t>alt</t>
        </is>
      </c>
      <c r="O2556" t="n">
        <v>-70</v>
      </c>
      <c r="P2556" t="n">
        <v>0.001681</v>
      </c>
      <c r="Q2556" t="n">
        <v>40</v>
      </c>
      <c r="R2556" t="n">
        <v>0.02228</v>
      </c>
      <c r="S2556">
        <f>IMAGE("https://mitra.stanford.edu/kundaje/oak/projects/neuro-variants/variant_position/credible/roussos_2024/variant_figures/roussos_2024.adolescence.GLU/rs17635268_count_position.png",4,220,900)</f>
        <v/>
      </c>
      <c r="T2556">
        <f>IMAGE("https://mitra.stanford.edu/kundaje/oak/projects/neuro-variants/variant_position/credible/roussos_2024/variant_figures/roussos_2024.adolescence.GLU/rs17635268_profile_position.png",4,220,900)</f>
        <v/>
      </c>
    </row>
    <row r="2557">
      <c r="A2557" t="inlineStr">
        <is>
          <t>chr3</t>
        </is>
      </c>
      <c r="B2557" t="n">
        <v>45273808</v>
      </c>
      <c r="C2557" t="inlineStr">
        <is>
          <t>C</t>
        </is>
      </c>
      <c r="D2557" t="inlineStr">
        <is>
          <t>T</t>
        </is>
      </c>
      <c r="E2557" t="inlineStr">
        <is>
          <t>rs2215709</t>
        </is>
      </c>
      <c r="F2557" t="n">
        <v>-0.0637088702</v>
      </c>
      <c r="G2557" t="n">
        <v>0.0321608813462087</v>
      </c>
      <c r="H2557" t="n">
        <v>0.0110029436690764</v>
      </c>
      <c r="I2557" t="n">
        <v>0.4330916834144168</v>
      </c>
      <c r="J2557" t="n">
        <v>0.3282980045866643</v>
      </c>
      <c r="K2557" t="n">
        <v>0.2390391258414477</v>
      </c>
      <c r="L2557" t="b">
        <v>0</v>
      </c>
      <c r="M2557" t="b">
        <v>0</v>
      </c>
      <c r="N2557" t="inlineStr">
        <is>
          <t>ref</t>
        </is>
      </c>
      <c r="O2557" t="n">
        <v>-25</v>
      </c>
      <c r="P2557" t="n">
        <v>0.000601</v>
      </c>
      <c r="Q2557" t="n">
        <v>-25</v>
      </c>
      <c r="R2557" t="n">
        <v>0.0188</v>
      </c>
      <c r="S2557">
        <f>IMAGE("https://mitra.stanford.edu/kundaje/oak/projects/neuro-variants/variant_position/credible/roussos_2024/variant_figures/roussos_2024.adolescence.GLU/rs2215709_count_position.png",4,220,900)</f>
        <v/>
      </c>
      <c r="T2557">
        <f>IMAGE("https://mitra.stanford.edu/kundaje/oak/projects/neuro-variants/variant_position/credible/roussos_2024/variant_figures/roussos_2024.adolescence.GLU/rs2215709_profile_position.png",4,220,900)</f>
        <v/>
      </c>
    </row>
    <row r="2558">
      <c r="A2558" t="inlineStr">
        <is>
          <t>chr3</t>
        </is>
      </c>
      <c r="B2558" t="n">
        <v>45287158</v>
      </c>
      <c r="C2558" t="inlineStr">
        <is>
          <t>C</t>
        </is>
      </c>
      <c r="D2558" t="inlineStr">
        <is>
          <t>T</t>
        </is>
      </c>
      <c r="E2558" t="inlineStr">
        <is>
          <t>rs17635696</t>
        </is>
      </c>
      <c r="F2558" t="n">
        <v>-0.0321246399999999</v>
      </c>
      <c r="G2558" t="n">
        <v>0.162960718523067</v>
      </c>
      <c r="H2558" t="n">
        <v>0.009210479809672999</v>
      </c>
      <c r="I2558" t="n">
        <v>0.6174366561858089</v>
      </c>
      <c r="J2558" t="n">
        <v>0.1727129191046716</v>
      </c>
      <c r="K2558" t="n">
        <v>0.4470312139014336</v>
      </c>
      <c r="L2558" t="b">
        <v>0</v>
      </c>
      <c r="M2558" t="b">
        <v>0</v>
      </c>
      <c r="N2558" t="inlineStr">
        <is>
          <t>ref</t>
        </is>
      </c>
      <c r="O2558" t="n">
        <v>95</v>
      </c>
      <c r="P2558" t="n">
        <v>0.00322</v>
      </c>
      <c r="Q2558" t="n">
        <v>-50</v>
      </c>
      <c r="R2558" t="n">
        <v>0.03625</v>
      </c>
      <c r="S2558">
        <f>IMAGE("https://mitra.stanford.edu/kundaje/oak/projects/neuro-variants/variant_position/credible/roussos_2024/variant_figures/roussos_2024.adolescence.GLU/rs17635696_count_position.png",4,220,900)</f>
        <v/>
      </c>
      <c r="T2558">
        <f>IMAGE("https://mitra.stanford.edu/kundaje/oak/projects/neuro-variants/variant_position/credible/roussos_2024/variant_figures/roussos_2024.adolescence.GLU/rs17635696_profile_position.png",4,220,900)</f>
        <v/>
      </c>
    </row>
    <row r="2559">
      <c r="A2559" t="inlineStr">
        <is>
          <t>chr3</t>
        </is>
      </c>
      <c r="B2559" t="n">
        <v>49931139</v>
      </c>
      <c r="C2559" t="inlineStr">
        <is>
          <t>T</t>
        </is>
      </c>
      <c r="D2559" t="inlineStr">
        <is>
          <t>C</t>
        </is>
      </c>
      <c r="E2559" t="inlineStr">
        <is>
          <t>rs6771546</t>
        </is>
      </c>
      <c r="F2559" t="n">
        <v>-0.03394875598</v>
      </c>
      <c r="G2559" t="n">
        <v>0.1623328920191452</v>
      </c>
      <c r="H2559" t="n">
        <v>0.0145440193399903</v>
      </c>
      <c r="I2559" t="n">
        <v>0.2212512514736255</v>
      </c>
      <c r="J2559" t="n">
        <v>0.1670374577591072</v>
      </c>
      <c r="K2559" t="n">
        <v>0.4550250787998132</v>
      </c>
      <c r="L2559" t="b">
        <v>0</v>
      </c>
      <c r="M2559" t="b">
        <v>0</v>
      </c>
      <c r="N2559" t="inlineStr">
        <is>
          <t>ref</t>
        </is>
      </c>
      <c r="O2559" t="n">
        <v>65</v>
      </c>
      <c r="P2559" t="n">
        <v>0.00877</v>
      </c>
      <c r="Q2559" t="n">
        <v>-10</v>
      </c>
      <c r="R2559" t="n">
        <v>0.01056</v>
      </c>
      <c r="S2559">
        <f>IMAGE("https://mitra.stanford.edu/kundaje/oak/projects/neuro-variants/variant_position/credible/roussos_2024/variant_figures/roussos_2024.adolescence.GLU/rs6771546_count_position.png",4,220,900)</f>
        <v/>
      </c>
      <c r="T2559">
        <f>IMAGE("https://mitra.stanford.edu/kundaje/oak/projects/neuro-variants/variant_position/credible/roussos_2024/variant_figures/roussos_2024.adolescence.GLU/rs6771546_profile_position.png",4,220,900)</f>
        <v/>
      </c>
    </row>
    <row r="2560">
      <c r="A2560" t="inlineStr">
        <is>
          <t>chr3</t>
        </is>
      </c>
      <c r="B2560" t="n">
        <v>49938221</v>
      </c>
      <c r="C2560" t="inlineStr">
        <is>
          <t>C</t>
        </is>
      </c>
      <c r="D2560" t="inlineStr">
        <is>
          <t>T</t>
        </is>
      </c>
      <c r="E2560" t="inlineStr">
        <is>
          <t>rs7609971</t>
        </is>
      </c>
      <c r="F2560" t="n">
        <v>-0.0017856589799999</v>
      </c>
      <c r="G2560" t="n">
        <v>0.7452099327683986</v>
      </c>
      <c r="H2560" t="n">
        <v>0.009895594750731001</v>
      </c>
      <c r="I2560" t="n">
        <v>0.5402494040718337</v>
      </c>
      <c r="J2560" t="n">
        <v>0.4428017232140943</v>
      </c>
      <c r="K2560" t="n">
        <v>0.1292454379030653</v>
      </c>
      <c r="L2560" t="b">
        <v>0</v>
      </c>
      <c r="M2560" t="b">
        <v>0</v>
      </c>
      <c r="N2560" t="inlineStr">
        <is>
          <t>ref</t>
        </is>
      </c>
      <c r="O2560" t="n">
        <v>85</v>
      </c>
      <c r="P2560" t="n">
        <v>0.0008162999999999999</v>
      </c>
      <c r="Q2560" t="n">
        <v>80</v>
      </c>
      <c r="R2560" t="n">
        <v>0.04425</v>
      </c>
      <c r="S2560">
        <f>IMAGE("https://mitra.stanford.edu/kundaje/oak/projects/neuro-variants/variant_position/credible/roussos_2024/variant_figures/roussos_2024.adolescence.GLU/rs7609971_count_position.png",4,220,900)</f>
        <v/>
      </c>
      <c r="T2560">
        <f>IMAGE("https://mitra.stanford.edu/kundaje/oak/projects/neuro-variants/variant_position/credible/roussos_2024/variant_figures/roussos_2024.adolescence.GLU/rs7609971_profile_position.png",4,220,900)</f>
        <v/>
      </c>
    </row>
    <row r="2561">
      <c r="A2561" t="inlineStr">
        <is>
          <t>chr3</t>
        </is>
      </c>
      <c r="B2561" t="n">
        <v>49963320</v>
      </c>
      <c r="C2561" t="inlineStr">
        <is>
          <t>G</t>
        </is>
      </c>
      <c r="D2561" t="inlineStr">
        <is>
          <t>A</t>
        </is>
      </c>
      <c r="E2561" t="inlineStr">
        <is>
          <t>rs58621288</t>
        </is>
      </c>
      <c r="F2561" t="n">
        <v>-0.0494539518</v>
      </c>
      <c r="G2561" t="n">
        <v>0.06414556550041391</v>
      </c>
      <c r="H2561" t="n">
        <v>0.008666198097114801</v>
      </c>
      <c r="I2561" t="n">
        <v>0.6900728038267152</v>
      </c>
      <c r="J2561" t="n">
        <v>0.0683427281365425</v>
      </c>
      <c r="K2561" t="n">
        <v>0.6475053349121235</v>
      </c>
      <c r="L2561" t="b">
        <v>0</v>
      </c>
      <c r="M2561" t="b">
        <v>0</v>
      </c>
      <c r="N2561" t="inlineStr">
        <is>
          <t>ref</t>
        </is>
      </c>
      <c r="O2561" t="n">
        <v>-95</v>
      </c>
      <c r="P2561" t="n">
        <v>0.1218</v>
      </c>
      <c r="Q2561" t="n">
        <v>60</v>
      </c>
      <c r="R2561" t="n">
        <v>0.0517</v>
      </c>
      <c r="S2561">
        <f>IMAGE("https://mitra.stanford.edu/kundaje/oak/projects/neuro-variants/variant_position/credible/roussos_2024/variant_figures/roussos_2024.adolescence.GLU/rs58621288_count_position.png",4,220,900)</f>
        <v/>
      </c>
      <c r="T2561">
        <f>IMAGE("https://mitra.stanford.edu/kundaje/oak/projects/neuro-variants/variant_position/credible/roussos_2024/variant_figures/roussos_2024.adolescence.GLU/rs58621288_profile_position.png",4,220,900)</f>
        <v/>
      </c>
    </row>
    <row r="2562">
      <c r="A2562" t="inlineStr">
        <is>
          <t>chr3</t>
        </is>
      </c>
      <c r="B2562" t="n">
        <v>49976681</v>
      </c>
      <c r="C2562" t="inlineStr">
        <is>
          <t>G</t>
        </is>
      </c>
      <c r="D2562" t="inlineStr">
        <is>
          <t>A</t>
        </is>
      </c>
      <c r="E2562" t="inlineStr">
        <is>
          <t>rs2624821</t>
        </is>
      </c>
      <c r="F2562" t="n">
        <v>-0.00264519634</v>
      </c>
      <c r="G2562" t="n">
        <v>0.7972679922915176</v>
      </c>
      <c r="H2562" t="n">
        <v>0.010659794858134</v>
      </c>
      <c r="I2562" t="n">
        <v>0.4619717131152454</v>
      </c>
      <c r="J2562" t="n">
        <v>0.0289602846303876</v>
      </c>
      <c r="K2562" t="n">
        <v>0.7762767996945946</v>
      </c>
      <c r="L2562" t="b">
        <v>0</v>
      </c>
      <c r="M2562" t="b">
        <v>0</v>
      </c>
      <c r="N2562" t="inlineStr">
        <is>
          <t>ref</t>
        </is>
      </c>
      <c r="O2562" t="n">
        <v>90</v>
      </c>
      <c r="P2562" t="n">
        <v>0.004314</v>
      </c>
      <c r="Q2562" t="n">
        <v>100</v>
      </c>
      <c r="R2562" t="n">
        <v>0.05206</v>
      </c>
      <c r="S2562">
        <f>IMAGE("https://mitra.stanford.edu/kundaje/oak/projects/neuro-variants/variant_position/credible/roussos_2024/variant_figures/roussos_2024.adolescence.GLU/rs2624821_count_position.png",4,220,900)</f>
        <v/>
      </c>
      <c r="T2562">
        <f>IMAGE("https://mitra.stanford.edu/kundaje/oak/projects/neuro-variants/variant_position/credible/roussos_2024/variant_figures/roussos_2024.adolescence.GLU/rs2624821_profile_position.png",4,220,900)</f>
        <v/>
      </c>
    </row>
    <row r="2563">
      <c r="A2563" t="inlineStr">
        <is>
          <t>chr3</t>
        </is>
      </c>
      <c r="B2563" t="n">
        <v>49984226</v>
      </c>
      <c r="C2563" t="inlineStr">
        <is>
          <t>G</t>
        </is>
      </c>
      <c r="D2563" t="inlineStr">
        <is>
          <t>A</t>
        </is>
      </c>
      <c r="E2563" t="inlineStr">
        <is>
          <t>rs62262138</t>
        </is>
      </c>
      <c r="F2563" t="n">
        <v>0.0091618598</v>
      </c>
      <c r="G2563" t="n">
        <v>0.5668777404210076</v>
      </c>
      <c r="H2563" t="n">
        <v>0.008358472803381299</v>
      </c>
      <c r="I2563" t="n">
        <v>0.7436374886480079</v>
      </c>
      <c r="J2563" t="n">
        <v>0.216387680305206</v>
      </c>
      <c r="K2563" t="n">
        <v>0.3765855838306483</v>
      </c>
      <c r="L2563" t="b">
        <v>0</v>
      </c>
      <c r="M2563" t="b">
        <v>0</v>
      </c>
      <c r="N2563" t="inlineStr">
        <is>
          <t>alt</t>
        </is>
      </c>
      <c r="O2563" t="n">
        <v>-35</v>
      </c>
      <c r="P2563" t="n">
        <v>0.0006485</v>
      </c>
      <c r="Q2563" t="n">
        <v>-100</v>
      </c>
      <c r="R2563" t="n">
        <v>0.0679</v>
      </c>
      <c r="S2563">
        <f>IMAGE("https://mitra.stanford.edu/kundaje/oak/projects/neuro-variants/variant_position/credible/roussos_2024/variant_figures/roussos_2024.adolescence.GLU/rs62262138_count_position.png",4,220,900)</f>
        <v/>
      </c>
      <c r="T2563">
        <f>IMAGE("https://mitra.stanford.edu/kundaje/oak/projects/neuro-variants/variant_position/credible/roussos_2024/variant_figures/roussos_2024.adolescence.GLU/rs62262138_profile_position.png",4,220,900)</f>
        <v/>
      </c>
    </row>
    <row r="2564">
      <c r="A2564" t="inlineStr">
        <is>
          <t>chr3</t>
        </is>
      </c>
      <c r="B2564" t="n">
        <v>49984656</v>
      </c>
      <c r="C2564" t="inlineStr">
        <is>
          <t>G</t>
        </is>
      </c>
      <c r="D2564" t="inlineStr">
        <is>
          <t>A</t>
        </is>
      </c>
      <c r="E2564" t="inlineStr">
        <is>
          <t>rs199956414</t>
        </is>
      </c>
      <c r="F2564" t="n">
        <v>-0.032103273</v>
      </c>
      <c r="G2564" t="n">
        <v>0.1661980359759651</v>
      </c>
      <c r="H2564" t="n">
        <v>0.017739215145692</v>
      </c>
      <c r="I2564" t="n">
        <v>0.08826917955459709</v>
      </c>
      <c r="J2564" t="n">
        <v>0.31971765580013</v>
      </c>
      <c r="K2564" t="n">
        <v>0.2436049759626469</v>
      </c>
      <c r="L2564" t="b">
        <v>0</v>
      </c>
      <c r="M2564" t="b">
        <v>0</v>
      </c>
      <c r="N2564" t="inlineStr">
        <is>
          <t>ref</t>
        </is>
      </c>
      <c r="O2564" t="n">
        <v>75</v>
      </c>
      <c r="P2564" t="n">
        <v>0.02396</v>
      </c>
      <c r="Q2564" t="n">
        <v>60</v>
      </c>
      <c r="R2564" t="n">
        <v>0.03748</v>
      </c>
      <c r="S2564">
        <f>IMAGE("https://mitra.stanford.edu/kundaje/oak/projects/neuro-variants/variant_position/credible/roussos_2024/variant_figures/roussos_2024.adolescence.GLU/rs199956414_count_position.png",4,220,900)</f>
        <v/>
      </c>
      <c r="T2564">
        <f>IMAGE("https://mitra.stanford.edu/kundaje/oak/projects/neuro-variants/variant_position/credible/roussos_2024/variant_figures/roussos_2024.adolescence.GLU/rs199956414_profile_position.png",4,220,900)</f>
        <v/>
      </c>
    </row>
    <row r="2565">
      <c r="A2565" t="inlineStr">
        <is>
          <t>chr3</t>
        </is>
      </c>
      <c r="B2565" t="n">
        <v>49984859</v>
      </c>
      <c r="C2565" t="inlineStr">
        <is>
          <t>G</t>
        </is>
      </c>
      <c r="D2565" t="inlineStr">
        <is>
          <t>A</t>
        </is>
      </c>
      <c r="E2565" t="inlineStr">
        <is>
          <t>rs4688690</t>
        </is>
      </c>
      <c r="F2565" t="n">
        <v>-0.01367253148</v>
      </c>
      <c r="G2565" t="n">
        <v>0.4543167183649725</v>
      </c>
      <c r="H2565" t="n">
        <v>0.0102820131688472</v>
      </c>
      <c r="I2565" t="n">
        <v>0.5104391000002965</v>
      </c>
      <c r="J2565" t="n">
        <v>0.3149623850654778</v>
      </c>
      <c r="K2565" t="n">
        <v>0.2501734951596626</v>
      </c>
      <c r="L2565" t="b">
        <v>0</v>
      </c>
      <c r="M2565" t="b">
        <v>0</v>
      </c>
      <c r="N2565" t="inlineStr">
        <is>
          <t>ref</t>
        </is>
      </c>
      <c r="O2565" t="n">
        <v>-100</v>
      </c>
      <c r="P2565" t="n">
        <v>0.04407</v>
      </c>
      <c r="Q2565" t="n">
        <v>-100</v>
      </c>
      <c r="R2565" t="n">
        <v>0.1677</v>
      </c>
      <c r="S2565">
        <f>IMAGE("https://mitra.stanford.edu/kundaje/oak/projects/neuro-variants/variant_position/credible/roussos_2024/variant_figures/roussos_2024.adolescence.GLU/rs4688690_count_position.png",4,220,900)</f>
        <v/>
      </c>
      <c r="T2565">
        <f>IMAGE("https://mitra.stanford.edu/kundaje/oak/projects/neuro-variants/variant_position/credible/roussos_2024/variant_figures/roussos_2024.adolescence.GLU/rs4688690_profile_position.png",4,220,900)</f>
        <v/>
      </c>
    </row>
    <row r="2566">
      <c r="A2566" t="inlineStr">
        <is>
          <t>chr3</t>
        </is>
      </c>
      <c r="B2566" t="n">
        <v>49986605</v>
      </c>
      <c r="C2566" t="inlineStr">
        <is>
          <t>A</t>
        </is>
      </c>
      <c r="D2566" t="inlineStr">
        <is>
          <t>C</t>
        </is>
      </c>
      <c r="E2566" t="inlineStr">
        <is>
          <t>rs111439884</t>
        </is>
      </c>
      <c r="F2566" t="n">
        <v>-0.00375421648</v>
      </c>
      <c r="G2566" t="n">
        <v>0.6915025053213066</v>
      </c>
      <c r="H2566" t="n">
        <v>0.0430310472492338</v>
      </c>
      <c r="I2566" t="n">
        <v>0.0022012570950289</v>
      </c>
      <c r="J2566" t="n">
        <v>0.07073465217795109</v>
      </c>
      <c r="K2566" t="n">
        <v>0.656994043003013</v>
      </c>
      <c r="L2566" t="b">
        <v>1</v>
      </c>
      <c r="M2566" t="b">
        <v>1</v>
      </c>
      <c r="N2566" t="inlineStr">
        <is>
          <t>ref</t>
        </is>
      </c>
      <c r="O2566" t="n">
        <v>-70</v>
      </c>
      <c r="P2566" t="n">
        <v>0.012146</v>
      </c>
      <c r="Q2566" t="n">
        <v>45</v>
      </c>
      <c r="R2566" t="n">
        <v>0.0876</v>
      </c>
      <c r="S2566">
        <f>IMAGE("https://mitra.stanford.edu/kundaje/oak/projects/neuro-variants/variant_position/credible/roussos_2024/variant_figures/roussos_2024.adolescence.GLU/rs111439884_count_position.png",4,220,900)</f>
        <v/>
      </c>
      <c r="T2566">
        <f>IMAGE("https://mitra.stanford.edu/kundaje/oak/projects/neuro-variants/variant_position/credible/roussos_2024/variant_figures/roussos_2024.adolescence.GLU/rs111439884_profile_position.png",4,220,900)</f>
        <v/>
      </c>
    </row>
    <row r="2567">
      <c r="A2567" t="inlineStr">
        <is>
          <t>chr3</t>
        </is>
      </c>
      <c r="B2567" t="n">
        <v>49988596</v>
      </c>
      <c r="C2567" t="inlineStr">
        <is>
          <t>A</t>
        </is>
      </c>
      <c r="D2567" t="inlineStr">
        <is>
          <t>C</t>
        </is>
      </c>
      <c r="E2567" t="inlineStr">
        <is>
          <t>rs34080578</t>
        </is>
      </c>
      <c r="F2567" t="n">
        <v>0.0374682882</v>
      </c>
      <c r="G2567" t="n">
        <v>0.1177530984550482</v>
      </c>
      <c r="H2567" t="n">
        <v>0.0246716441159694</v>
      </c>
      <c r="I2567" t="n">
        <v>0.0245596499201788</v>
      </c>
      <c r="J2567" t="n">
        <v>0.0416471983482292</v>
      </c>
      <c r="K2567" t="n">
        <v>0.7378360912847476</v>
      </c>
      <c r="L2567" t="b">
        <v>0</v>
      </c>
      <c r="M2567" t="b">
        <v>0</v>
      </c>
      <c r="N2567" t="inlineStr">
        <is>
          <t>alt</t>
        </is>
      </c>
      <c r="O2567" t="n">
        <v>100</v>
      </c>
      <c r="P2567" t="n">
        <v>0.007645</v>
      </c>
      <c r="Q2567" t="n">
        <v>-95</v>
      </c>
      <c r="R2567" t="n">
        <v>0.03772</v>
      </c>
      <c r="S2567">
        <f>IMAGE("https://mitra.stanford.edu/kundaje/oak/projects/neuro-variants/variant_position/credible/roussos_2024/variant_figures/roussos_2024.adolescence.GLU/rs34080578_count_position.png",4,220,900)</f>
        <v/>
      </c>
      <c r="T2567">
        <f>IMAGE("https://mitra.stanford.edu/kundaje/oak/projects/neuro-variants/variant_position/credible/roussos_2024/variant_figures/roussos_2024.adolescence.GLU/rs34080578_profile_position.png",4,220,900)</f>
        <v/>
      </c>
    </row>
    <row r="2568">
      <c r="A2568" t="inlineStr">
        <is>
          <t>chr3</t>
        </is>
      </c>
      <c r="B2568" t="n">
        <v>49990341</v>
      </c>
      <c r="C2568" t="inlineStr">
        <is>
          <t>C</t>
        </is>
      </c>
      <c r="D2568" t="inlineStr">
        <is>
          <t>T</t>
        </is>
      </c>
      <c r="E2568" t="inlineStr">
        <is>
          <t>rs2353579</t>
        </is>
      </c>
      <c r="F2568" t="n">
        <v>-0.0523547982</v>
      </c>
      <c r="G2568" t="n">
        <v>0.0573420399263301</v>
      </c>
      <c r="H2568" t="n">
        <v>0.0095551782498459</v>
      </c>
      <c r="I2568" t="n">
        <v>0.5921571057106066</v>
      </c>
      <c r="J2568" t="n">
        <v>0.0462410070657492</v>
      </c>
      <c r="K2568" t="n">
        <v>0.7092646731192054</v>
      </c>
      <c r="L2568" t="b">
        <v>0</v>
      </c>
      <c r="M2568" t="b">
        <v>0</v>
      </c>
      <c r="N2568" t="inlineStr">
        <is>
          <t>ref</t>
        </is>
      </c>
      <c r="O2568" t="n">
        <v>90</v>
      </c>
      <c r="P2568" t="n">
        <v>0.0159</v>
      </c>
      <c r="Q2568" t="n">
        <v>45</v>
      </c>
      <c r="R2568" t="n">
        <v>0.03268</v>
      </c>
      <c r="S2568">
        <f>IMAGE("https://mitra.stanford.edu/kundaje/oak/projects/neuro-variants/variant_position/credible/roussos_2024/variant_figures/roussos_2024.adolescence.GLU/rs2353579_count_position.png",4,220,900)</f>
        <v/>
      </c>
      <c r="T2568">
        <f>IMAGE("https://mitra.stanford.edu/kundaje/oak/projects/neuro-variants/variant_position/credible/roussos_2024/variant_figures/roussos_2024.adolescence.GLU/rs2353579_profile_position.png",4,220,900)</f>
        <v/>
      </c>
    </row>
    <row r="2569">
      <c r="A2569" t="inlineStr">
        <is>
          <t>chr3</t>
        </is>
      </c>
      <c r="B2569" t="n">
        <v>49997890</v>
      </c>
      <c r="C2569" t="inlineStr">
        <is>
          <t>T</t>
        </is>
      </c>
      <c r="D2569" t="inlineStr">
        <is>
          <t>C</t>
        </is>
      </c>
      <c r="E2569" t="inlineStr">
        <is>
          <t>rs4688757</t>
        </is>
      </c>
      <c r="F2569" t="n">
        <v>0.00147141128</v>
      </c>
      <c r="G2569" t="n">
        <v>0.8059661660117958</v>
      </c>
      <c r="H2569" t="n">
        <v>0.0201818397881089</v>
      </c>
      <c r="I2569" t="n">
        <v>0.0494204433796697</v>
      </c>
      <c r="J2569" t="n">
        <v>0.0501175243443284</v>
      </c>
      <c r="K2569" t="n">
        <v>0.6968054440611885</v>
      </c>
      <c r="L2569" t="b">
        <v>0</v>
      </c>
      <c r="M2569" t="b">
        <v>0</v>
      </c>
      <c r="N2569" t="inlineStr">
        <is>
          <t>alt</t>
        </is>
      </c>
      <c r="O2569" t="n">
        <v>55</v>
      </c>
      <c r="P2569" t="n">
        <v>0.003819</v>
      </c>
      <c r="Q2569" t="n">
        <v>60</v>
      </c>
      <c r="R2569" t="n">
        <v>0.00967</v>
      </c>
      <c r="S2569">
        <f>IMAGE("https://mitra.stanford.edu/kundaje/oak/projects/neuro-variants/variant_position/credible/roussos_2024/variant_figures/roussos_2024.adolescence.GLU/rs4688757_count_position.png",4,220,900)</f>
        <v/>
      </c>
      <c r="T2569">
        <f>IMAGE("https://mitra.stanford.edu/kundaje/oak/projects/neuro-variants/variant_position/credible/roussos_2024/variant_figures/roussos_2024.adolescence.GLU/rs4688757_profile_position.png",4,220,900)</f>
        <v/>
      </c>
    </row>
    <row r="2570">
      <c r="A2570" t="inlineStr">
        <is>
          <t>chr3</t>
        </is>
      </c>
      <c r="B2570" t="n">
        <v>50003880</v>
      </c>
      <c r="C2570" t="inlineStr">
        <is>
          <t>C</t>
        </is>
      </c>
      <c r="D2570" t="inlineStr">
        <is>
          <t>T</t>
        </is>
      </c>
      <c r="E2570" t="inlineStr">
        <is>
          <t>rs6765484</t>
        </is>
      </c>
      <c r="F2570" t="n">
        <v>-0.01454399726</v>
      </c>
      <c r="G2570" t="n">
        <v>0.399862446169252</v>
      </c>
      <c r="H2570" t="n">
        <v>0.0080840958357186</v>
      </c>
      <c r="I2570" t="n">
        <v>0.7697375937355614</v>
      </c>
      <c r="J2570" t="n">
        <v>0.2886955154996392</v>
      </c>
      <c r="K2570" t="n">
        <v>0.285548140717402</v>
      </c>
      <c r="L2570" t="b">
        <v>0</v>
      </c>
      <c r="M2570" t="b">
        <v>0</v>
      </c>
      <c r="N2570" t="inlineStr">
        <is>
          <t>ref</t>
        </is>
      </c>
      <c r="O2570" t="n">
        <v>-40</v>
      </c>
      <c r="P2570" t="n">
        <v>0.00103</v>
      </c>
      <c r="Q2570" t="n">
        <v>-90</v>
      </c>
      <c r="R2570" t="n">
        <v>0.1118</v>
      </c>
      <c r="S2570">
        <f>IMAGE("https://mitra.stanford.edu/kundaje/oak/projects/neuro-variants/variant_position/credible/roussos_2024/variant_figures/roussos_2024.adolescence.GLU/rs6765484_count_position.png",4,220,900)</f>
        <v/>
      </c>
      <c r="T2570">
        <f>IMAGE("https://mitra.stanford.edu/kundaje/oak/projects/neuro-variants/variant_position/credible/roussos_2024/variant_figures/roussos_2024.adolescence.GLU/rs6765484_profile_position.png",4,220,900)</f>
        <v/>
      </c>
    </row>
    <row r="2571">
      <c r="A2571" t="inlineStr">
        <is>
          <t>chr3</t>
        </is>
      </c>
      <c r="B2571" t="n">
        <v>50011866</v>
      </c>
      <c r="C2571" t="inlineStr">
        <is>
          <t>T</t>
        </is>
      </c>
      <c r="D2571" t="inlineStr">
        <is>
          <t>G</t>
        </is>
      </c>
      <c r="E2571" t="inlineStr">
        <is>
          <t>rs7634917</t>
        </is>
      </c>
      <c r="F2571" t="n">
        <v>0.00469426546</v>
      </c>
      <c r="G2571" t="n">
        <v>0.7229428394876526</v>
      </c>
      <c r="H2571" t="n">
        <v>0.0178193557185396</v>
      </c>
      <c r="I2571" t="n">
        <v>0.08514692824214939</v>
      </c>
      <c r="J2571" t="n">
        <v>0.0135528073672402</v>
      </c>
      <c r="K2571" t="n">
        <v>0.8569237283399115</v>
      </c>
      <c r="L2571" t="b">
        <v>0</v>
      </c>
      <c r="M2571" t="b">
        <v>0</v>
      </c>
      <c r="N2571" t="inlineStr">
        <is>
          <t>alt</t>
        </is>
      </c>
      <c r="O2571" t="n">
        <v>-75</v>
      </c>
      <c r="P2571" t="n">
        <v>0.008316</v>
      </c>
      <c r="Q2571" t="n">
        <v>100</v>
      </c>
      <c r="R2571" t="n">
        <v>0.04553</v>
      </c>
      <c r="S2571">
        <f>IMAGE("https://mitra.stanford.edu/kundaje/oak/projects/neuro-variants/variant_position/credible/roussos_2024/variant_figures/roussos_2024.adolescence.GLU/rs7634917_count_position.png",4,220,900)</f>
        <v/>
      </c>
      <c r="T2571">
        <f>IMAGE("https://mitra.stanford.edu/kundaje/oak/projects/neuro-variants/variant_position/credible/roussos_2024/variant_figures/roussos_2024.adolescence.GLU/rs7634917_profile_position.png",4,220,900)</f>
        <v/>
      </c>
    </row>
    <row r="2572">
      <c r="A2572" t="inlineStr">
        <is>
          <t>chr3</t>
        </is>
      </c>
      <c r="B2572" t="n">
        <v>50019045</v>
      </c>
      <c r="C2572" t="inlineStr">
        <is>
          <t>T</t>
        </is>
      </c>
      <c r="D2572" t="inlineStr">
        <is>
          <t>A</t>
        </is>
      </c>
      <c r="E2572" t="inlineStr">
        <is>
          <t>rs75729494</t>
        </is>
      </c>
      <c r="F2572" t="n">
        <v>-0.0115956514</v>
      </c>
      <c r="G2572" t="n">
        <v>0.4969803530208635</v>
      </c>
      <c r="H2572" t="n">
        <v>0.0358162311089981</v>
      </c>
      <c r="I2572" t="n">
        <v>0.0041228575253759</v>
      </c>
      <c r="J2572" t="n">
        <v>0.07086610797951</v>
      </c>
      <c r="K2572" t="n">
        <v>0.6409256990268068</v>
      </c>
      <c r="L2572" t="b">
        <v>1</v>
      </c>
      <c r="M2572" t="b">
        <v>1</v>
      </c>
      <c r="N2572" t="inlineStr">
        <is>
          <t>ref</t>
        </is>
      </c>
      <c r="O2572" t="n">
        <v>-45</v>
      </c>
      <c r="P2572" t="n">
        <v>0.003601</v>
      </c>
      <c r="Q2572" t="n">
        <v>-50</v>
      </c>
      <c r="R2572" t="n">
        <v>0.03098</v>
      </c>
      <c r="S2572">
        <f>IMAGE("https://mitra.stanford.edu/kundaje/oak/projects/neuro-variants/variant_position/credible/roussos_2024/variant_figures/roussos_2024.adolescence.GLU/rs75729494_count_position.png",4,220,900)</f>
        <v/>
      </c>
      <c r="T2572">
        <f>IMAGE("https://mitra.stanford.edu/kundaje/oak/projects/neuro-variants/variant_position/credible/roussos_2024/variant_figures/roussos_2024.adolescence.GLU/rs75729494_profile_position.png",4,220,900)</f>
        <v/>
      </c>
    </row>
    <row r="2573">
      <c r="A2573" t="inlineStr">
        <is>
          <t>chr3</t>
        </is>
      </c>
      <c r="B2573" t="n">
        <v>50022325</v>
      </c>
      <c r="C2573" t="inlineStr">
        <is>
          <t>T</t>
        </is>
      </c>
      <c r="D2573" t="inlineStr">
        <is>
          <t>C</t>
        </is>
      </c>
      <c r="E2573" t="inlineStr">
        <is>
          <t>rs6446193</t>
        </is>
      </c>
      <c r="F2573" t="n">
        <v>0.0019017884199999</v>
      </c>
      <c r="G2573" t="n">
        <v>0.8090504308923158</v>
      </c>
      <c r="H2573" t="n">
        <v>0.0197731027328199</v>
      </c>
      <c r="I2573" t="n">
        <v>0.0581142095948494</v>
      </c>
      <c r="J2573" t="n">
        <v>0.0389609276207214</v>
      </c>
      <c r="K2573" t="n">
        <v>0.7437848576543848</v>
      </c>
      <c r="L2573" t="b">
        <v>0</v>
      </c>
      <c r="M2573" t="b">
        <v>0</v>
      </c>
      <c r="N2573" t="inlineStr">
        <is>
          <t>alt</t>
        </is>
      </c>
      <c r="O2573" t="n">
        <v>-100</v>
      </c>
      <c r="P2573" t="n">
        <v>0.007793</v>
      </c>
      <c r="Q2573" t="n">
        <v>100</v>
      </c>
      <c r="R2573" t="n">
        <v>0.0564</v>
      </c>
      <c r="S2573">
        <f>IMAGE("https://mitra.stanford.edu/kundaje/oak/projects/neuro-variants/variant_position/credible/roussos_2024/variant_figures/roussos_2024.adolescence.GLU/rs6446193_count_position.png",4,220,900)</f>
        <v/>
      </c>
      <c r="T2573">
        <f>IMAGE("https://mitra.stanford.edu/kundaje/oak/projects/neuro-variants/variant_position/credible/roussos_2024/variant_figures/roussos_2024.adolescence.GLU/rs6446193_profile_position.png",4,220,900)</f>
        <v/>
      </c>
    </row>
    <row r="2574">
      <c r="A2574" t="inlineStr">
        <is>
          <t>chr3</t>
        </is>
      </c>
      <c r="B2574" t="n">
        <v>50031924</v>
      </c>
      <c r="C2574" t="inlineStr">
        <is>
          <t>G</t>
        </is>
      </c>
      <c r="D2574" t="inlineStr">
        <is>
          <t>A</t>
        </is>
      </c>
      <c r="E2574" t="inlineStr">
        <is>
          <t>rs11130240</t>
        </is>
      </c>
      <c r="F2574" t="n">
        <v>-0.0308543173999999</v>
      </c>
      <c r="G2574" t="n">
        <v>0.1796087207887924</v>
      </c>
      <c r="H2574" t="n">
        <v>0.0189463375226575</v>
      </c>
      <c r="I2574" t="n">
        <v>0.0852625073528787</v>
      </c>
      <c r="J2574" t="n">
        <v>0.1045273663830364</v>
      </c>
      <c r="K2574" t="n">
        <v>0.5638643675407652</v>
      </c>
      <c r="L2574" t="b">
        <v>0</v>
      </c>
      <c r="M2574" t="b">
        <v>0</v>
      </c>
      <c r="N2574" t="inlineStr">
        <is>
          <t>ref</t>
        </is>
      </c>
      <c r="O2574" t="n">
        <v>-40</v>
      </c>
      <c r="P2574" t="n">
        <v>0.004456</v>
      </c>
      <c r="Q2574" t="n">
        <v>55</v>
      </c>
      <c r="R2574" t="n">
        <v>0.11383</v>
      </c>
      <c r="S2574">
        <f>IMAGE("https://mitra.stanford.edu/kundaje/oak/projects/neuro-variants/variant_position/credible/roussos_2024/variant_figures/roussos_2024.adolescence.GLU/rs11130240_count_position.png",4,220,900)</f>
        <v/>
      </c>
      <c r="T2574">
        <f>IMAGE("https://mitra.stanford.edu/kundaje/oak/projects/neuro-variants/variant_position/credible/roussos_2024/variant_figures/roussos_2024.adolescence.GLU/rs11130240_profile_position.png",4,220,900)</f>
        <v/>
      </c>
    </row>
    <row r="2575">
      <c r="A2575" t="inlineStr">
        <is>
          <t>chr3</t>
        </is>
      </c>
      <c r="B2575" t="n">
        <v>50032019</v>
      </c>
      <c r="C2575" t="inlineStr">
        <is>
          <t>G</t>
        </is>
      </c>
      <c r="D2575" t="inlineStr">
        <is>
          <t>T</t>
        </is>
      </c>
      <c r="E2575" t="inlineStr">
        <is>
          <t>rs9866695</t>
        </is>
      </c>
      <c r="F2575" t="n">
        <v>-0.0303266663999999</v>
      </c>
      <c r="G2575" t="n">
        <v>0.182797554390621</v>
      </c>
      <c r="H2575" t="n">
        <v>0.0125150607372162</v>
      </c>
      <c r="I2575" t="n">
        <v>0.3114653486705568</v>
      </c>
      <c r="J2575" t="n">
        <v>0.1101913967893349</v>
      </c>
      <c r="K2575" t="n">
        <v>0.5531167686198338</v>
      </c>
      <c r="L2575" t="b">
        <v>0</v>
      </c>
      <c r="M2575" t="b">
        <v>0</v>
      </c>
      <c r="N2575" t="inlineStr">
        <is>
          <t>ref</t>
        </is>
      </c>
      <c r="O2575" t="n">
        <v>-100</v>
      </c>
      <c r="P2575" t="n">
        <v>0.01542</v>
      </c>
      <c r="Q2575" t="n">
        <v>65</v>
      </c>
      <c r="R2575" t="n">
        <v>0.05063</v>
      </c>
      <c r="S2575">
        <f>IMAGE("https://mitra.stanford.edu/kundaje/oak/projects/neuro-variants/variant_position/credible/roussos_2024/variant_figures/roussos_2024.adolescence.GLU/rs9866695_count_position.png",4,220,900)</f>
        <v/>
      </c>
      <c r="T2575">
        <f>IMAGE("https://mitra.stanford.edu/kundaje/oak/projects/neuro-variants/variant_position/credible/roussos_2024/variant_figures/roussos_2024.adolescence.GLU/rs9866695_profile_position.png",4,220,900)</f>
        <v/>
      </c>
    </row>
    <row r="2576">
      <c r="A2576" t="inlineStr">
        <is>
          <t>chr3</t>
        </is>
      </c>
      <c r="B2576" t="n">
        <v>50056838</v>
      </c>
      <c r="C2576" t="inlineStr">
        <is>
          <t>T</t>
        </is>
      </c>
      <c r="D2576" t="inlineStr">
        <is>
          <t>A</t>
        </is>
      </c>
      <c r="E2576" t="inlineStr">
        <is>
          <t>rs12486470</t>
        </is>
      </c>
      <c r="F2576" t="n">
        <v>0.0006241306399998999</v>
      </c>
      <c r="G2576" t="n">
        <v>0.8021838420599285</v>
      </c>
      <c r="H2576" t="n">
        <v>0.0175085779322131</v>
      </c>
      <c r="I2576" t="n">
        <v>0.08964871052060169</v>
      </c>
      <c r="J2576" t="n">
        <v>0.0903444284887583</v>
      </c>
      <c r="K2576" t="n">
        <v>0.5951453212296958</v>
      </c>
      <c r="L2576" t="b">
        <v>0</v>
      </c>
      <c r="M2576" t="b">
        <v>0</v>
      </c>
      <c r="N2576" t="inlineStr">
        <is>
          <t>alt</t>
        </is>
      </c>
      <c r="O2576" t="n">
        <v>-30</v>
      </c>
      <c r="P2576" t="n">
        <v>0.008330000000000001</v>
      </c>
      <c r="Q2576" t="n">
        <v>-40</v>
      </c>
      <c r="R2576" t="n">
        <v>0.06419999999999999</v>
      </c>
      <c r="S2576">
        <f>IMAGE("https://mitra.stanford.edu/kundaje/oak/projects/neuro-variants/variant_position/credible/roussos_2024/variant_figures/roussos_2024.adolescence.GLU/rs12486470_count_position.png",4,220,900)</f>
        <v/>
      </c>
      <c r="T2576">
        <f>IMAGE("https://mitra.stanford.edu/kundaje/oak/projects/neuro-variants/variant_position/credible/roussos_2024/variant_figures/roussos_2024.adolescence.GLU/rs12486470_profile_position.png",4,220,900)</f>
        <v/>
      </c>
    </row>
    <row r="2577">
      <c r="A2577" t="inlineStr">
        <is>
          <t>chr3</t>
        </is>
      </c>
      <c r="B2577" t="n">
        <v>50079987</v>
      </c>
      <c r="C2577" t="inlineStr">
        <is>
          <t>G</t>
        </is>
      </c>
      <c r="D2577" t="inlineStr">
        <is>
          <t>C</t>
        </is>
      </c>
      <c r="E2577" t="inlineStr">
        <is>
          <t>rs62263590</t>
        </is>
      </c>
      <c r="F2577" t="n">
        <v>0.0549608984</v>
      </c>
      <c r="G2577" t="n">
        <v>0.0520134765537735</v>
      </c>
      <c r="H2577" t="n">
        <v>0.0142187651626622</v>
      </c>
      <c r="I2577" t="n">
        <v>0.2109728753429105</v>
      </c>
      <c r="J2577" t="n">
        <v>0.1358624286459337</v>
      </c>
      <c r="K2577" t="n">
        <v>0.5166333223589157</v>
      </c>
      <c r="L2577" t="b">
        <v>0</v>
      </c>
      <c r="M2577" t="b">
        <v>0</v>
      </c>
      <c r="N2577" t="inlineStr">
        <is>
          <t>alt</t>
        </is>
      </c>
      <c r="O2577" t="n">
        <v>-90</v>
      </c>
      <c r="P2577" t="n">
        <v>0.04828</v>
      </c>
      <c r="Q2577" t="n">
        <v>-10</v>
      </c>
      <c r="R2577" t="n">
        <v>0.0007453</v>
      </c>
      <c r="S2577">
        <f>IMAGE("https://mitra.stanford.edu/kundaje/oak/projects/neuro-variants/variant_position/credible/roussos_2024/variant_figures/roussos_2024.adolescence.GLU/rs62263590_count_position.png",4,220,900)</f>
        <v/>
      </c>
      <c r="T2577">
        <f>IMAGE("https://mitra.stanford.edu/kundaje/oak/projects/neuro-variants/variant_position/credible/roussos_2024/variant_figures/roussos_2024.adolescence.GLU/rs62263590_profile_position.png",4,220,900)</f>
        <v/>
      </c>
    </row>
    <row r="2578">
      <c r="A2578" t="inlineStr">
        <is>
          <t>chr3</t>
        </is>
      </c>
      <c r="B2578" t="n">
        <v>50108661</v>
      </c>
      <c r="C2578" t="inlineStr">
        <is>
          <t>T</t>
        </is>
      </c>
      <c r="D2578" t="inlineStr">
        <is>
          <t>A</t>
        </is>
      </c>
      <c r="E2578" t="inlineStr">
        <is>
          <t>rs3733133</t>
        </is>
      </c>
      <c r="F2578" t="n">
        <v>0.00265624788</v>
      </c>
      <c r="G2578" t="n">
        <v>0.757198659766133</v>
      </c>
      <c r="H2578" t="n">
        <v>0.0102754625208051</v>
      </c>
      <c r="I2578" t="n">
        <v>0.4837200816108438</v>
      </c>
      <c r="J2578" t="n">
        <v>0.1482092719206121</v>
      </c>
      <c r="K2578" t="n">
        <v>0.4865025996222029</v>
      </c>
      <c r="L2578" t="b">
        <v>0</v>
      </c>
      <c r="M2578" t="b">
        <v>0</v>
      </c>
      <c r="N2578" t="inlineStr">
        <is>
          <t>alt</t>
        </is>
      </c>
      <c r="O2578" t="n">
        <v>-70</v>
      </c>
      <c r="P2578" t="n">
        <v>0.004158</v>
      </c>
      <c r="Q2578" t="n">
        <v>10</v>
      </c>
      <c r="R2578" t="n">
        <v>0.0008545</v>
      </c>
      <c r="S2578">
        <f>IMAGE("https://mitra.stanford.edu/kundaje/oak/projects/neuro-variants/variant_position/credible/roussos_2024/variant_figures/roussos_2024.adolescence.GLU/rs3733133_count_position.png",4,220,900)</f>
        <v/>
      </c>
      <c r="T2578">
        <f>IMAGE("https://mitra.stanford.edu/kundaje/oak/projects/neuro-variants/variant_position/credible/roussos_2024/variant_figures/roussos_2024.adolescence.GLU/rs3733133_profile_position.png",4,220,900)</f>
        <v/>
      </c>
    </row>
    <row r="2579">
      <c r="A2579" t="inlineStr">
        <is>
          <t>chr3</t>
        </is>
      </c>
      <c r="B2579" t="n">
        <v>50136764</v>
      </c>
      <c r="C2579" t="inlineStr">
        <is>
          <t>G</t>
        </is>
      </c>
      <c r="D2579" t="inlineStr">
        <is>
          <t>T</t>
        </is>
      </c>
      <c r="E2579" t="inlineStr">
        <is>
          <t>rs2624847</t>
        </is>
      </c>
      <c r="F2579" t="n">
        <v>0.002051180226</v>
      </c>
      <c r="G2579" t="n">
        <v>0.6474266098671901</v>
      </c>
      <c r="H2579" t="n">
        <v>0.0102735476673468</v>
      </c>
      <c r="I2579" t="n">
        <v>0.4884976104469854</v>
      </c>
      <c r="J2579" t="n">
        <v>0.4083931671560538</v>
      </c>
      <c r="K2579" t="n">
        <v>0.1595795276471302</v>
      </c>
      <c r="L2579" t="b">
        <v>0</v>
      </c>
      <c r="M2579" t="b">
        <v>0</v>
      </c>
      <c r="N2579" t="inlineStr">
        <is>
          <t>alt</t>
        </is>
      </c>
      <c r="O2579" t="n">
        <v>100</v>
      </c>
      <c r="P2579" t="n">
        <v>0.004223</v>
      </c>
      <c r="Q2579" t="n">
        <v>80</v>
      </c>
      <c r="R2579" t="n">
        <v>0.02347</v>
      </c>
      <c r="S2579">
        <f>IMAGE("https://mitra.stanford.edu/kundaje/oak/projects/neuro-variants/variant_position/credible/roussos_2024/variant_figures/roussos_2024.adolescence.GLU/rs2624847_count_position.png",4,220,900)</f>
        <v/>
      </c>
      <c r="T2579">
        <f>IMAGE("https://mitra.stanford.edu/kundaje/oak/projects/neuro-variants/variant_position/credible/roussos_2024/variant_figures/roussos_2024.adolescence.GLU/rs2624847_profile_position.png",4,220,900)</f>
        <v/>
      </c>
    </row>
    <row r="2580">
      <c r="A2580" t="inlineStr">
        <is>
          <t>chr3</t>
        </is>
      </c>
      <c r="B2580" t="n">
        <v>50151221</v>
      </c>
      <c r="C2580" t="inlineStr">
        <is>
          <t>C</t>
        </is>
      </c>
      <c r="D2580" t="inlineStr">
        <is>
          <t>T</t>
        </is>
      </c>
      <c r="E2580" t="inlineStr">
        <is>
          <t>rs12054052</t>
        </is>
      </c>
      <c r="F2580" t="n">
        <v>-0.0070421628799999</v>
      </c>
      <c r="G2580" t="n">
        <v>0.5937778539146062</v>
      </c>
      <c r="H2580" t="n">
        <v>0.0102204348282869</v>
      </c>
      <c r="I2580" t="n">
        <v>0.4931051044905036</v>
      </c>
      <c r="J2580" t="n">
        <v>0.5979324288602639</v>
      </c>
      <c r="K2580" t="n">
        <v>0.0388193988431618</v>
      </c>
      <c r="L2580" t="b">
        <v>0</v>
      </c>
      <c r="M2580" t="b">
        <v>0</v>
      </c>
      <c r="N2580" t="inlineStr">
        <is>
          <t>ref</t>
        </is>
      </c>
      <c r="O2580" t="n">
        <v>-100</v>
      </c>
      <c r="P2580" t="n">
        <v>0.01535</v>
      </c>
      <c r="Q2580" t="n">
        <v>-70</v>
      </c>
      <c r="R2580" t="n">
        <v>0.12354</v>
      </c>
      <c r="S2580">
        <f>IMAGE("https://mitra.stanford.edu/kundaje/oak/projects/neuro-variants/variant_position/credible/roussos_2024/variant_figures/roussos_2024.adolescence.GLU/rs12054052_count_position.png",4,220,900)</f>
        <v/>
      </c>
      <c r="T2580">
        <f>IMAGE("https://mitra.stanford.edu/kundaje/oak/projects/neuro-variants/variant_position/credible/roussos_2024/variant_figures/roussos_2024.adolescence.GLU/rs12054052_profile_position.png",4,220,900)</f>
        <v/>
      </c>
    </row>
    <row r="2581">
      <c r="A2581" t="inlineStr">
        <is>
          <t>chr3</t>
        </is>
      </c>
      <c r="B2581" t="n">
        <v>50171616</v>
      </c>
      <c r="C2581" t="inlineStr">
        <is>
          <t>G</t>
        </is>
      </c>
      <c r="D2581" t="inlineStr">
        <is>
          <t>A</t>
        </is>
      </c>
      <c r="E2581" t="inlineStr">
        <is>
          <t>rs2624835</t>
        </is>
      </c>
      <c r="F2581" t="n">
        <v>-0.00636014332</v>
      </c>
      <c r="G2581" t="n">
        <v>0.6857378515468886</v>
      </c>
      <c r="H2581" t="n">
        <v>0.010302964451671</v>
      </c>
      <c r="I2581" t="n">
        <v>0.4866559498049796</v>
      </c>
      <c r="J2581" t="n">
        <v>0.5579398589707869</v>
      </c>
      <c r="K2581" t="n">
        <v>0.0555208683463637</v>
      </c>
      <c r="L2581" t="b">
        <v>0</v>
      </c>
      <c r="M2581" t="b">
        <v>0</v>
      </c>
      <c r="N2581" t="inlineStr">
        <is>
          <t>ref</t>
        </is>
      </c>
      <c r="O2581" t="n">
        <v>-5</v>
      </c>
      <c r="P2581" t="n">
        <v>0.0001526</v>
      </c>
      <c r="Q2581" t="n">
        <v>-100</v>
      </c>
      <c r="R2581" t="n">
        <v>0.05026</v>
      </c>
      <c r="S2581">
        <f>IMAGE("https://mitra.stanford.edu/kundaje/oak/projects/neuro-variants/variant_position/credible/roussos_2024/variant_figures/roussos_2024.adolescence.GLU/rs2624835_count_position.png",4,220,900)</f>
        <v/>
      </c>
      <c r="T2581">
        <f>IMAGE("https://mitra.stanford.edu/kundaje/oak/projects/neuro-variants/variant_position/credible/roussos_2024/variant_figures/roussos_2024.adolescence.GLU/rs2624835_profile_position.png",4,220,900)</f>
        <v/>
      </c>
    </row>
    <row r="2582">
      <c r="A2582" t="inlineStr">
        <is>
          <t>chr3</t>
        </is>
      </c>
      <c r="B2582" t="n">
        <v>50191334</v>
      </c>
      <c r="C2582" t="inlineStr">
        <is>
          <t>G</t>
        </is>
      </c>
      <c r="D2582" t="inlineStr">
        <is>
          <t>T</t>
        </is>
      </c>
      <c r="E2582" t="inlineStr">
        <is>
          <t>rs3755831</t>
        </is>
      </c>
      <c r="F2582" t="n">
        <v>0.005963199</v>
      </c>
      <c r="G2582" t="n">
        <v>0.6736855221338148</v>
      </c>
      <c r="H2582" t="n">
        <v>0.0136453292634276</v>
      </c>
      <c r="I2582" t="n">
        <v>0.2334453912924238</v>
      </c>
      <c r="J2582" t="n">
        <v>0.4429803316401254</v>
      </c>
      <c r="K2582" t="n">
        <v>0.1289974887595166</v>
      </c>
      <c r="L2582" t="b">
        <v>0</v>
      </c>
      <c r="M2582" t="b">
        <v>0</v>
      </c>
      <c r="N2582" t="inlineStr">
        <is>
          <t>alt</t>
        </is>
      </c>
      <c r="O2582" t="n">
        <v>-95</v>
      </c>
      <c r="P2582" t="n">
        <v>0.00628</v>
      </c>
      <c r="Q2582" t="n">
        <v>70</v>
      </c>
      <c r="R2582" t="n">
        <v>0.1283</v>
      </c>
      <c r="S2582">
        <f>IMAGE("https://mitra.stanford.edu/kundaje/oak/projects/neuro-variants/variant_position/credible/roussos_2024/variant_figures/roussos_2024.adolescence.GLU/rs3755831_count_position.png",4,220,900)</f>
        <v/>
      </c>
      <c r="T2582">
        <f>IMAGE("https://mitra.stanford.edu/kundaje/oak/projects/neuro-variants/variant_position/credible/roussos_2024/variant_figures/roussos_2024.adolescence.GLU/rs3755831_profile_position.png",4,220,900)</f>
        <v/>
      </c>
    </row>
    <row r="2583">
      <c r="A2583" t="inlineStr">
        <is>
          <t>chr3</t>
        </is>
      </c>
      <c r="B2583" t="n">
        <v>50202031</v>
      </c>
      <c r="C2583" t="inlineStr">
        <is>
          <t>C</t>
        </is>
      </c>
      <c r="D2583" t="inlineStr">
        <is>
          <t>T</t>
        </is>
      </c>
      <c r="E2583" t="inlineStr">
        <is>
          <t>rs4688683</t>
        </is>
      </c>
      <c r="F2583" t="n">
        <v>-0.0318051372</v>
      </c>
      <c r="G2583" t="n">
        <v>0.1679026631722759</v>
      </c>
      <c r="H2583" t="n">
        <v>0.0094154446620763</v>
      </c>
      <c r="I2583" t="n">
        <v>0.6138664920999011</v>
      </c>
      <c r="J2583" t="n">
        <v>0.4426016817769394</v>
      </c>
      <c r="K2583" t="n">
        <v>0.1307379136268817</v>
      </c>
      <c r="L2583" t="b">
        <v>0</v>
      </c>
      <c r="M2583" t="b">
        <v>0</v>
      </c>
      <c r="N2583" t="inlineStr">
        <is>
          <t>ref</t>
        </is>
      </c>
      <c r="O2583" t="n">
        <v>-90</v>
      </c>
      <c r="P2583" t="n">
        <v>0.002531</v>
      </c>
      <c r="Q2583" t="n">
        <v>25</v>
      </c>
      <c r="R2583" t="n">
        <v>0.03082</v>
      </c>
      <c r="S2583">
        <f>IMAGE("https://mitra.stanford.edu/kundaje/oak/projects/neuro-variants/variant_position/credible/roussos_2024/variant_figures/roussos_2024.adolescence.GLU/rs4688683_count_position.png",4,220,900)</f>
        <v/>
      </c>
      <c r="T2583">
        <f>IMAGE("https://mitra.stanford.edu/kundaje/oak/projects/neuro-variants/variant_position/credible/roussos_2024/variant_figures/roussos_2024.adolescence.GLU/rs4688683_profile_position.png",4,220,900)</f>
        <v/>
      </c>
    </row>
    <row r="2584">
      <c r="A2584" t="inlineStr">
        <is>
          <t>chr3</t>
        </is>
      </c>
      <c r="B2584" t="n">
        <v>50206077</v>
      </c>
      <c r="C2584" t="inlineStr">
        <is>
          <t>G</t>
        </is>
      </c>
      <c r="D2584" t="inlineStr">
        <is>
          <t>T</t>
        </is>
      </c>
      <c r="E2584" t="inlineStr">
        <is>
          <t>rs2236939</t>
        </is>
      </c>
      <c r="F2584" t="n">
        <v>0.0053439592</v>
      </c>
      <c r="G2584" t="n">
        <v>0.4332624442075528</v>
      </c>
      <c r="H2584" t="n">
        <v>0.01808966528641</v>
      </c>
      <c r="I2584" t="n">
        <v>0.0829447657616916</v>
      </c>
      <c r="J2584" t="n">
        <v>0.7892777789685006</v>
      </c>
      <c r="K2584" t="n">
        <v>0.0082117386177664</v>
      </c>
      <c r="L2584" t="b">
        <v>0</v>
      </c>
      <c r="M2584" t="b">
        <v>0</v>
      </c>
      <c r="N2584" t="inlineStr">
        <is>
          <t>alt</t>
        </is>
      </c>
      <c r="O2584" t="n">
        <v>60</v>
      </c>
      <c r="P2584" t="n">
        <v>0.0007935</v>
      </c>
      <c r="Q2584" t="n">
        <v>5</v>
      </c>
      <c r="R2584" t="n">
        <v>0.01221</v>
      </c>
      <c r="S2584">
        <f>IMAGE("https://mitra.stanford.edu/kundaje/oak/projects/neuro-variants/variant_position/credible/roussos_2024/variant_figures/roussos_2024.adolescence.GLU/rs2236939_count_position.png",4,220,900)</f>
        <v/>
      </c>
      <c r="T2584">
        <f>IMAGE("https://mitra.stanford.edu/kundaje/oak/projects/neuro-variants/variant_position/credible/roussos_2024/variant_figures/roussos_2024.adolescence.GLU/rs2236939_profile_position.png",4,220,900)</f>
        <v/>
      </c>
    </row>
    <row r="2585">
      <c r="A2585" t="inlineStr">
        <is>
          <t>chr3</t>
        </is>
      </c>
      <c r="B2585" t="n">
        <v>50206647</v>
      </c>
      <c r="C2585" t="inlineStr">
        <is>
          <t>G</t>
        </is>
      </c>
      <c r="D2585" t="inlineStr">
        <is>
          <t>A</t>
        </is>
      </c>
      <c r="E2585" t="inlineStr">
        <is>
          <t>rs2236940</t>
        </is>
      </c>
      <c r="F2585" t="n">
        <v>-0.0563539402</v>
      </c>
      <c r="G2585" t="n">
        <v>0.0511321070151784</v>
      </c>
      <c r="H2585" t="n">
        <v>0.0104298147388303</v>
      </c>
      <c r="I2585" t="n">
        <v>0.4782862290637153</v>
      </c>
      <c r="J2585" t="n">
        <v>0.5672246393895878</v>
      </c>
      <c r="K2585" t="n">
        <v>0.0520265968549846</v>
      </c>
      <c r="L2585" t="b">
        <v>0</v>
      </c>
      <c r="M2585" t="b">
        <v>0</v>
      </c>
      <c r="N2585" t="inlineStr">
        <is>
          <t>ref</t>
        </is>
      </c>
      <c r="O2585" t="n">
        <v>5</v>
      </c>
      <c r="P2585" t="n">
        <v>0.000952</v>
      </c>
      <c r="Q2585" t="n">
        <v>-85</v>
      </c>
      <c r="R2585" t="n">
        <v>0.03217</v>
      </c>
      <c r="S2585">
        <f>IMAGE("https://mitra.stanford.edu/kundaje/oak/projects/neuro-variants/variant_position/credible/roussos_2024/variant_figures/roussos_2024.adolescence.GLU/rs2236940_count_position.png",4,220,900)</f>
        <v/>
      </c>
      <c r="T2585">
        <f>IMAGE("https://mitra.stanford.edu/kundaje/oak/projects/neuro-variants/variant_position/credible/roussos_2024/variant_figures/roussos_2024.adolescence.GLU/rs2236940_profile_position.png",4,220,900)</f>
        <v/>
      </c>
    </row>
    <row r="2586">
      <c r="A2586" t="inlineStr">
        <is>
          <t>chr3</t>
        </is>
      </c>
      <c r="B2586" t="n">
        <v>50235333</v>
      </c>
      <c r="C2586" t="inlineStr">
        <is>
          <t>T</t>
        </is>
      </c>
      <c r="D2586" t="inlineStr">
        <is>
          <t>G</t>
        </is>
      </c>
      <c r="E2586" t="inlineStr">
        <is>
          <t>rs4688743</t>
        </is>
      </c>
      <c r="F2586" t="n">
        <v>0.0103109672</v>
      </c>
      <c r="G2586" t="n">
        <v>0.4828857952714685</v>
      </c>
      <c r="H2586" t="n">
        <v>0.0178718201064738</v>
      </c>
      <c r="I2586" t="n">
        <v>0.0888954930278703</v>
      </c>
      <c r="J2586" t="n">
        <v>0.6373763136649735</v>
      </c>
      <c r="K2586" t="n">
        <v>0.0263579599699511</v>
      </c>
      <c r="L2586" t="b">
        <v>0</v>
      </c>
      <c r="M2586" t="b">
        <v>0</v>
      </c>
      <c r="N2586" t="inlineStr">
        <is>
          <t>alt</t>
        </is>
      </c>
      <c r="O2586" t="n">
        <v>60</v>
      </c>
      <c r="P2586" t="n">
        <v>0.00495</v>
      </c>
      <c r="Q2586" t="n">
        <v>15</v>
      </c>
      <c r="R2586" t="n">
        <v>0.03815</v>
      </c>
      <c r="S2586">
        <f>IMAGE("https://mitra.stanford.edu/kundaje/oak/projects/neuro-variants/variant_position/credible/roussos_2024/variant_figures/roussos_2024.adolescence.GLU/rs4688743_count_position.png",4,220,900)</f>
        <v/>
      </c>
      <c r="T2586">
        <f>IMAGE("https://mitra.stanford.edu/kundaje/oak/projects/neuro-variants/variant_position/credible/roussos_2024/variant_figures/roussos_2024.adolescence.GLU/rs4688743_profile_position.png",4,220,900)</f>
        <v/>
      </c>
    </row>
    <row r="2587">
      <c r="A2587" t="inlineStr">
        <is>
          <t>chr3</t>
        </is>
      </c>
      <c r="B2587" t="n">
        <v>50278688</v>
      </c>
      <c r="C2587" t="inlineStr">
        <is>
          <t>T</t>
        </is>
      </c>
      <c r="D2587" t="inlineStr">
        <is>
          <t>C</t>
        </is>
      </c>
      <c r="E2587" t="inlineStr">
        <is>
          <t>rs6776145</t>
        </is>
      </c>
      <c r="F2587" t="n">
        <v>0.06490824739999999</v>
      </c>
      <c r="G2587" t="n">
        <v>0.0289715852677353</v>
      </c>
      <c r="H2587" t="n">
        <v>0.0148956603806192</v>
      </c>
      <c r="I2587" t="n">
        <v>0.1529801571835471</v>
      </c>
      <c r="J2587" t="n">
        <v>0.374954812068214</v>
      </c>
      <c r="K2587" t="n">
        <v>0.1913083356618136</v>
      </c>
      <c r="L2587" t="b">
        <v>0</v>
      </c>
      <c r="M2587" t="b">
        <v>0</v>
      </c>
      <c r="N2587" t="inlineStr">
        <is>
          <t>alt</t>
        </is>
      </c>
      <c r="O2587" t="n">
        <v>-45</v>
      </c>
      <c r="P2587" t="n">
        <v>0.004547</v>
      </c>
      <c r="Q2587" t="n">
        <v>-25</v>
      </c>
      <c r="R2587" t="n">
        <v>0.0384</v>
      </c>
      <c r="S2587">
        <f>IMAGE("https://mitra.stanford.edu/kundaje/oak/projects/neuro-variants/variant_position/credible/roussos_2024/variant_figures/roussos_2024.adolescence.GLU/rs6776145_count_position.png",4,220,900)</f>
        <v/>
      </c>
      <c r="T2587">
        <f>IMAGE("https://mitra.stanford.edu/kundaje/oak/projects/neuro-variants/variant_position/credible/roussos_2024/variant_figures/roussos_2024.adolescence.GLU/rs6776145_profile_position.png",4,220,900)</f>
        <v/>
      </c>
    </row>
    <row r="2588">
      <c r="A2588" t="inlineStr">
        <is>
          <t>chr3</t>
        </is>
      </c>
      <c r="B2588" t="n">
        <v>50303565</v>
      </c>
      <c r="C2588" t="inlineStr">
        <is>
          <t>T</t>
        </is>
      </c>
      <c r="D2588" t="inlineStr">
        <is>
          <t>C</t>
        </is>
      </c>
      <c r="E2588" t="inlineStr">
        <is>
          <t>rs28365992</t>
        </is>
      </c>
      <c r="F2588" t="n">
        <v>0.0510108094</v>
      </c>
      <c r="G2588" t="n">
        <v>0.0585004749649197</v>
      </c>
      <c r="H2588" t="n">
        <v>0.0157356669760387</v>
      </c>
      <c r="I2588" t="n">
        <v>0.1315203902746647</v>
      </c>
      <c r="J2588" t="n">
        <v>0.5886104978888484</v>
      </c>
      <c r="K2588" t="n">
        <v>0.0424758524214836</v>
      </c>
      <c r="L2588" t="b">
        <v>0</v>
      </c>
      <c r="M2588" t="b">
        <v>0</v>
      </c>
      <c r="N2588" t="inlineStr">
        <is>
          <t>alt</t>
        </is>
      </c>
      <c r="O2588" t="n">
        <v>100</v>
      </c>
      <c r="P2588" t="n">
        <v>0.001831</v>
      </c>
      <c r="Q2588" t="n">
        <v>75</v>
      </c>
      <c r="R2588" t="n">
        <v>0.1444</v>
      </c>
      <c r="S2588">
        <f>IMAGE("https://mitra.stanford.edu/kundaje/oak/projects/neuro-variants/variant_position/credible/roussos_2024/variant_figures/roussos_2024.adolescence.GLU/rs28365992_count_position.png",4,220,900)</f>
        <v/>
      </c>
      <c r="T2588">
        <f>IMAGE("https://mitra.stanford.edu/kundaje/oak/projects/neuro-variants/variant_position/credible/roussos_2024/variant_figures/roussos_2024.adolescence.GLU/rs28365992_profile_position.png",4,220,900)</f>
        <v/>
      </c>
    </row>
    <row r="2589">
      <c r="A2589" t="inlineStr">
        <is>
          <t>chr3</t>
        </is>
      </c>
      <c r="B2589" t="n">
        <v>50314167</v>
      </c>
      <c r="C2589" t="inlineStr">
        <is>
          <t>C</t>
        </is>
      </c>
      <c r="D2589" t="inlineStr">
        <is>
          <t>T</t>
        </is>
      </c>
      <c r="E2589" t="inlineStr">
        <is>
          <t>rs12492683</t>
        </is>
      </c>
      <c r="F2589" t="n">
        <v>-0.00868854178</v>
      </c>
      <c r="G2589" t="n">
        <v>0.5834250689358239</v>
      </c>
      <c r="H2589" t="n">
        <v>0.0075826313643183</v>
      </c>
      <c r="I2589" t="n">
        <v>0.8268639610270226</v>
      </c>
      <c r="J2589" t="n">
        <v>0.1536832629616134</v>
      </c>
      <c r="K2589" t="n">
        <v>0.478383241756297</v>
      </c>
      <c r="L2589" t="b">
        <v>0</v>
      </c>
      <c r="M2589" t="b">
        <v>0</v>
      </c>
      <c r="N2589" t="inlineStr">
        <is>
          <t>ref</t>
        </is>
      </c>
      <c r="O2589" t="n">
        <v>-80</v>
      </c>
      <c r="P2589" t="n">
        <v>0.01848</v>
      </c>
      <c r="Q2589" t="n">
        <v>-45</v>
      </c>
      <c r="R2589" t="n">
        <v>0.009094</v>
      </c>
      <c r="S2589">
        <f>IMAGE("https://mitra.stanford.edu/kundaje/oak/projects/neuro-variants/variant_position/credible/roussos_2024/variant_figures/roussos_2024.adolescence.GLU/rs12492683_count_position.png",4,220,900)</f>
        <v/>
      </c>
      <c r="T2589">
        <f>IMAGE("https://mitra.stanford.edu/kundaje/oak/projects/neuro-variants/variant_position/credible/roussos_2024/variant_figures/roussos_2024.adolescence.GLU/rs12492683_profile_position.png",4,220,900)</f>
        <v/>
      </c>
    </row>
    <row r="2590">
      <c r="A2590" t="inlineStr">
        <is>
          <t>chr3</t>
        </is>
      </c>
      <c r="B2590" t="n">
        <v>50314953</v>
      </c>
      <c r="C2590" t="inlineStr">
        <is>
          <t>T</t>
        </is>
      </c>
      <c r="D2590" t="inlineStr">
        <is>
          <t>C</t>
        </is>
      </c>
      <c r="E2590" t="inlineStr">
        <is>
          <t>rs12054403</t>
        </is>
      </c>
      <c r="F2590" t="n">
        <v>0.032739087</v>
      </c>
      <c r="G2590" t="n">
        <v>0.1417647161896975</v>
      </c>
      <c r="H2590" t="n">
        <v>0.0207901918607731</v>
      </c>
      <c r="I2590" t="n">
        <v>0.0514547663418425</v>
      </c>
      <c r="J2590" t="n">
        <v>0.3291424652249394</v>
      </c>
      <c r="K2590" t="n">
        <v>0.2373518071757255</v>
      </c>
      <c r="L2590" t="b">
        <v>0</v>
      </c>
      <c r="M2590" t="b">
        <v>0</v>
      </c>
      <c r="N2590" t="inlineStr">
        <is>
          <t>alt</t>
        </is>
      </c>
      <c r="O2590" t="n">
        <v>50</v>
      </c>
      <c r="P2590" t="n">
        <v>0.001438</v>
      </c>
      <c r="Q2590" t="n">
        <v>100</v>
      </c>
      <c r="R2590" t="n">
        <v>0.08563</v>
      </c>
      <c r="S2590">
        <f>IMAGE("https://mitra.stanford.edu/kundaje/oak/projects/neuro-variants/variant_position/credible/roussos_2024/variant_figures/roussos_2024.adolescence.GLU/rs12054403_count_position.png",4,220,900)</f>
        <v/>
      </c>
      <c r="T2590">
        <f>IMAGE("https://mitra.stanford.edu/kundaje/oak/projects/neuro-variants/variant_position/credible/roussos_2024/variant_figures/roussos_2024.adolescence.GLU/rs12054403_profile_position.png",4,220,900)</f>
        <v/>
      </c>
    </row>
    <row r="2591">
      <c r="A2591" t="inlineStr">
        <is>
          <t>chr3</t>
        </is>
      </c>
      <c r="B2591" t="n">
        <v>50334001</v>
      </c>
      <c r="C2591" t="inlineStr">
        <is>
          <t>C</t>
        </is>
      </c>
      <c r="D2591" t="inlineStr">
        <is>
          <t>A</t>
        </is>
      </c>
      <c r="E2591" t="inlineStr">
        <is>
          <t>rs2236947</t>
        </is>
      </c>
      <c r="F2591" t="n">
        <v>0.0297549241999999</v>
      </c>
      <c r="G2591" t="n">
        <v>0.1796105991386623</v>
      </c>
      <c r="H2591" t="n">
        <v>0.0209086567611763</v>
      </c>
      <c r="I2591" t="n">
        <v>0.0468095025828412</v>
      </c>
      <c r="J2591" t="n">
        <v>0.4826056826056826</v>
      </c>
      <c r="K2591" t="n">
        <v>0.1014486159478348</v>
      </c>
      <c r="L2591" t="b">
        <v>0</v>
      </c>
      <c r="M2591" t="b">
        <v>0</v>
      </c>
      <c r="N2591" t="inlineStr">
        <is>
          <t>alt</t>
        </is>
      </c>
      <c r="O2591" t="n">
        <v>-90</v>
      </c>
      <c r="P2591" t="n">
        <v>0.001186</v>
      </c>
      <c r="Q2591" t="n">
        <v>-45</v>
      </c>
      <c r="R2591" t="n">
        <v>0.11194</v>
      </c>
      <c r="S2591">
        <f>IMAGE("https://mitra.stanford.edu/kundaje/oak/projects/neuro-variants/variant_position/credible/roussos_2024/variant_figures/roussos_2024.adolescence.GLU/rs2236947_count_position.png",4,220,900)</f>
        <v/>
      </c>
      <c r="T2591">
        <f>IMAGE("https://mitra.stanford.edu/kundaje/oak/projects/neuro-variants/variant_position/credible/roussos_2024/variant_figures/roussos_2024.adolescence.GLU/rs2236947_profile_position.png",4,220,900)</f>
        <v/>
      </c>
    </row>
    <row r="2592">
      <c r="A2592" t="inlineStr">
        <is>
          <t>chr3</t>
        </is>
      </c>
      <c r="B2592" t="n">
        <v>50354037</v>
      </c>
      <c r="C2592" t="inlineStr">
        <is>
          <t>T</t>
        </is>
      </c>
      <c r="D2592" t="inlineStr">
        <is>
          <t>C</t>
        </is>
      </c>
      <c r="E2592" t="inlineStr">
        <is>
          <t>rs58181992</t>
        </is>
      </c>
      <c r="F2592" t="n">
        <v>0.005230775545</v>
      </c>
      <c r="G2592" t="n">
        <v>0.7097068779011025</v>
      </c>
      <c r="H2592" t="n">
        <v>0.0180701676095993</v>
      </c>
      <c r="I2592" t="n">
        <v>0.0895669002376383</v>
      </c>
      <c r="J2592" t="n">
        <v>0.4062998764029692</v>
      </c>
      <c r="K2592" t="n">
        <v>0.1615060329104924</v>
      </c>
      <c r="L2592" t="b">
        <v>0</v>
      </c>
      <c r="M2592" t="b">
        <v>0</v>
      </c>
      <c r="N2592" t="inlineStr">
        <is>
          <t>alt</t>
        </is>
      </c>
      <c r="O2592" t="n">
        <v>40</v>
      </c>
      <c r="P2592" t="n">
        <v>0.001892</v>
      </c>
      <c r="Q2592" t="n">
        <v>-60</v>
      </c>
      <c r="R2592" t="n">
        <v>0.03406</v>
      </c>
      <c r="S2592">
        <f>IMAGE("https://mitra.stanford.edu/kundaje/oak/projects/neuro-variants/variant_position/credible/roussos_2024/variant_figures/roussos_2024.adolescence.GLU/rs58181992_count_position.png",4,220,900)</f>
        <v/>
      </c>
      <c r="T2592">
        <f>IMAGE("https://mitra.stanford.edu/kundaje/oak/projects/neuro-variants/variant_position/credible/roussos_2024/variant_figures/roussos_2024.adolescence.GLU/rs58181992_profile_position.png",4,220,900)</f>
        <v/>
      </c>
    </row>
    <row r="2593">
      <c r="A2593" t="inlineStr">
        <is>
          <t>chr3</t>
        </is>
      </c>
      <c r="B2593" t="n">
        <v>50418039</v>
      </c>
      <c r="C2593" t="inlineStr">
        <is>
          <t>G</t>
        </is>
      </c>
      <c r="D2593" t="inlineStr">
        <is>
          <t>A</t>
        </is>
      </c>
      <c r="E2593" t="inlineStr">
        <is>
          <t>rs6446206</t>
        </is>
      </c>
      <c r="F2593" t="n">
        <v>0.0406774045</v>
      </c>
      <c r="G2593" t="n">
        <v>0.1017838899563442</v>
      </c>
      <c r="H2593" t="n">
        <v>0.021506752461571</v>
      </c>
      <c r="I2593" t="n">
        <v>0.0505294439207005</v>
      </c>
      <c r="J2593" t="n">
        <v>0.4675268448464324</v>
      </c>
      <c r="K2593" t="n">
        <v>0.1108211645138619</v>
      </c>
      <c r="L2593" t="b">
        <v>0</v>
      </c>
      <c r="M2593" t="b">
        <v>0</v>
      </c>
      <c r="N2593" t="inlineStr">
        <is>
          <t>alt</t>
        </is>
      </c>
      <c r="O2593" t="n">
        <v>70</v>
      </c>
      <c r="P2593" t="n">
        <v>0.0008125</v>
      </c>
      <c r="Q2593" t="n">
        <v>20</v>
      </c>
      <c r="R2593" t="n">
        <v>0.01672</v>
      </c>
      <c r="S2593">
        <f>IMAGE("https://mitra.stanford.edu/kundaje/oak/projects/neuro-variants/variant_position/credible/roussos_2024/variant_figures/roussos_2024.adolescence.GLU/rs6446206_count_position.png",4,220,900)</f>
        <v/>
      </c>
      <c r="T2593">
        <f>IMAGE("https://mitra.stanford.edu/kundaje/oak/projects/neuro-variants/variant_position/credible/roussos_2024/variant_figures/roussos_2024.adolescence.GLU/rs6446206_profile_position.png",4,220,900)</f>
        <v/>
      </c>
    </row>
    <row r="2594">
      <c r="A2594" t="inlineStr">
        <is>
          <t>chr3</t>
        </is>
      </c>
      <c r="B2594" t="n">
        <v>50454725</v>
      </c>
      <c r="C2594" t="inlineStr">
        <is>
          <t>G</t>
        </is>
      </c>
      <c r="D2594" t="inlineStr">
        <is>
          <t>A</t>
        </is>
      </c>
      <c r="E2594" t="inlineStr">
        <is>
          <t>rs2157328</t>
        </is>
      </c>
      <c r="F2594" t="n">
        <v>-0.00346786496</v>
      </c>
      <c r="G2594" t="n">
        <v>0.646485578459205</v>
      </c>
      <c r="H2594" t="n">
        <v>0.0233120772436247</v>
      </c>
      <c r="I2594" t="n">
        <v>0.0297531166046973</v>
      </c>
      <c r="J2594" t="n">
        <v>0.7022783290824528</v>
      </c>
      <c r="K2594" t="n">
        <v>0.0149008887668757</v>
      </c>
      <c r="L2594" t="b">
        <v>0</v>
      </c>
      <c r="M2594" t="b">
        <v>0</v>
      </c>
      <c r="N2594" t="inlineStr">
        <is>
          <t>ref</t>
        </is>
      </c>
      <c r="O2594" t="n">
        <v>-100</v>
      </c>
      <c r="P2594" t="n">
        <v>0.02167</v>
      </c>
      <c r="Q2594" t="n">
        <v>-100</v>
      </c>
      <c r="R2594" t="n">
        <v>0.08887</v>
      </c>
      <c r="S2594">
        <f>IMAGE("https://mitra.stanford.edu/kundaje/oak/projects/neuro-variants/variant_position/credible/roussos_2024/variant_figures/roussos_2024.adolescence.GLU/rs2157328_count_position.png",4,220,900)</f>
        <v/>
      </c>
      <c r="T2594">
        <f>IMAGE("https://mitra.stanford.edu/kundaje/oak/projects/neuro-variants/variant_position/credible/roussos_2024/variant_figures/roussos_2024.adolescence.GLU/rs2157328_profile_position.png",4,220,900)</f>
        <v/>
      </c>
    </row>
    <row r="2595">
      <c r="A2595" t="inlineStr">
        <is>
          <t>chr3</t>
        </is>
      </c>
      <c r="B2595" t="n">
        <v>50462430</v>
      </c>
      <c r="C2595" t="inlineStr">
        <is>
          <t>A</t>
        </is>
      </c>
      <c r="D2595" t="inlineStr">
        <is>
          <t>G</t>
        </is>
      </c>
      <c r="E2595" t="inlineStr">
        <is>
          <t>rs9311454</t>
        </is>
      </c>
      <c r="F2595" t="n">
        <v>-0.001326684346</v>
      </c>
      <c r="G2595" t="n">
        <v>0.8235949328725347</v>
      </c>
      <c r="H2595" t="n">
        <v>0.0110092666383124</v>
      </c>
      <c r="I2595" t="n">
        <v>0.4078410890061659</v>
      </c>
      <c r="J2595" t="n">
        <v>0.2428631645126489</v>
      </c>
      <c r="K2595" t="n">
        <v>0.3422951066655887</v>
      </c>
      <c r="L2595" t="b">
        <v>0</v>
      </c>
      <c r="M2595" t="b">
        <v>0</v>
      </c>
      <c r="N2595" t="inlineStr">
        <is>
          <t>ref</t>
        </is>
      </c>
      <c r="O2595" t="n">
        <v>80</v>
      </c>
      <c r="P2595" t="n">
        <v>0.00235</v>
      </c>
      <c r="Q2595" t="n">
        <v>100</v>
      </c>
      <c r="R2595" t="n">
        <v>0.1493</v>
      </c>
      <c r="S2595">
        <f>IMAGE("https://mitra.stanford.edu/kundaje/oak/projects/neuro-variants/variant_position/credible/roussos_2024/variant_figures/roussos_2024.adolescence.GLU/rs9311454_count_position.png",4,220,900)</f>
        <v/>
      </c>
      <c r="T2595">
        <f>IMAGE("https://mitra.stanford.edu/kundaje/oak/projects/neuro-variants/variant_position/credible/roussos_2024/variant_figures/roussos_2024.adolescence.GLU/rs9311454_profile_position.png",4,220,900)</f>
        <v/>
      </c>
    </row>
    <row r="2596">
      <c r="A2596" t="inlineStr">
        <is>
          <t>chr3</t>
        </is>
      </c>
      <c r="B2596" t="n">
        <v>50483208</v>
      </c>
      <c r="C2596" t="inlineStr">
        <is>
          <t>C</t>
        </is>
      </c>
      <c r="D2596" t="inlineStr">
        <is>
          <t>A</t>
        </is>
      </c>
      <c r="E2596" t="inlineStr">
        <is>
          <t>rs80049775</t>
        </is>
      </c>
      <c r="F2596" t="n">
        <v>0.0233389026</v>
      </c>
      <c r="G2596" t="n">
        <v>0.2462999696560324</v>
      </c>
      <c r="H2596" t="n">
        <v>0.0245999038770999</v>
      </c>
      <c r="I2596" t="n">
        <v>0.0227610300183241</v>
      </c>
      <c r="J2596" t="n">
        <v>0.3379171399789956</v>
      </c>
      <c r="K2596" t="n">
        <v>0.2296400997191391</v>
      </c>
      <c r="L2596" t="b">
        <v>0</v>
      </c>
      <c r="M2596" t="b">
        <v>0</v>
      </c>
      <c r="N2596" t="inlineStr">
        <is>
          <t>alt</t>
        </is>
      </c>
      <c r="O2596" t="n">
        <v>-45</v>
      </c>
      <c r="P2596" t="n">
        <v>0.0009117</v>
      </c>
      <c r="Q2596" t="n">
        <v>-5</v>
      </c>
      <c r="R2596" t="n">
        <v>0.00627</v>
      </c>
      <c r="S2596">
        <f>IMAGE("https://mitra.stanford.edu/kundaje/oak/projects/neuro-variants/variant_position/credible/roussos_2024/variant_figures/roussos_2024.adolescence.GLU/rs80049775_count_position.png",4,220,900)</f>
        <v/>
      </c>
      <c r="T2596">
        <f>IMAGE("https://mitra.stanford.edu/kundaje/oak/projects/neuro-variants/variant_position/credible/roussos_2024/variant_figures/roussos_2024.adolescence.GLU/rs80049775_profile_position.png",4,220,900)</f>
        <v/>
      </c>
    </row>
    <row r="2597">
      <c r="A2597" t="inlineStr">
        <is>
          <t>chr3</t>
        </is>
      </c>
      <c r="B2597" t="n">
        <v>50556413</v>
      </c>
      <c r="C2597" t="inlineStr">
        <is>
          <t>G</t>
        </is>
      </c>
      <c r="D2597" t="inlineStr">
        <is>
          <t>A</t>
        </is>
      </c>
      <c r="E2597" t="inlineStr">
        <is>
          <t>rs17051014</t>
        </is>
      </c>
      <c r="F2597" t="n">
        <v>0.0382425502</v>
      </c>
      <c r="G2597" t="n">
        <v>0.1138572352693321</v>
      </c>
      <c r="H2597" t="n">
        <v>0.0176005616854063</v>
      </c>
      <c r="I2597" t="n">
        <v>0.0906573570284871</v>
      </c>
      <c r="J2597" t="n">
        <v>0.3961220538540126</v>
      </c>
      <c r="K2597" t="n">
        <v>0.1710662709944233</v>
      </c>
      <c r="L2597" t="b">
        <v>0</v>
      </c>
      <c r="M2597" t="b">
        <v>0</v>
      </c>
      <c r="N2597" t="inlineStr">
        <is>
          <t>alt</t>
        </is>
      </c>
      <c r="O2597" t="n">
        <v>45</v>
      </c>
      <c r="P2597" t="n">
        <v>0.001556</v>
      </c>
      <c r="Q2597" t="n">
        <v>30</v>
      </c>
      <c r="R2597" t="n">
        <v>0.03796</v>
      </c>
      <c r="S2597">
        <f>IMAGE("https://mitra.stanford.edu/kundaje/oak/projects/neuro-variants/variant_position/credible/roussos_2024/variant_figures/roussos_2024.adolescence.GLU/rs17051014_count_position.png",4,220,900)</f>
        <v/>
      </c>
      <c r="T2597">
        <f>IMAGE("https://mitra.stanford.edu/kundaje/oak/projects/neuro-variants/variant_position/credible/roussos_2024/variant_figures/roussos_2024.adolescence.GLU/rs17051014_profile_position.png",4,220,900)</f>
        <v/>
      </c>
    </row>
    <row r="2598">
      <c r="A2598" t="inlineStr">
        <is>
          <t>chr3</t>
        </is>
      </c>
      <c r="B2598" t="n">
        <v>52646807</v>
      </c>
      <c r="C2598" t="inlineStr">
        <is>
          <t>C</t>
        </is>
      </c>
      <c r="D2598" t="inlineStr">
        <is>
          <t>T</t>
        </is>
      </c>
      <c r="E2598" t="inlineStr">
        <is>
          <t>rs2028216</t>
        </is>
      </c>
      <c r="F2598" t="n">
        <v>0.00259430323</v>
      </c>
      <c r="G2598" t="n">
        <v>0.8218936842353072</v>
      </c>
      <c r="H2598" t="n">
        <v>0.0147847476602088</v>
      </c>
      <c r="I2598" t="n">
        <v>0.1735913162586158</v>
      </c>
      <c r="J2598" t="n">
        <v>0.0018761029070307</v>
      </c>
      <c r="K2598" t="n">
        <v>0.9559084515458116</v>
      </c>
      <c r="L2598" t="b">
        <v>0</v>
      </c>
      <c r="M2598" t="b">
        <v>0</v>
      </c>
      <c r="N2598" t="inlineStr">
        <is>
          <t>alt</t>
        </is>
      </c>
      <c r="O2598" t="n">
        <v>0</v>
      </c>
      <c r="P2598" t="n">
        <v>0</v>
      </c>
      <c r="Q2598" t="n">
        <v>-50</v>
      </c>
      <c r="R2598" t="n">
        <v>0.01482</v>
      </c>
      <c r="S2598">
        <f>IMAGE("https://mitra.stanford.edu/kundaje/oak/projects/neuro-variants/variant_position/credible/roussos_2024/variant_figures/roussos_2024.adolescence.GLU/rs2028216_count_position.png",4,220,900)</f>
        <v/>
      </c>
      <c r="T2598">
        <f>IMAGE("https://mitra.stanford.edu/kundaje/oak/projects/neuro-variants/variant_position/credible/roussos_2024/variant_figures/roussos_2024.adolescence.GLU/rs2028216_profile_position.png",4,220,900)</f>
        <v/>
      </c>
    </row>
    <row r="2599">
      <c r="A2599" t="inlineStr">
        <is>
          <t>chr3</t>
        </is>
      </c>
      <c r="B2599" t="n">
        <v>52664401</v>
      </c>
      <c r="C2599" t="inlineStr">
        <is>
          <t>T</t>
        </is>
      </c>
      <c r="D2599" t="inlineStr">
        <is>
          <t>C</t>
        </is>
      </c>
      <c r="E2599" t="inlineStr">
        <is>
          <t>rs12488461</t>
        </is>
      </c>
      <c r="F2599" t="n">
        <v>0.0159454533999999</v>
      </c>
      <c r="G2599" t="n">
        <v>0.3578023026038406</v>
      </c>
      <c r="H2599" t="n">
        <v>0.0225140388672225</v>
      </c>
      <c r="I2599" t="n">
        <v>0.032165392184494</v>
      </c>
      <c r="J2599" t="n">
        <v>0.0807724457208992</v>
      </c>
      <c r="K2599" t="n">
        <v>0.6227330259978006</v>
      </c>
      <c r="L2599" t="b">
        <v>0</v>
      </c>
      <c r="M2599" t="b">
        <v>0</v>
      </c>
      <c r="N2599" t="inlineStr">
        <is>
          <t>alt</t>
        </is>
      </c>
      <c r="O2599" t="n">
        <v>-70</v>
      </c>
      <c r="P2599" t="n">
        <v>0.0246</v>
      </c>
      <c r="Q2599" t="n">
        <v>25</v>
      </c>
      <c r="R2599" t="n">
        <v>0.008059999999999999</v>
      </c>
      <c r="S2599">
        <f>IMAGE("https://mitra.stanford.edu/kundaje/oak/projects/neuro-variants/variant_position/credible/roussos_2024/variant_figures/roussos_2024.adolescence.GLU/rs12488461_count_position.png",4,220,900)</f>
        <v/>
      </c>
      <c r="T2599">
        <f>IMAGE("https://mitra.stanford.edu/kundaje/oak/projects/neuro-variants/variant_position/credible/roussos_2024/variant_figures/roussos_2024.adolescence.GLU/rs12488461_profile_position.png",4,220,900)</f>
        <v/>
      </c>
    </row>
    <row r="2600">
      <c r="A2600" t="inlineStr">
        <is>
          <t>chr3</t>
        </is>
      </c>
      <c r="B2600" t="n">
        <v>52715318</v>
      </c>
      <c r="C2600" t="inlineStr">
        <is>
          <t>C</t>
        </is>
      </c>
      <c r="D2600" t="inlineStr">
        <is>
          <t>T</t>
        </is>
      </c>
      <c r="E2600" t="inlineStr">
        <is>
          <t>rs35526119</t>
        </is>
      </c>
      <c r="F2600" t="n">
        <v>-0.052482314</v>
      </c>
      <c r="G2600" t="n">
        <v>0.0552894826073171</v>
      </c>
      <c r="H2600" t="n">
        <v>0.0105765700367809</v>
      </c>
      <c r="I2600" t="n">
        <v>0.4724169073626504</v>
      </c>
      <c r="J2600" t="n">
        <v>0.5515142422358916</v>
      </c>
      <c r="K2600" t="n">
        <v>0.0589920046381882</v>
      </c>
      <c r="L2600" t="b">
        <v>0</v>
      </c>
      <c r="M2600" t="b">
        <v>0</v>
      </c>
      <c r="N2600" t="inlineStr">
        <is>
          <t>ref</t>
        </is>
      </c>
      <c r="O2600" t="n">
        <v>-100</v>
      </c>
      <c r="P2600" t="n">
        <v>0.008330000000000001</v>
      </c>
      <c r="Q2600" t="n">
        <v>-100</v>
      </c>
      <c r="R2600" t="n">
        <v>0.05618</v>
      </c>
      <c r="S2600">
        <f>IMAGE("https://mitra.stanford.edu/kundaje/oak/projects/neuro-variants/variant_position/credible/roussos_2024/variant_figures/roussos_2024.adolescence.GLU/rs35526119_count_position.png",4,220,900)</f>
        <v/>
      </c>
      <c r="T2600">
        <f>IMAGE("https://mitra.stanford.edu/kundaje/oak/projects/neuro-variants/variant_position/credible/roussos_2024/variant_figures/roussos_2024.adolescence.GLU/rs35526119_profile_position.png",4,220,900)</f>
        <v/>
      </c>
    </row>
    <row r="2601">
      <c r="A2601" t="inlineStr">
        <is>
          <t>chr3</t>
        </is>
      </c>
      <c r="B2601" t="n">
        <v>52781889</v>
      </c>
      <c r="C2601" t="inlineStr">
        <is>
          <t>T</t>
        </is>
      </c>
      <c r="D2601" t="inlineStr">
        <is>
          <t>C</t>
        </is>
      </c>
      <c r="E2601" t="inlineStr">
        <is>
          <t>rs2710323</t>
        </is>
      </c>
      <c r="F2601" t="n">
        <v>0.0241193278</v>
      </c>
      <c r="G2601" t="n">
        <v>0.2317046739121174</v>
      </c>
      <c r="H2601" t="n">
        <v>0.009539876628143901</v>
      </c>
      <c r="I2601" t="n">
        <v>0.5876966609631487</v>
      </c>
      <c r="J2601" t="n">
        <v>0.248404312321838</v>
      </c>
      <c r="K2601" t="n">
        <v>0.3348670015156211</v>
      </c>
      <c r="L2601" t="b">
        <v>0</v>
      </c>
      <c r="M2601" t="b">
        <v>0</v>
      </c>
      <c r="N2601" t="inlineStr">
        <is>
          <t>alt</t>
        </is>
      </c>
      <c r="O2601" t="n">
        <v>-80</v>
      </c>
      <c r="P2601" t="n">
        <v>0.005405</v>
      </c>
      <c r="Q2601" t="n">
        <v>-30</v>
      </c>
      <c r="R2601" t="n">
        <v>0.01172</v>
      </c>
      <c r="S2601">
        <f>IMAGE("https://mitra.stanford.edu/kundaje/oak/projects/neuro-variants/variant_position/credible/roussos_2024/variant_figures/roussos_2024.adolescence.GLU/rs2710323_count_position.png",4,220,900)</f>
        <v/>
      </c>
      <c r="T2601">
        <f>IMAGE("https://mitra.stanford.edu/kundaje/oak/projects/neuro-variants/variant_position/credible/roussos_2024/variant_figures/roussos_2024.adolescence.GLU/rs2710323_profile_position.png",4,220,900)</f>
        <v/>
      </c>
    </row>
    <row r="2602">
      <c r="A2602" t="inlineStr">
        <is>
          <t>chr3</t>
        </is>
      </c>
      <c r="B2602" t="n">
        <v>52820897</v>
      </c>
      <c r="C2602" t="inlineStr">
        <is>
          <t>G</t>
        </is>
      </c>
      <c r="D2602" t="inlineStr">
        <is>
          <t>A</t>
        </is>
      </c>
      <c r="E2602" t="inlineStr">
        <is>
          <t>rs2535646</t>
        </is>
      </c>
      <c r="F2602" t="n">
        <v>-0.00862681364</v>
      </c>
      <c r="G2602" t="n">
        <v>0.5813774659025253</v>
      </c>
      <c r="H2602" t="n">
        <v>0.0107618998419545</v>
      </c>
      <c r="I2602" t="n">
        <v>0.4603489922391954</v>
      </c>
      <c r="J2602" t="n">
        <v>0.6281872673625252</v>
      </c>
      <c r="K2602" t="n">
        <v>0.0294632275994722</v>
      </c>
      <c r="L2602" t="b">
        <v>0</v>
      </c>
      <c r="M2602" t="b">
        <v>0</v>
      </c>
      <c r="N2602" t="inlineStr">
        <is>
          <t>ref</t>
        </is>
      </c>
      <c r="O2602" t="n">
        <v>-30</v>
      </c>
      <c r="P2602" t="n">
        <v>0.003357</v>
      </c>
      <c r="Q2602" t="n">
        <v>-60</v>
      </c>
      <c r="R2602" t="n">
        <v>0.12085</v>
      </c>
      <c r="S2602">
        <f>IMAGE("https://mitra.stanford.edu/kundaje/oak/projects/neuro-variants/variant_position/credible/roussos_2024/variant_figures/roussos_2024.adolescence.GLU/rs2535646_count_position.png",4,220,900)</f>
        <v/>
      </c>
      <c r="T2602">
        <f>IMAGE("https://mitra.stanford.edu/kundaje/oak/projects/neuro-variants/variant_position/credible/roussos_2024/variant_figures/roussos_2024.adolescence.GLU/rs2535646_profile_position.png",4,220,900)</f>
        <v/>
      </c>
    </row>
    <row r="2603">
      <c r="A2603" t="inlineStr">
        <is>
          <t>chr3</t>
        </is>
      </c>
      <c r="B2603" t="n">
        <v>52894317</v>
      </c>
      <c r="C2603" t="inlineStr">
        <is>
          <t>G</t>
        </is>
      </c>
      <c r="D2603" t="inlineStr">
        <is>
          <t>A</t>
        </is>
      </c>
      <c r="E2603" t="inlineStr">
        <is>
          <t>rs62253582</t>
        </is>
      </c>
      <c r="F2603" t="n">
        <v>-0.069392439</v>
      </c>
      <c r="G2603" t="n">
        <v>0.0368234086028093</v>
      </c>
      <c r="H2603" t="n">
        <v>0.0164233813398184</v>
      </c>
      <c r="I2603" t="n">
        <v>0.1580818532421618</v>
      </c>
      <c r="J2603" t="n">
        <v>0.323111215894721</v>
      </c>
      <c r="K2603" t="n">
        <v>0.2449432349697337</v>
      </c>
      <c r="L2603" t="b">
        <v>0</v>
      </c>
      <c r="M2603" t="b">
        <v>0</v>
      </c>
      <c r="N2603" t="inlineStr">
        <is>
          <t>ref</t>
        </is>
      </c>
      <c r="O2603" t="n">
        <v>-100</v>
      </c>
      <c r="P2603" t="n">
        <v>0.006966</v>
      </c>
      <c r="Q2603" t="n">
        <v>-100</v>
      </c>
      <c r="R2603" t="n">
        <v>0.2096</v>
      </c>
      <c r="S2603">
        <f>IMAGE("https://mitra.stanford.edu/kundaje/oak/projects/neuro-variants/variant_position/credible/roussos_2024/variant_figures/roussos_2024.adolescence.GLU/rs62253582_count_position.png",4,220,900)</f>
        <v/>
      </c>
      <c r="T2603">
        <f>IMAGE("https://mitra.stanford.edu/kundaje/oak/projects/neuro-variants/variant_position/credible/roussos_2024/variant_figures/roussos_2024.adolescence.GLU/rs62253582_profile_position.png",4,220,900)</f>
        <v/>
      </c>
    </row>
    <row r="2604">
      <c r="A2604" t="inlineStr">
        <is>
          <t>chr3</t>
        </is>
      </c>
      <c r="B2604" t="n">
        <v>52894318</v>
      </c>
      <c r="C2604" t="inlineStr">
        <is>
          <t>G</t>
        </is>
      </c>
      <c r="D2604" t="inlineStr">
        <is>
          <t>A</t>
        </is>
      </c>
      <c r="E2604" t="inlineStr">
        <is>
          <t>rs62253583</t>
        </is>
      </c>
      <c r="F2604" t="n">
        <v>-0.07345171859999999</v>
      </c>
      <c r="G2604" t="n">
        <v>0.0323090852250224</v>
      </c>
      <c r="H2604" t="n">
        <v>0.0178733225271944</v>
      </c>
      <c r="I2604" t="n">
        <v>0.1143727005024862</v>
      </c>
      <c r="J2604" t="n">
        <v>0.3229911910324281</v>
      </c>
      <c r="K2604" t="n">
        <v>0.2450785821817635</v>
      </c>
      <c r="L2604" t="b">
        <v>0</v>
      </c>
      <c r="M2604" t="b">
        <v>0</v>
      </c>
      <c r="N2604" t="inlineStr">
        <is>
          <t>ref</t>
        </is>
      </c>
      <c r="O2604" t="n">
        <v>100</v>
      </c>
      <c r="P2604" t="n">
        <v>0.005653</v>
      </c>
      <c r="Q2604" t="n">
        <v>-100</v>
      </c>
      <c r="R2604" t="n">
        <v>0.1953</v>
      </c>
      <c r="S2604">
        <f>IMAGE("https://mitra.stanford.edu/kundaje/oak/projects/neuro-variants/variant_position/credible/roussos_2024/variant_figures/roussos_2024.adolescence.GLU/rs62253583_count_position.png",4,220,900)</f>
        <v/>
      </c>
      <c r="T2604">
        <f>IMAGE("https://mitra.stanford.edu/kundaje/oak/projects/neuro-variants/variant_position/credible/roussos_2024/variant_figures/roussos_2024.adolescence.GLU/rs62253583_profile_position.png",4,220,900)</f>
        <v/>
      </c>
    </row>
    <row r="2605">
      <c r="A2605" t="inlineStr">
        <is>
          <t>chr3</t>
        </is>
      </c>
      <c r="B2605" t="n">
        <v>52957291</v>
      </c>
      <c r="C2605" t="inlineStr">
        <is>
          <t>A</t>
        </is>
      </c>
      <c r="D2605" t="inlineStr">
        <is>
          <t>T</t>
        </is>
      </c>
      <c r="E2605" t="inlineStr">
        <is>
          <t>rs2465101</t>
        </is>
      </c>
      <c r="F2605" t="n">
        <v>-0.002787002492</v>
      </c>
      <c r="G2605" t="n">
        <v>0.8147523517560865</v>
      </c>
      <c r="H2605" t="n">
        <v>0.0133753734371107</v>
      </c>
      <c r="I2605" t="n">
        <v>0.2334000200114741</v>
      </c>
      <c r="J2605" t="n">
        <v>0.1123218380950339</v>
      </c>
      <c r="K2605" t="n">
        <v>0.5481517114512704</v>
      </c>
      <c r="L2605" t="b">
        <v>0</v>
      </c>
      <c r="M2605" t="b">
        <v>0</v>
      </c>
      <c r="N2605" t="inlineStr">
        <is>
          <t>ref</t>
        </is>
      </c>
      <c r="O2605" t="n">
        <v>75</v>
      </c>
      <c r="P2605" t="n">
        <v>0.00959</v>
      </c>
      <c r="Q2605" t="n">
        <v>-100</v>
      </c>
      <c r="R2605" t="n">
        <v>0.1768</v>
      </c>
      <c r="S2605">
        <f>IMAGE("https://mitra.stanford.edu/kundaje/oak/projects/neuro-variants/variant_position/credible/roussos_2024/variant_figures/roussos_2024.adolescence.GLU/rs2465101_count_position.png",4,220,900)</f>
        <v/>
      </c>
      <c r="T2605">
        <f>IMAGE("https://mitra.stanford.edu/kundaje/oak/projects/neuro-variants/variant_position/credible/roussos_2024/variant_figures/roussos_2024.adolescence.GLU/rs2465101_profile_position.png",4,220,900)</f>
        <v/>
      </c>
    </row>
    <row r="2606">
      <c r="A2606" t="inlineStr">
        <is>
          <t>chr3</t>
        </is>
      </c>
      <c r="B2606" t="n">
        <v>52975579</v>
      </c>
      <c r="C2606" t="inlineStr">
        <is>
          <t>T</t>
        </is>
      </c>
      <c r="D2606" t="inlineStr">
        <is>
          <t>C</t>
        </is>
      </c>
      <c r="E2606" t="inlineStr">
        <is>
          <t>rs6801235</t>
        </is>
      </c>
      <c r="F2606" t="n">
        <v>-0.0127963562</v>
      </c>
      <c r="G2606" t="n">
        <v>0.4781658083937998</v>
      </c>
      <c r="H2606" t="n">
        <v>0.0105762081234432</v>
      </c>
      <c r="I2606" t="n">
        <v>0.4762124565237372</v>
      </c>
      <c r="J2606" t="n">
        <v>0.0457437612076786</v>
      </c>
      <c r="K2606" t="n">
        <v>0.7141780886238402</v>
      </c>
      <c r="L2606" t="b">
        <v>0</v>
      </c>
      <c r="M2606" t="b">
        <v>0</v>
      </c>
      <c r="N2606" t="inlineStr">
        <is>
          <t>ref</t>
        </is>
      </c>
      <c r="O2606" t="n">
        <v>-90</v>
      </c>
      <c r="P2606" t="n">
        <v>0.009605000000000001</v>
      </c>
      <c r="Q2606" t="n">
        <v>75</v>
      </c>
      <c r="R2606" t="n">
        <v>0.001221</v>
      </c>
      <c r="S2606">
        <f>IMAGE("https://mitra.stanford.edu/kundaje/oak/projects/neuro-variants/variant_position/credible/roussos_2024/variant_figures/roussos_2024.adolescence.GLU/rs6801235_count_position.png",4,220,900)</f>
        <v/>
      </c>
      <c r="T2606">
        <f>IMAGE("https://mitra.stanford.edu/kundaje/oak/projects/neuro-variants/variant_position/credible/roussos_2024/variant_figures/roussos_2024.adolescence.GLU/rs6801235_profile_position.png",4,220,900)</f>
        <v/>
      </c>
    </row>
    <row r="2607">
      <c r="A2607" t="inlineStr">
        <is>
          <t>chr3</t>
        </is>
      </c>
      <c r="B2607" t="n">
        <v>52980641</v>
      </c>
      <c r="C2607" t="inlineStr">
        <is>
          <t>C</t>
        </is>
      </c>
      <c r="D2607" t="inlineStr">
        <is>
          <t>T</t>
        </is>
      </c>
      <c r="E2607" t="inlineStr">
        <is>
          <t>rs2581816</t>
        </is>
      </c>
      <c r="F2607" t="n">
        <v>-0.007935839809999999</v>
      </c>
      <c r="G2607" t="n">
        <v>0.6058430811114131</v>
      </c>
      <c r="H2607" t="n">
        <v>0.0101910880777236</v>
      </c>
      <c r="I2607" t="n">
        <v>0.5116434657368287</v>
      </c>
      <c r="J2607" t="n">
        <v>0.184308178122611</v>
      </c>
      <c r="K2607" t="n">
        <v>0.4243558938055511</v>
      </c>
      <c r="L2607" t="b">
        <v>0</v>
      </c>
      <c r="M2607" t="b">
        <v>0</v>
      </c>
      <c r="N2607" t="inlineStr">
        <is>
          <t>ref</t>
        </is>
      </c>
      <c r="O2607" t="n">
        <v>35</v>
      </c>
      <c r="P2607" t="n">
        <v>0.00537</v>
      </c>
      <c r="Q2607" t="n">
        <v>-30</v>
      </c>
      <c r="R2607" t="n">
        <v>0.02325</v>
      </c>
      <c r="S2607">
        <f>IMAGE("https://mitra.stanford.edu/kundaje/oak/projects/neuro-variants/variant_position/credible/roussos_2024/variant_figures/roussos_2024.adolescence.GLU/rs2581816_count_position.png",4,220,900)</f>
        <v/>
      </c>
      <c r="T2607">
        <f>IMAGE("https://mitra.stanford.edu/kundaje/oak/projects/neuro-variants/variant_position/credible/roussos_2024/variant_figures/roussos_2024.adolescence.GLU/rs2581816_profile_position.png",4,220,900)</f>
        <v/>
      </c>
    </row>
    <row r="2608">
      <c r="A2608" t="inlineStr">
        <is>
          <t>chr3</t>
        </is>
      </c>
      <c r="B2608" t="n">
        <v>52992088</v>
      </c>
      <c r="C2608" t="inlineStr">
        <is>
          <t>T</t>
        </is>
      </c>
      <c r="D2608" t="inlineStr">
        <is>
          <t>C</t>
        </is>
      </c>
      <c r="E2608" t="inlineStr">
        <is>
          <t>rs6771610</t>
        </is>
      </c>
      <c r="F2608" t="n">
        <v>0.0176701048</v>
      </c>
      <c r="G2608" t="n">
        <v>0.3173525165527394</v>
      </c>
      <c r="H2608" t="n">
        <v>0.0086545502379228</v>
      </c>
      <c r="I2608" t="n">
        <v>0.6770732575883466</v>
      </c>
      <c r="J2608" t="n">
        <v>0.1827721456587435</v>
      </c>
      <c r="K2608" t="n">
        <v>0.4316207041140915</v>
      </c>
      <c r="L2608" t="b">
        <v>0</v>
      </c>
      <c r="M2608" t="b">
        <v>0</v>
      </c>
      <c r="N2608" t="inlineStr">
        <is>
          <t>alt</t>
        </is>
      </c>
      <c r="O2608" t="n">
        <v>-85</v>
      </c>
      <c r="P2608" t="n">
        <v>0.00389</v>
      </c>
      <c r="Q2608" t="n">
        <v>-20</v>
      </c>
      <c r="R2608" t="n">
        <v>0.001709</v>
      </c>
      <c r="S2608">
        <f>IMAGE("https://mitra.stanford.edu/kundaje/oak/projects/neuro-variants/variant_position/credible/roussos_2024/variant_figures/roussos_2024.adolescence.GLU/rs6771610_count_position.png",4,220,900)</f>
        <v/>
      </c>
      <c r="T2608">
        <f>IMAGE("https://mitra.stanford.edu/kundaje/oak/projects/neuro-variants/variant_position/credible/roussos_2024/variant_figures/roussos_2024.adolescence.GLU/rs6771610_profile_position.png",4,220,900)</f>
        <v/>
      </c>
    </row>
    <row r="2609">
      <c r="A2609" t="inlineStr">
        <is>
          <t>chr3</t>
        </is>
      </c>
      <c r="B2609" t="n">
        <v>53235301</v>
      </c>
      <c r="C2609" t="inlineStr">
        <is>
          <t>T</t>
        </is>
      </c>
      <c r="D2609" t="inlineStr">
        <is>
          <t>C</t>
        </is>
      </c>
      <c r="E2609" t="inlineStr">
        <is>
          <t>rs2035450</t>
        </is>
      </c>
      <c r="F2609" t="n">
        <v>0.0486463354</v>
      </c>
      <c r="G2609" t="n">
        <v>0.0636143363284004</v>
      </c>
      <c r="H2609" t="n">
        <v>0.0107915862986657</v>
      </c>
      <c r="I2609" t="n">
        <v>0.4370835735527184</v>
      </c>
      <c r="J2609" t="n">
        <v>0.4912746211715283</v>
      </c>
      <c r="K2609" t="n">
        <v>0.0936922026445591</v>
      </c>
      <c r="L2609" t="b">
        <v>0</v>
      </c>
      <c r="M2609" t="b">
        <v>0</v>
      </c>
      <c r="N2609" t="inlineStr">
        <is>
          <t>alt</t>
        </is>
      </c>
      <c r="O2609" t="n">
        <v>80</v>
      </c>
      <c r="P2609" t="n">
        <v>0.003143</v>
      </c>
      <c r="Q2609" t="n">
        <v>-40</v>
      </c>
      <c r="R2609" t="n">
        <v>0.04312</v>
      </c>
      <c r="S2609">
        <f>IMAGE("https://mitra.stanford.edu/kundaje/oak/projects/neuro-variants/variant_position/credible/roussos_2024/variant_figures/roussos_2024.adolescence.GLU/rs2035450_count_position.png",4,220,900)</f>
        <v/>
      </c>
      <c r="T2609">
        <f>IMAGE("https://mitra.stanford.edu/kundaje/oak/projects/neuro-variants/variant_position/credible/roussos_2024/variant_figures/roussos_2024.adolescence.GLU/rs2035450_profile_position.png",4,220,900)</f>
        <v/>
      </c>
    </row>
    <row r="2610">
      <c r="A2610" t="inlineStr">
        <is>
          <t>chr3</t>
        </is>
      </c>
      <c r="B2610" t="n">
        <v>53236328</v>
      </c>
      <c r="C2610" t="inlineStr">
        <is>
          <t>T</t>
        </is>
      </c>
      <c r="D2610" t="inlineStr">
        <is>
          <t>C</t>
        </is>
      </c>
      <c r="E2610" t="inlineStr">
        <is>
          <t>rs3773744</t>
        </is>
      </c>
      <c r="F2610" t="n">
        <v>0.02018005376</v>
      </c>
      <c r="G2610" t="n">
        <v>0.2970225393500736</v>
      </c>
      <c r="H2610" t="n">
        <v>0.0124961804350045</v>
      </c>
      <c r="I2610" t="n">
        <v>0.2857225378886723</v>
      </c>
      <c r="J2610" t="n">
        <v>0.5098999078380522</v>
      </c>
      <c r="K2610" t="n">
        <v>0.0832991953974502</v>
      </c>
      <c r="L2610" t="b">
        <v>0</v>
      </c>
      <c r="M2610" t="b">
        <v>0</v>
      </c>
      <c r="N2610" t="inlineStr">
        <is>
          <t>alt</t>
        </is>
      </c>
      <c r="O2610" t="n">
        <v>-60</v>
      </c>
      <c r="P2610" t="n">
        <v>0.00277</v>
      </c>
      <c r="Q2610" t="n">
        <v>-45</v>
      </c>
      <c r="R2610" t="n">
        <v>0.02783</v>
      </c>
      <c r="S2610">
        <f>IMAGE("https://mitra.stanford.edu/kundaje/oak/projects/neuro-variants/variant_position/credible/roussos_2024/variant_figures/roussos_2024.adolescence.GLU/rs3773744_count_position.png",4,220,900)</f>
        <v/>
      </c>
      <c r="T2610">
        <f>IMAGE("https://mitra.stanford.edu/kundaje/oak/projects/neuro-variants/variant_position/credible/roussos_2024/variant_figures/roussos_2024.adolescence.GLU/rs3773744_profile_position.png",4,220,900)</f>
        <v/>
      </c>
    </row>
    <row r="2611">
      <c r="A2611" t="inlineStr">
        <is>
          <t>chr3</t>
        </is>
      </c>
      <c r="B2611" t="n">
        <v>53259970</v>
      </c>
      <c r="C2611" t="inlineStr">
        <is>
          <t>G</t>
        </is>
      </c>
      <c r="D2611" t="inlineStr">
        <is>
          <t>A</t>
        </is>
      </c>
      <c r="E2611" t="inlineStr">
        <is>
          <t>rs12490667</t>
        </is>
      </c>
      <c r="F2611" t="n">
        <v>-0.0126900298599999</v>
      </c>
      <c r="G2611" t="n">
        <v>0.4466517978976603</v>
      </c>
      <c r="H2611" t="n">
        <v>0.0091963302415729</v>
      </c>
      <c r="I2611" t="n">
        <v>0.6154553444527465</v>
      </c>
      <c r="J2611" t="n">
        <v>0.355380757442613</v>
      </c>
      <c r="K2611" t="n">
        <v>0.2106097254023677</v>
      </c>
      <c r="L2611" t="b">
        <v>0</v>
      </c>
      <c r="M2611" t="b">
        <v>0</v>
      </c>
      <c r="N2611" t="inlineStr">
        <is>
          <t>ref</t>
        </is>
      </c>
      <c r="O2611" t="n">
        <v>-40</v>
      </c>
      <c r="P2611" t="n">
        <v>0.0004501</v>
      </c>
      <c r="Q2611" t="n">
        <v>10</v>
      </c>
      <c r="R2611" t="n">
        <v>0.002716</v>
      </c>
      <c r="S2611">
        <f>IMAGE("https://mitra.stanford.edu/kundaje/oak/projects/neuro-variants/variant_position/credible/roussos_2024/variant_figures/roussos_2024.adolescence.GLU/rs12490667_count_position.png",4,220,900)</f>
        <v/>
      </c>
      <c r="T2611">
        <f>IMAGE("https://mitra.stanford.edu/kundaje/oak/projects/neuro-variants/variant_position/credible/roussos_2024/variant_figures/roussos_2024.adolescence.GLU/rs12490667_profile_position.png",4,220,900)</f>
        <v/>
      </c>
    </row>
    <row r="2612">
      <c r="A2612" t="inlineStr">
        <is>
          <t>chr3</t>
        </is>
      </c>
      <c r="B2612" t="n">
        <v>53421542</v>
      </c>
      <c r="C2612" t="inlineStr">
        <is>
          <t>G</t>
        </is>
      </c>
      <c r="D2612" t="inlineStr">
        <is>
          <t>T</t>
        </is>
      </c>
      <c r="E2612" t="inlineStr">
        <is>
          <t>rs2358740</t>
        </is>
      </c>
      <c r="F2612" t="n">
        <v>0.00888027292</v>
      </c>
      <c r="G2612" t="n">
        <v>0.5516140367993828</v>
      </c>
      <c r="H2612" t="n">
        <v>0.0130832748306651</v>
      </c>
      <c r="I2612" t="n">
        <v>0.2454208721089265</v>
      </c>
      <c r="J2612" t="n">
        <v>0.2172850090375863</v>
      </c>
      <c r="K2612" t="n">
        <v>0.377440429661466</v>
      </c>
      <c r="L2612" t="b">
        <v>0</v>
      </c>
      <c r="M2612" t="b">
        <v>0</v>
      </c>
      <c r="N2612" t="inlineStr">
        <is>
          <t>alt</t>
        </is>
      </c>
      <c r="O2612" t="n">
        <v>80</v>
      </c>
      <c r="P2612" t="n">
        <v>0.00707</v>
      </c>
      <c r="Q2612" t="n">
        <v>-80</v>
      </c>
      <c r="R2612" t="n">
        <v>0.03528</v>
      </c>
      <c r="S2612">
        <f>IMAGE("https://mitra.stanford.edu/kundaje/oak/projects/neuro-variants/variant_position/credible/roussos_2024/variant_figures/roussos_2024.adolescence.GLU/rs2358740_count_position.png",4,220,900)</f>
        <v/>
      </c>
      <c r="T2612">
        <f>IMAGE("https://mitra.stanford.edu/kundaje/oak/projects/neuro-variants/variant_position/credible/roussos_2024/variant_figures/roussos_2024.adolescence.GLU/rs2358740_profile_position.png",4,220,900)</f>
        <v/>
      </c>
    </row>
    <row r="2613">
      <c r="A2613" t="inlineStr">
        <is>
          <t>chr3</t>
        </is>
      </c>
      <c r="B2613" t="n">
        <v>53441047</v>
      </c>
      <c r="C2613" t="inlineStr">
        <is>
          <t>T</t>
        </is>
      </c>
      <c r="D2613" t="inlineStr">
        <is>
          <t>C</t>
        </is>
      </c>
      <c r="E2613" t="inlineStr">
        <is>
          <t>rs9799015</t>
        </is>
      </c>
      <c r="F2613" t="n">
        <v>0.061622145</v>
      </c>
      <c r="G2613" t="n">
        <v>0.0388553262345972</v>
      </c>
      <c r="H2613" t="n">
        <v>0.0183240513552335</v>
      </c>
      <c r="I2613" t="n">
        <v>0.09172291853139</v>
      </c>
      <c r="J2613" t="n">
        <v>0.0345042901743932</v>
      </c>
      <c r="K2613" t="n">
        <v>0.7526776361782599</v>
      </c>
      <c r="L2613" t="b">
        <v>0</v>
      </c>
      <c r="M2613" t="b">
        <v>0</v>
      </c>
      <c r="N2613" t="inlineStr">
        <is>
          <t>alt</t>
        </is>
      </c>
      <c r="O2613" t="n">
        <v>-10</v>
      </c>
      <c r="P2613" t="n">
        <v>0.0004272</v>
      </c>
      <c r="Q2613" t="n">
        <v>-50</v>
      </c>
      <c r="R2613" t="n">
        <v>0.04852</v>
      </c>
      <c r="S2613">
        <f>IMAGE("https://mitra.stanford.edu/kundaje/oak/projects/neuro-variants/variant_position/credible/roussos_2024/variant_figures/roussos_2024.adolescence.GLU/rs9799015_count_position.png",4,220,900)</f>
        <v/>
      </c>
      <c r="T2613">
        <f>IMAGE("https://mitra.stanford.edu/kundaje/oak/projects/neuro-variants/variant_position/credible/roussos_2024/variant_figures/roussos_2024.adolescence.GLU/rs9799015_profile_position.png",4,220,900)</f>
        <v/>
      </c>
    </row>
    <row r="2614">
      <c r="A2614" t="inlineStr">
        <is>
          <t>chr3</t>
        </is>
      </c>
      <c r="B2614" t="n">
        <v>53474106</v>
      </c>
      <c r="C2614" t="inlineStr">
        <is>
          <t>C</t>
        </is>
      </c>
      <c r="D2614" t="inlineStr">
        <is>
          <t>A</t>
        </is>
      </c>
      <c r="E2614" t="inlineStr">
        <is>
          <t>rs11715213</t>
        </is>
      </c>
      <c r="F2614" t="n">
        <v>-0.00284224588</v>
      </c>
      <c r="G2614" t="n">
        <v>0.7161856765902417</v>
      </c>
      <c r="H2614" t="n">
        <v>0.0381491207986222</v>
      </c>
      <c r="I2614" t="n">
        <v>0.0034654732292521</v>
      </c>
      <c r="J2614" t="n">
        <v>0.1401033071136163</v>
      </c>
      <c r="K2614" t="n">
        <v>0.5004897901704134</v>
      </c>
      <c r="L2614" t="b">
        <v>1</v>
      </c>
      <c r="M2614" t="b">
        <v>1</v>
      </c>
      <c r="N2614" t="inlineStr">
        <is>
          <t>ref</t>
        </is>
      </c>
      <c r="O2614" t="n">
        <v>-30</v>
      </c>
      <c r="P2614" t="n">
        <v>0.0001831</v>
      </c>
      <c r="Q2614" t="n">
        <v>-100</v>
      </c>
      <c r="R2614" t="n">
        <v>0.04388</v>
      </c>
      <c r="S2614">
        <f>IMAGE("https://mitra.stanford.edu/kundaje/oak/projects/neuro-variants/variant_position/credible/roussos_2024/variant_figures/roussos_2024.adolescence.GLU/rs11715213_count_position.png",4,220,900)</f>
        <v/>
      </c>
      <c r="T2614">
        <f>IMAGE("https://mitra.stanford.edu/kundaje/oak/projects/neuro-variants/variant_position/credible/roussos_2024/variant_figures/roussos_2024.adolescence.GLU/rs11715213_profile_position.png",4,220,900)</f>
        <v/>
      </c>
    </row>
    <row r="2615">
      <c r="A2615" t="inlineStr">
        <is>
          <t>chr3</t>
        </is>
      </c>
      <c r="B2615" t="n">
        <v>53485740</v>
      </c>
      <c r="C2615" t="inlineStr">
        <is>
          <t>G</t>
        </is>
      </c>
      <c r="D2615" t="inlineStr">
        <is>
          <t>A</t>
        </is>
      </c>
      <c r="E2615" t="inlineStr">
        <is>
          <t>rs998411</t>
        </is>
      </c>
      <c r="F2615" t="n">
        <v>-0.00257325976</v>
      </c>
      <c r="G2615" t="n">
        <v>0.7763088639677653</v>
      </c>
      <c r="H2615" t="n">
        <v>0.0138159331917449</v>
      </c>
      <c r="I2615" t="n">
        <v>0.2062374183859091</v>
      </c>
      <c r="J2615" t="n">
        <v>0.0405812632616755</v>
      </c>
      <c r="K2615" t="n">
        <v>0.7330899440801073</v>
      </c>
      <c r="L2615" t="b">
        <v>0</v>
      </c>
      <c r="M2615" t="b">
        <v>0</v>
      </c>
      <c r="N2615" t="inlineStr">
        <is>
          <t>ref</t>
        </is>
      </c>
      <c r="O2615" t="n">
        <v>90</v>
      </c>
      <c r="P2615" t="n">
        <v>0.01005</v>
      </c>
      <c r="Q2615" t="n">
        <v>-70</v>
      </c>
      <c r="R2615" t="n">
        <v>0.04745</v>
      </c>
      <c r="S2615">
        <f>IMAGE("https://mitra.stanford.edu/kundaje/oak/projects/neuro-variants/variant_position/credible/roussos_2024/variant_figures/roussos_2024.adolescence.GLU/rs998411_count_position.png",4,220,900)</f>
        <v/>
      </c>
      <c r="T2615">
        <f>IMAGE("https://mitra.stanford.edu/kundaje/oak/projects/neuro-variants/variant_position/credible/roussos_2024/variant_figures/roussos_2024.adolescence.GLU/rs998411_profile_position.png",4,220,900)</f>
        <v/>
      </c>
    </row>
    <row r="2616">
      <c r="A2616" t="inlineStr">
        <is>
          <t>chr3</t>
        </is>
      </c>
      <c r="B2616" t="n">
        <v>60291445</v>
      </c>
      <c r="C2616" t="inlineStr">
        <is>
          <t>A</t>
        </is>
      </c>
      <c r="D2616" t="inlineStr">
        <is>
          <t>C</t>
        </is>
      </c>
      <c r="E2616" t="inlineStr">
        <is>
          <t>rs10049216</t>
        </is>
      </c>
      <c r="F2616" t="n">
        <v>0.1090741986</v>
      </c>
      <c r="G2616" t="n">
        <v>0.0078601153007723</v>
      </c>
      <c r="H2616" t="n">
        <v>0.0246387495198785</v>
      </c>
      <c r="I2616" t="n">
        <v>0.0224636707673053</v>
      </c>
      <c r="J2616" t="n">
        <v>0.33056990376578</v>
      </c>
      <c r="K2616" t="n">
        <v>0.2375129035766504</v>
      </c>
      <c r="L2616" t="b">
        <v>1</v>
      </c>
      <c r="M2616" t="b">
        <v>1</v>
      </c>
      <c r="N2616" t="inlineStr">
        <is>
          <t>alt</t>
        </is>
      </c>
      <c r="O2616" t="n">
        <v>90</v>
      </c>
      <c r="P2616" t="n">
        <v>0.10645</v>
      </c>
      <c r="Q2616" t="n">
        <v>35</v>
      </c>
      <c r="R2616" t="n">
        <v>0.04907</v>
      </c>
      <c r="S2616">
        <f>IMAGE("https://mitra.stanford.edu/kundaje/oak/projects/neuro-variants/variant_position/credible/roussos_2024/variant_figures/roussos_2024.adolescence.GLU/rs10049216_count_position.png",4,220,900)</f>
        <v/>
      </c>
      <c r="T2616">
        <f>IMAGE("https://mitra.stanford.edu/kundaje/oak/projects/neuro-variants/variant_position/credible/roussos_2024/variant_figures/roussos_2024.adolescence.GLU/rs10049216_profile_position.png",4,220,900)</f>
        <v/>
      </c>
    </row>
    <row r="2617">
      <c r="A2617" t="inlineStr">
        <is>
          <t>chr3</t>
        </is>
      </c>
      <c r="B2617" t="n">
        <v>60307186</v>
      </c>
      <c r="C2617" t="inlineStr">
        <is>
          <t>C</t>
        </is>
      </c>
      <c r="D2617" t="inlineStr">
        <is>
          <t>G</t>
        </is>
      </c>
      <c r="E2617" t="inlineStr">
        <is>
          <t>rs4679526</t>
        </is>
      </c>
      <c r="F2617" t="n">
        <v>-0.0374814973999999</v>
      </c>
      <c r="G2617" t="n">
        <v>0.1299249644961203</v>
      </c>
      <c r="H2617" t="n">
        <v>0.0193635717523029</v>
      </c>
      <c r="I2617" t="n">
        <v>0.0727997712614596</v>
      </c>
      <c r="J2617" t="n">
        <v>0.1113730701359567</v>
      </c>
      <c r="K2617" t="n">
        <v>0.5490967824514776</v>
      </c>
      <c r="L2617" t="b">
        <v>0</v>
      </c>
      <c r="M2617" t="b">
        <v>0</v>
      </c>
      <c r="N2617" t="inlineStr">
        <is>
          <t>ref</t>
        </is>
      </c>
      <c r="O2617" t="n">
        <v>20</v>
      </c>
      <c r="P2617" t="n">
        <v>0.0002575</v>
      </c>
      <c r="Q2617" t="n">
        <v>70</v>
      </c>
      <c r="R2617" t="n">
        <v>0.0451</v>
      </c>
      <c r="S2617">
        <f>IMAGE("https://mitra.stanford.edu/kundaje/oak/projects/neuro-variants/variant_position/credible/roussos_2024/variant_figures/roussos_2024.adolescence.GLU/rs4679526_count_position.png",4,220,900)</f>
        <v/>
      </c>
      <c r="T2617">
        <f>IMAGE("https://mitra.stanford.edu/kundaje/oak/projects/neuro-variants/variant_position/credible/roussos_2024/variant_figures/roussos_2024.adolescence.GLU/rs4679526_profile_position.png",4,220,900)</f>
        <v/>
      </c>
    </row>
    <row r="2618">
      <c r="A2618" t="inlineStr">
        <is>
          <t>chr3</t>
        </is>
      </c>
      <c r="B2618" t="n">
        <v>60324743</v>
      </c>
      <c r="C2618" t="inlineStr">
        <is>
          <t>G</t>
        </is>
      </c>
      <c r="D2618" t="inlineStr">
        <is>
          <t>T</t>
        </is>
      </c>
      <c r="E2618" t="inlineStr">
        <is>
          <t>rs1882900</t>
        </is>
      </c>
      <c r="F2618" t="n">
        <v>0.0069492312399999</v>
      </c>
      <c r="G2618" t="n">
        <v>0.6417272515309669</v>
      </c>
      <c r="H2618" t="n">
        <v>0.0226659096830699</v>
      </c>
      <c r="I2618" t="n">
        <v>0.033333737806036</v>
      </c>
      <c r="J2618" t="n">
        <v>0.0348129255345749</v>
      </c>
      <c r="K2618" t="n">
        <v>0.7536289665188434</v>
      </c>
      <c r="L2618" t="b">
        <v>0</v>
      </c>
      <c r="M2618" t="b">
        <v>0</v>
      </c>
      <c r="N2618" t="inlineStr">
        <is>
          <t>alt</t>
        </is>
      </c>
      <c r="O2618" t="n">
        <v>-100</v>
      </c>
      <c r="P2618" t="n">
        <v>0.08386</v>
      </c>
      <c r="Q2618" t="n">
        <v>-100</v>
      </c>
      <c r="R2618" t="n">
        <v>0.2029</v>
      </c>
      <c r="S2618">
        <f>IMAGE("https://mitra.stanford.edu/kundaje/oak/projects/neuro-variants/variant_position/credible/roussos_2024/variant_figures/roussos_2024.adolescence.GLU/rs1882900_count_position.png",4,220,900)</f>
        <v/>
      </c>
      <c r="T2618">
        <f>IMAGE("https://mitra.stanford.edu/kundaje/oak/projects/neuro-variants/variant_position/credible/roussos_2024/variant_figures/roussos_2024.adolescence.GLU/rs1882900_profile_position.png",4,220,900)</f>
        <v/>
      </c>
    </row>
    <row r="2619">
      <c r="A2619" t="inlineStr">
        <is>
          <t>chr3</t>
        </is>
      </c>
      <c r="B2619" t="n">
        <v>60346500</v>
      </c>
      <c r="C2619" t="inlineStr">
        <is>
          <t>T</t>
        </is>
      </c>
      <c r="D2619" t="inlineStr">
        <is>
          <t>C</t>
        </is>
      </c>
      <c r="E2619" t="inlineStr">
        <is>
          <t>rs6787076</t>
        </is>
      </c>
      <c r="F2619" t="n">
        <v>0.0927726562</v>
      </c>
      <c r="G2619" t="n">
        <v>0.0095373586192342</v>
      </c>
      <c r="H2619" t="n">
        <v>0.0164115041609568</v>
      </c>
      <c r="I2619" t="n">
        <v>0.1150312452566858</v>
      </c>
      <c r="J2619" t="n">
        <v>0.235031542248037</v>
      </c>
      <c r="K2619" t="n">
        <v>0.3427761694773604</v>
      </c>
      <c r="L2619" t="b">
        <v>1</v>
      </c>
      <c r="M2619" t="b">
        <v>1</v>
      </c>
      <c r="N2619" t="inlineStr">
        <is>
          <t>alt</t>
        </is>
      </c>
      <c r="O2619" t="n">
        <v>-10</v>
      </c>
      <c r="P2619" t="n">
        <v>0.001938</v>
      </c>
      <c r="Q2619" t="n">
        <v>25</v>
      </c>
      <c r="R2619" t="n">
        <v>0.0349</v>
      </c>
      <c r="S2619">
        <f>IMAGE("https://mitra.stanford.edu/kundaje/oak/projects/neuro-variants/variant_position/credible/roussos_2024/variant_figures/roussos_2024.adolescence.GLU/rs6787076_count_position.png",4,220,900)</f>
        <v/>
      </c>
      <c r="T2619">
        <f>IMAGE("https://mitra.stanford.edu/kundaje/oak/projects/neuro-variants/variant_position/credible/roussos_2024/variant_figures/roussos_2024.adolescence.GLU/rs6787076_profile_position.png",4,220,900)</f>
        <v/>
      </c>
    </row>
    <row r="2620">
      <c r="A2620" t="inlineStr">
        <is>
          <t>chr3</t>
        </is>
      </c>
      <c r="B2620" t="n">
        <v>60384629</v>
      </c>
      <c r="C2620" t="inlineStr">
        <is>
          <t>G</t>
        </is>
      </c>
      <c r="D2620" t="inlineStr">
        <is>
          <t>A</t>
        </is>
      </c>
      <c r="E2620" t="inlineStr">
        <is>
          <t>rs9847855</t>
        </is>
      </c>
      <c r="F2620" t="n">
        <v>0.00246726968</v>
      </c>
      <c r="G2620" t="n">
        <v>0.760304419523183</v>
      </c>
      <c r="H2620" t="n">
        <v>0.008666872196232399</v>
      </c>
      <c r="I2620" t="n">
        <v>0.7074092502376902</v>
      </c>
      <c r="J2620" t="n">
        <v>0.0968143401133091</v>
      </c>
      <c r="K2620" t="n">
        <v>0.5720649731641068</v>
      </c>
      <c r="L2620" t="b">
        <v>0</v>
      </c>
      <c r="M2620" t="b">
        <v>0</v>
      </c>
      <c r="N2620" t="inlineStr">
        <is>
          <t>alt</t>
        </is>
      </c>
      <c r="O2620" t="n">
        <v>100</v>
      </c>
      <c r="P2620" t="n">
        <v>0.1037</v>
      </c>
      <c r="Q2620" t="n">
        <v>-70</v>
      </c>
      <c r="R2620" t="n">
        <v>0.03717</v>
      </c>
      <c r="S2620">
        <f>IMAGE("https://mitra.stanford.edu/kundaje/oak/projects/neuro-variants/variant_position/credible/roussos_2024/variant_figures/roussos_2024.adolescence.GLU/rs9847855_count_position.png",4,220,900)</f>
        <v/>
      </c>
      <c r="T2620">
        <f>IMAGE("https://mitra.stanford.edu/kundaje/oak/projects/neuro-variants/variant_position/credible/roussos_2024/variant_figures/roussos_2024.adolescence.GLU/rs9847855_profile_position.png",4,220,900)</f>
        <v/>
      </c>
    </row>
    <row r="2621">
      <c r="A2621" t="inlineStr">
        <is>
          <t>chr3</t>
        </is>
      </c>
      <c r="B2621" t="n">
        <v>60384904</v>
      </c>
      <c r="C2621" t="inlineStr">
        <is>
          <t>C</t>
        </is>
      </c>
      <c r="D2621" t="inlineStr">
        <is>
          <t>T</t>
        </is>
      </c>
      <c r="E2621" t="inlineStr">
        <is>
          <t>rs9848065</t>
        </is>
      </c>
      <c r="F2621" t="n">
        <v>-0.0463963794</v>
      </c>
      <c r="G2621" t="n">
        <v>0.0817933331187454</v>
      </c>
      <c r="H2621" t="n">
        <v>0.0133399959316798</v>
      </c>
      <c r="I2621" t="n">
        <v>0.2409331039098698</v>
      </c>
      <c r="J2621" t="n">
        <v>0.0978945638739453</v>
      </c>
      <c r="K2621" t="n">
        <v>0.5688470343354602</v>
      </c>
      <c r="L2621" t="b">
        <v>0</v>
      </c>
      <c r="M2621" t="b">
        <v>0</v>
      </c>
      <c r="N2621" t="inlineStr">
        <is>
          <t>ref</t>
        </is>
      </c>
      <c r="O2621" t="n">
        <v>-95</v>
      </c>
      <c r="P2621" t="n">
        <v>0.009339999999999999</v>
      </c>
      <c r="Q2621" t="n">
        <v>15</v>
      </c>
      <c r="R2621" t="n">
        <v>0.02316</v>
      </c>
      <c r="S2621">
        <f>IMAGE("https://mitra.stanford.edu/kundaje/oak/projects/neuro-variants/variant_position/credible/roussos_2024/variant_figures/roussos_2024.adolescence.GLU/rs9848065_count_position.png",4,220,900)</f>
        <v/>
      </c>
      <c r="T2621">
        <f>IMAGE("https://mitra.stanford.edu/kundaje/oak/projects/neuro-variants/variant_position/credible/roussos_2024/variant_figures/roussos_2024.adolescence.GLU/rs9848065_profile_position.png",4,220,900)</f>
        <v/>
      </c>
    </row>
    <row r="2622">
      <c r="A2622" t="inlineStr">
        <is>
          <t>chr3</t>
        </is>
      </c>
      <c r="B2622" t="n">
        <v>60391307</v>
      </c>
      <c r="C2622" t="inlineStr">
        <is>
          <t>C</t>
        </is>
      </c>
      <c r="D2622" t="inlineStr">
        <is>
          <t>A</t>
        </is>
      </c>
      <c r="E2622" t="inlineStr">
        <is>
          <t>rs2687176</t>
        </is>
      </c>
      <c r="F2622" t="n">
        <v>-0.00609719996</v>
      </c>
      <c r="G2622" t="n">
        <v>0.6781468148715513</v>
      </c>
      <c r="H2622" t="n">
        <v>0.0162052466799979</v>
      </c>
      <c r="I2622" t="n">
        <v>0.1322085761120529</v>
      </c>
      <c r="J2622" t="n">
        <v>0.0109751305627593</v>
      </c>
      <c r="K2622" t="n">
        <v>0.8687724309842338</v>
      </c>
      <c r="L2622" t="b">
        <v>0</v>
      </c>
      <c r="M2622" t="b">
        <v>0</v>
      </c>
      <c r="N2622" t="inlineStr">
        <is>
          <t>ref</t>
        </is>
      </c>
      <c r="O2622" t="n">
        <v>-100</v>
      </c>
      <c r="P2622" t="n">
        <v>0.003235</v>
      </c>
      <c r="Q2622" t="n">
        <v>90</v>
      </c>
      <c r="R2622" t="n">
        <v>0.1056</v>
      </c>
      <c r="S2622">
        <f>IMAGE("https://mitra.stanford.edu/kundaje/oak/projects/neuro-variants/variant_position/credible/roussos_2024/variant_figures/roussos_2024.adolescence.GLU/rs2687176_count_position.png",4,220,900)</f>
        <v/>
      </c>
      <c r="T2622">
        <f>IMAGE("https://mitra.stanford.edu/kundaje/oak/projects/neuro-variants/variant_position/credible/roussos_2024/variant_figures/roussos_2024.adolescence.GLU/rs2687176_profile_position.png",4,220,900)</f>
        <v/>
      </c>
    </row>
    <row r="2623">
      <c r="A2623" t="inlineStr">
        <is>
          <t>chr3</t>
        </is>
      </c>
      <c r="B2623" t="n">
        <v>60394062</v>
      </c>
      <c r="C2623" t="inlineStr">
        <is>
          <t>T</t>
        </is>
      </c>
      <c r="D2623" t="inlineStr">
        <is>
          <t>C</t>
        </is>
      </c>
      <c r="E2623" t="inlineStr">
        <is>
          <t>rs68056303</t>
        </is>
      </c>
      <c r="F2623" t="n">
        <v>0.0738219148</v>
      </c>
      <c r="G2623" t="n">
        <v>0.0173407137371736</v>
      </c>
      <c r="H2623" t="n">
        <v>0.0120195061813466</v>
      </c>
      <c r="I2623" t="n">
        <v>0.3101741175325</v>
      </c>
      <c r="J2623" t="n">
        <v>0.168236277514628</v>
      </c>
      <c r="K2623" t="n">
        <v>0.4555297456497842</v>
      </c>
      <c r="L2623" t="b">
        <v>1</v>
      </c>
      <c r="M2623" t="b">
        <v>0</v>
      </c>
      <c r="N2623" t="inlineStr">
        <is>
          <t>alt</t>
        </is>
      </c>
      <c r="O2623" t="n">
        <v>-40</v>
      </c>
      <c r="P2623" t="n">
        <v>0.000931</v>
      </c>
      <c r="Q2623" t="n">
        <v>-65</v>
      </c>
      <c r="R2623" t="n">
        <v>0.0581</v>
      </c>
      <c r="S2623">
        <f>IMAGE("https://mitra.stanford.edu/kundaje/oak/projects/neuro-variants/variant_position/credible/roussos_2024/variant_figures/roussos_2024.adolescence.GLU/rs68056303_count_position.png",4,220,900)</f>
        <v/>
      </c>
      <c r="T2623">
        <f>IMAGE("https://mitra.stanford.edu/kundaje/oak/projects/neuro-variants/variant_position/credible/roussos_2024/variant_figures/roussos_2024.adolescence.GLU/rs68056303_profile_position.png",4,220,900)</f>
        <v/>
      </c>
    </row>
    <row r="2624">
      <c r="A2624" t="inlineStr">
        <is>
          <t>chr3</t>
        </is>
      </c>
      <c r="B2624" t="n">
        <v>60397868</v>
      </c>
      <c r="C2624" t="inlineStr">
        <is>
          <t>C</t>
        </is>
      </c>
      <c r="D2624" t="inlineStr">
        <is>
          <t>T</t>
        </is>
      </c>
      <c r="E2624" t="inlineStr">
        <is>
          <t>rs9862806</t>
        </is>
      </c>
      <c r="F2624" t="n">
        <v>-0.0426646156</v>
      </c>
      <c r="G2624" t="n">
        <v>0.09590391991063919</v>
      </c>
      <c r="H2624" t="n">
        <v>0.0151745545758152</v>
      </c>
      <c r="I2624" t="n">
        <v>0.1545930738498585</v>
      </c>
      <c r="J2624" t="n">
        <v>0.3010409299069092</v>
      </c>
      <c r="K2624" t="n">
        <v>0.2710433777979219</v>
      </c>
      <c r="L2624" t="b">
        <v>0</v>
      </c>
      <c r="M2624" t="b">
        <v>0</v>
      </c>
      <c r="N2624" t="inlineStr">
        <is>
          <t>ref</t>
        </is>
      </c>
      <c r="O2624" t="n">
        <v>60</v>
      </c>
      <c r="P2624" t="n">
        <v>0.00226</v>
      </c>
      <c r="Q2624" t="n">
        <v>100</v>
      </c>
      <c r="R2624" t="n">
        <v>0.0863</v>
      </c>
      <c r="S2624">
        <f>IMAGE("https://mitra.stanford.edu/kundaje/oak/projects/neuro-variants/variant_position/credible/roussos_2024/variant_figures/roussos_2024.adolescence.GLU/rs9862806_count_position.png",4,220,900)</f>
        <v/>
      </c>
      <c r="T2624">
        <f>IMAGE("https://mitra.stanford.edu/kundaje/oak/projects/neuro-variants/variant_position/credible/roussos_2024/variant_figures/roussos_2024.adolescence.GLU/rs9862806_profile_position.png",4,220,900)</f>
        <v/>
      </c>
    </row>
    <row r="2625">
      <c r="A2625" t="inlineStr">
        <is>
          <t>chr3</t>
        </is>
      </c>
      <c r="B2625" t="n">
        <v>60397871</v>
      </c>
      <c r="C2625" t="inlineStr">
        <is>
          <t>C</t>
        </is>
      </c>
      <c r="D2625" t="inlineStr">
        <is>
          <t>T</t>
        </is>
      </c>
      <c r="E2625" t="inlineStr">
        <is>
          <t>rs9862809</t>
        </is>
      </c>
      <c r="F2625" t="n">
        <v>-0.131317894</v>
      </c>
      <c r="G2625" t="n">
        <v>0.0032119843358083</v>
      </c>
      <c r="H2625" t="n">
        <v>0.026041037958648</v>
      </c>
      <c r="I2625" t="n">
        <v>0.0171176198510281</v>
      </c>
      <c r="J2625" t="n">
        <v>0.3011952475870001</v>
      </c>
      <c r="K2625" t="n">
        <v>0.270860250356087</v>
      </c>
      <c r="L2625" t="b">
        <v>1</v>
      </c>
      <c r="M2625" t="b">
        <v>1</v>
      </c>
      <c r="N2625" t="inlineStr">
        <is>
          <t>ref</t>
        </is>
      </c>
      <c r="O2625" t="n">
        <v>60</v>
      </c>
      <c r="P2625" t="n">
        <v>0.002087</v>
      </c>
      <c r="Q2625" t="n">
        <v>100</v>
      </c>
      <c r="R2625" t="n">
        <v>0.09265</v>
      </c>
      <c r="S2625">
        <f>IMAGE("https://mitra.stanford.edu/kundaje/oak/projects/neuro-variants/variant_position/credible/roussos_2024/variant_figures/roussos_2024.adolescence.GLU/rs9862809_count_position.png",4,220,900)</f>
        <v/>
      </c>
      <c r="T2625">
        <f>IMAGE("https://mitra.stanford.edu/kundaje/oak/projects/neuro-variants/variant_position/credible/roussos_2024/variant_figures/roussos_2024.adolescence.GLU/rs9862809_profile_position.png",4,220,900)</f>
        <v/>
      </c>
    </row>
    <row r="2626">
      <c r="A2626" t="inlineStr">
        <is>
          <t>chr3</t>
        </is>
      </c>
      <c r="B2626" t="n">
        <v>60437276</v>
      </c>
      <c r="C2626" t="inlineStr">
        <is>
          <t>T</t>
        </is>
      </c>
      <c r="D2626" t="inlineStr">
        <is>
          <t>C</t>
        </is>
      </c>
      <c r="E2626" t="inlineStr">
        <is>
          <t>rs2687189</t>
        </is>
      </c>
      <c r="F2626" t="n">
        <v>0.0157714069</v>
      </c>
      <c r="G2626" t="n">
        <v>0.3955180142052596</v>
      </c>
      <c r="H2626" t="n">
        <v>0.010844907486455</v>
      </c>
      <c r="I2626" t="n">
        <v>0.4521764569777362</v>
      </c>
      <c r="J2626" t="n">
        <v>0.0423959248701516</v>
      </c>
      <c r="K2626" t="n">
        <v>0.7234488837054897</v>
      </c>
      <c r="L2626" t="b">
        <v>0</v>
      </c>
      <c r="M2626" t="b">
        <v>0</v>
      </c>
      <c r="N2626" t="inlineStr">
        <is>
          <t>alt</t>
        </is>
      </c>
      <c r="O2626" t="n">
        <v>-40</v>
      </c>
      <c r="P2626" t="n">
        <v>0.00483</v>
      </c>
      <c r="Q2626" t="n">
        <v>-85</v>
      </c>
      <c r="R2626" t="n">
        <v>0.03119</v>
      </c>
      <c r="S2626">
        <f>IMAGE("https://mitra.stanford.edu/kundaje/oak/projects/neuro-variants/variant_position/credible/roussos_2024/variant_figures/roussos_2024.adolescence.GLU/rs2687189_count_position.png",4,220,900)</f>
        <v/>
      </c>
      <c r="T2626">
        <f>IMAGE("https://mitra.stanford.edu/kundaje/oak/projects/neuro-variants/variant_position/credible/roussos_2024/variant_figures/roussos_2024.adolescence.GLU/rs2687189_profile_position.png",4,220,900)</f>
        <v/>
      </c>
    </row>
    <row r="2627">
      <c r="A2627" t="inlineStr">
        <is>
          <t>chr3</t>
        </is>
      </c>
      <c r="B2627" t="n">
        <v>60442238</v>
      </c>
      <c r="C2627" t="inlineStr">
        <is>
          <t>C</t>
        </is>
      </c>
      <c r="D2627" t="inlineStr">
        <is>
          <t>A</t>
        </is>
      </c>
      <c r="E2627" t="inlineStr">
        <is>
          <t>rs77635360</t>
        </is>
      </c>
      <c r="F2627" t="n">
        <v>0.0028606644339999</v>
      </c>
      <c r="G2627" t="n">
        <v>0.6745233013562894</v>
      </c>
      <c r="H2627" t="n">
        <v>0.0247155973052095</v>
      </c>
      <c r="I2627" t="n">
        <v>0.0233026276315302</v>
      </c>
      <c r="J2627" t="n">
        <v>0.0112437576355101</v>
      </c>
      <c r="K2627" t="n">
        <v>0.8697632032215743</v>
      </c>
      <c r="L2627" t="b">
        <v>0</v>
      </c>
      <c r="M2627" t="b">
        <v>0</v>
      </c>
      <c r="N2627" t="inlineStr">
        <is>
          <t>alt</t>
        </is>
      </c>
      <c r="O2627" t="n">
        <v>75</v>
      </c>
      <c r="P2627" t="n">
        <v>0.003628</v>
      </c>
      <c r="Q2627" t="n">
        <v>-20</v>
      </c>
      <c r="R2627" t="n">
        <v>0.01996</v>
      </c>
      <c r="S2627">
        <f>IMAGE("https://mitra.stanford.edu/kundaje/oak/projects/neuro-variants/variant_position/credible/roussos_2024/variant_figures/roussos_2024.adolescence.GLU/rs77635360_count_position.png",4,220,900)</f>
        <v/>
      </c>
      <c r="T2627">
        <f>IMAGE("https://mitra.stanford.edu/kundaje/oak/projects/neuro-variants/variant_position/credible/roussos_2024/variant_figures/roussos_2024.adolescence.GLU/rs77635360_profile_position.png",4,220,900)</f>
        <v/>
      </c>
    </row>
    <row r="2628">
      <c r="A2628" t="inlineStr">
        <is>
          <t>chr3</t>
        </is>
      </c>
      <c r="B2628" t="n">
        <v>60449492</v>
      </c>
      <c r="C2628" t="inlineStr">
        <is>
          <t>A</t>
        </is>
      </c>
      <c r="D2628" t="inlineStr">
        <is>
          <t>C</t>
        </is>
      </c>
      <c r="E2628" t="inlineStr">
        <is>
          <t>rs12629110</t>
        </is>
      </c>
      <c r="F2628" t="n">
        <v>-0.0320386378</v>
      </c>
      <c r="G2628" t="n">
        <v>0.1629264700325162</v>
      </c>
      <c r="H2628" t="n">
        <v>0.0296458254596398</v>
      </c>
      <c r="I2628" t="n">
        <v>0.009119029706186599</v>
      </c>
      <c r="J2628" t="n">
        <v>0.2062398639718226</v>
      </c>
      <c r="K2628" t="n">
        <v>0.3935309227888895</v>
      </c>
      <c r="L2628" t="b">
        <v>1</v>
      </c>
      <c r="M2628" t="b">
        <v>1</v>
      </c>
      <c r="N2628" t="inlineStr">
        <is>
          <t>ref</t>
        </is>
      </c>
      <c r="O2628" t="n">
        <v>-80</v>
      </c>
      <c r="P2628" t="n">
        <v>0.002756</v>
      </c>
      <c r="Q2628" t="n">
        <v>-85</v>
      </c>
      <c r="R2628" t="n">
        <v>0.0116</v>
      </c>
      <c r="S2628">
        <f>IMAGE("https://mitra.stanford.edu/kundaje/oak/projects/neuro-variants/variant_position/credible/roussos_2024/variant_figures/roussos_2024.adolescence.GLU/rs12629110_count_position.png",4,220,900)</f>
        <v/>
      </c>
      <c r="T2628">
        <f>IMAGE("https://mitra.stanford.edu/kundaje/oak/projects/neuro-variants/variant_position/credible/roussos_2024/variant_figures/roussos_2024.adolescence.GLU/rs12629110_profile_position.png",4,220,900)</f>
        <v/>
      </c>
    </row>
    <row r="2629">
      <c r="A2629" t="inlineStr">
        <is>
          <t>chr3</t>
        </is>
      </c>
      <c r="B2629" t="n">
        <v>60486253</v>
      </c>
      <c r="C2629" t="inlineStr">
        <is>
          <t>A</t>
        </is>
      </c>
      <c r="D2629" t="inlineStr">
        <is>
          <t>G</t>
        </is>
      </c>
      <c r="E2629" t="inlineStr">
        <is>
          <t>rs9818182</t>
        </is>
      </c>
      <c r="F2629" t="n">
        <v>0.00675747344</v>
      </c>
      <c r="G2629" t="n">
        <v>0.618169205199718</v>
      </c>
      <c r="H2629" t="n">
        <v>0.0278434758264817</v>
      </c>
      <c r="I2629" t="n">
        <v>0.0132182515666464</v>
      </c>
      <c r="J2629" t="n">
        <v>0.0162090718791748</v>
      </c>
      <c r="K2629" t="n">
        <v>0.848160292296676</v>
      </c>
      <c r="L2629" t="b">
        <v>1</v>
      </c>
      <c r="M2629" t="b">
        <v>0</v>
      </c>
      <c r="N2629" t="inlineStr">
        <is>
          <t>alt</t>
        </is>
      </c>
      <c r="O2629" t="n">
        <v>-20</v>
      </c>
      <c r="P2629" t="n">
        <v>0.001205</v>
      </c>
      <c r="Q2629" t="n">
        <v>-75</v>
      </c>
      <c r="R2629" t="n">
        <v>0.03955</v>
      </c>
      <c r="S2629">
        <f>IMAGE("https://mitra.stanford.edu/kundaje/oak/projects/neuro-variants/variant_position/credible/roussos_2024/variant_figures/roussos_2024.adolescence.GLU/rs9818182_count_position.png",4,220,900)</f>
        <v/>
      </c>
      <c r="T2629">
        <f>IMAGE("https://mitra.stanford.edu/kundaje/oak/projects/neuro-variants/variant_position/credible/roussos_2024/variant_figures/roussos_2024.adolescence.GLU/rs9818182_profile_position.png",4,220,900)</f>
        <v/>
      </c>
    </row>
    <row r="2630">
      <c r="A2630" t="inlineStr">
        <is>
          <t>chr3</t>
        </is>
      </c>
      <c r="B2630" t="n">
        <v>60487965</v>
      </c>
      <c r="C2630" t="inlineStr">
        <is>
          <t>A</t>
        </is>
      </c>
      <c r="D2630" t="inlineStr">
        <is>
          <t>G</t>
        </is>
      </c>
      <c r="E2630" t="inlineStr">
        <is>
          <t>rs9828307</t>
        </is>
      </c>
      <c r="F2630" t="n">
        <v>0.0462676252</v>
      </c>
      <c r="G2630" t="n">
        <v>0.074791277670468</v>
      </c>
      <c r="H2630" t="n">
        <v>0.0121086091918086</v>
      </c>
      <c r="I2630" t="n">
        <v>0.341310987670701</v>
      </c>
      <c r="J2630" t="n">
        <v>0.0999478463395988</v>
      </c>
      <c r="K2630" t="n">
        <v>0.5826032539433352</v>
      </c>
      <c r="L2630" t="b">
        <v>0</v>
      </c>
      <c r="M2630" t="b">
        <v>0</v>
      </c>
      <c r="N2630" t="inlineStr">
        <is>
          <t>alt</t>
        </is>
      </c>
      <c r="O2630" t="n">
        <v>-25</v>
      </c>
      <c r="P2630" t="n">
        <v>0.001785</v>
      </c>
      <c r="Q2630" t="n">
        <v>65</v>
      </c>
      <c r="R2630" t="n">
        <v>0.01117</v>
      </c>
      <c r="S2630">
        <f>IMAGE("https://mitra.stanford.edu/kundaje/oak/projects/neuro-variants/variant_position/credible/roussos_2024/variant_figures/roussos_2024.adolescence.GLU/rs9828307_count_position.png",4,220,900)</f>
        <v/>
      </c>
      <c r="T2630">
        <f>IMAGE("https://mitra.stanford.edu/kundaje/oak/projects/neuro-variants/variant_position/credible/roussos_2024/variant_figures/roussos_2024.adolescence.GLU/rs9828307_profile_position.png",4,220,900)</f>
        <v/>
      </c>
    </row>
    <row r="2631">
      <c r="A2631" t="inlineStr">
        <is>
          <t>chr3</t>
        </is>
      </c>
      <c r="B2631" t="n">
        <v>61848270</v>
      </c>
      <c r="C2631" t="inlineStr">
        <is>
          <t>C</t>
        </is>
      </c>
      <c r="D2631" t="inlineStr">
        <is>
          <t>T</t>
        </is>
      </c>
      <c r="E2631" t="inlineStr">
        <is>
          <t>rs606506</t>
        </is>
      </c>
      <c r="F2631" t="n">
        <v>-0.064609782</v>
      </c>
      <c r="G2631" t="n">
        <v>0.0335316316857086</v>
      </c>
      <c r="H2631" t="n">
        <v>0.0137673835205116</v>
      </c>
      <c r="I2631" t="n">
        <v>0.211084771682993</v>
      </c>
      <c r="J2631" t="n">
        <v>0.338975930728508</v>
      </c>
      <c r="K2631" t="n">
        <v>0.2222641153382537</v>
      </c>
      <c r="L2631" t="b">
        <v>0</v>
      </c>
      <c r="M2631" t="b">
        <v>0</v>
      </c>
      <c r="N2631" t="inlineStr">
        <is>
          <t>ref</t>
        </is>
      </c>
      <c r="O2631" t="n">
        <v>90</v>
      </c>
      <c r="P2631" t="n">
        <v>0.008359999999999999</v>
      </c>
      <c r="Q2631" t="n">
        <v>-65</v>
      </c>
      <c r="R2631" t="n">
        <v>0.0803</v>
      </c>
      <c r="S2631">
        <f>IMAGE("https://mitra.stanford.edu/kundaje/oak/projects/neuro-variants/variant_position/credible/roussos_2024/variant_figures/roussos_2024.adolescence.GLU/rs606506_count_position.png",4,220,900)</f>
        <v/>
      </c>
      <c r="T2631">
        <f>IMAGE("https://mitra.stanford.edu/kundaje/oak/projects/neuro-variants/variant_position/credible/roussos_2024/variant_figures/roussos_2024.adolescence.GLU/rs606506_profile_position.png",4,220,900)</f>
        <v/>
      </c>
    </row>
    <row r="2632">
      <c r="A2632" t="inlineStr">
        <is>
          <t>chr3</t>
        </is>
      </c>
      <c r="B2632" t="n">
        <v>61851594</v>
      </c>
      <c r="C2632" t="inlineStr">
        <is>
          <t>G</t>
        </is>
      </c>
      <c r="D2632" t="inlineStr">
        <is>
          <t>T</t>
        </is>
      </c>
      <c r="E2632" t="inlineStr">
        <is>
          <t>rs640732</t>
        </is>
      </c>
      <c r="F2632" t="n">
        <v>0.0040953001399999</v>
      </c>
      <c r="G2632" t="n">
        <v>0.7136443075376336</v>
      </c>
      <c r="H2632" t="n">
        <v>0.0180640172874723</v>
      </c>
      <c r="I2632" t="n">
        <v>0.0866896833360758</v>
      </c>
      <c r="J2632" t="n">
        <v>0.0946167420394224</v>
      </c>
      <c r="K2632" t="n">
        <v>0.5926414194401053</v>
      </c>
      <c r="L2632" t="b">
        <v>0</v>
      </c>
      <c r="M2632" t="b">
        <v>0</v>
      </c>
      <c r="N2632" t="inlineStr">
        <is>
          <t>alt</t>
        </is>
      </c>
      <c r="O2632" t="n">
        <v>-55</v>
      </c>
      <c r="P2632" t="n">
        <v>0.005825</v>
      </c>
      <c r="Q2632" t="n">
        <v>-100</v>
      </c>
      <c r="R2632" t="n">
        <v>0.07654</v>
      </c>
      <c r="S2632">
        <f>IMAGE("https://mitra.stanford.edu/kundaje/oak/projects/neuro-variants/variant_position/credible/roussos_2024/variant_figures/roussos_2024.adolescence.GLU/rs640732_count_position.png",4,220,900)</f>
        <v/>
      </c>
      <c r="T2632">
        <f>IMAGE("https://mitra.stanford.edu/kundaje/oak/projects/neuro-variants/variant_position/credible/roussos_2024/variant_figures/roussos_2024.adolescence.GLU/rs640732_profile_position.png",4,220,900)</f>
        <v/>
      </c>
    </row>
    <row r="2633">
      <c r="A2633" t="inlineStr">
        <is>
          <t>chr3</t>
        </is>
      </c>
      <c r="B2633" t="n">
        <v>61852543</v>
      </c>
      <c r="C2633" t="inlineStr">
        <is>
          <t>C</t>
        </is>
      </c>
      <c r="D2633" t="inlineStr">
        <is>
          <t>T</t>
        </is>
      </c>
      <c r="E2633" t="inlineStr">
        <is>
          <t>rs626136</t>
        </is>
      </c>
      <c r="F2633" t="n">
        <v>-0.0931280334</v>
      </c>
      <c r="G2633" t="n">
        <v>0.0126404475835064</v>
      </c>
      <c r="H2633" t="n">
        <v>0.0179631178934165</v>
      </c>
      <c r="I2633" t="n">
        <v>0.09068160885420511</v>
      </c>
      <c r="J2633" t="n">
        <v>0.0604596666452336</v>
      </c>
      <c r="K2633" t="n">
        <v>0.6802629238097395</v>
      </c>
      <c r="L2633" t="b">
        <v>1</v>
      </c>
      <c r="M2633" t="b">
        <v>0</v>
      </c>
      <c r="N2633" t="inlineStr">
        <is>
          <t>ref</t>
        </is>
      </c>
      <c r="O2633" t="n">
        <v>-5</v>
      </c>
      <c r="P2633" t="n">
        <v>0.0004807</v>
      </c>
      <c r="Q2633" t="n">
        <v>-5</v>
      </c>
      <c r="R2633" t="n">
        <v>0.001038</v>
      </c>
      <c r="S2633">
        <f>IMAGE("https://mitra.stanford.edu/kundaje/oak/projects/neuro-variants/variant_position/credible/roussos_2024/variant_figures/roussos_2024.adolescence.GLU/rs626136_count_position.png",4,220,900)</f>
        <v/>
      </c>
      <c r="T2633">
        <f>IMAGE("https://mitra.stanford.edu/kundaje/oak/projects/neuro-variants/variant_position/credible/roussos_2024/variant_figures/roussos_2024.adolescence.GLU/rs626136_profile_position.png",4,220,900)</f>
        <v/>
      </c>
    </row>
    <row r="2634">
      <c r="A2634" t="inlineStr">
        <is>
          <t>chr3</t>
        </is>
      </c>
      <c r="B2634" t="n">
        <v>61853094</v>
      </c>
      <c r="C2634" t="inlineStr">
        <is>
          <t>C</t>
        </is>
      </c>
      <c r="D2634" t="inlineStr">
        <is>
          <t>T</t>
        </is>
      </c>
      <c r="E2634" t="inlineStr">
        <is>
          <t>rs623843</t>
        </is>
      </c>
      <c r="F2634" t="n">
        <v>-0.08420594720000001</v>
      </c>
      <c r="G2634" t="n">
        <v>0.0129201358113071</v>
      </c>
      <c r="H2634" t="n">
        <v>0.0158664752633924</v>
      </c>
      <c r="I2634" t="n">
        <v>0.1461231695370383</v>
      </c>
      <c r="J2634" t="n">
        <v>0.1440684141715069</v>
      </c>
      <c r="K2634" t="n">
        <v>0.4987105459457598</v>
      </c>
      <c r="L2634" t="b">
        <v>1</v>
      </c>
      <c r="M2634" t="b">
        <v>0</v>
      </c>
      <c r="N2634" t="inlineStr">
        <is>
          <t>ref</t>
        </is>
      </c>
      <c r="O2634" t="n">
        <v>-15</v>
      </c>
      <c r="P2634" t="n">
        <v>0.0006065000000000001</v>
      </c>
      <c r="Q2634" t="n">
        <v>100</v>
      </c>
      <c r="R2634" t="n">
        <v>0.02222</v>
      </c>
      <c r="S2634">
        <f>IMAGE("https://mitra.stanford.edu/kundaje/oak/projects/neuro-variants/variant_position/credible/roussos_2024/variant_figures/roussos_2024.adolescence.GLU/rs623843_count_position.png",4,220,900)</f>
        <v/>
      </c>
      <c r="T2634">
        <f>IMAGE("https://mitra.stanford.edu/kundaje/oak/projects/neuro-variants/variant_position/credible/roussos_2024/variant_figures/roussos_2024.adolescence.GLU/rs623843_profile_position.png",4,220,900)</f>
        <v/>
      </c>
    </row>
    <row r="2635">
      <c r="A2635" t="inlineStr">
        <is>
          <t>chr3</t>
        </is>
      </c>
      <c r="B2635" t="n">
        <v>61864460</v>
      </c>
      <c r="C2635" t="inlineStr">
        <is>
          <t>T</t>
        </is>
      </c>
      <c r="D2635" t="inlineStr">
        <is>
          <t>G</t>
        </is>
      </c>
      <c r="E2635" t="inlineStr">
        <is>
          <t>rs623808</t>
        </is>
      </c>
      <c r="F2635" t="n">
        <v>0.06742775400000001</v>
      </c>
      <c r="G2635" t="n">
        <v>0.0250602038326599</v>
      </c>
      <c r="H2635" t="n">
        <v>0.0111046353291459</v>
      </c>
      <c r="I2635" t="n">
        <v>0.3987557412044031</v>
      </c>
      <c r="J2635" t="n">
        <v>0.1402933464789134</v>
      </c>
      <c r="K2635" t="n">
        <v>0.5012538991434076</v>
      </c>
      <c r="L2635" t="b">
        <v>0</v>
      </c>
      <c r="M2635" t="b">
        <v>0</v>
      </c>
      <c r="N2635" t="inlineStr">
        <is>
          <t>alt</t>
        </is>
      </c>
      <c r="O2635" t="n">
        <v>90</v>
      </c>
      <c r="P2635" t="n">
        <v>0.0156</v>
      </c>
      <c r="Q2635" t="n">
        <v>90</v>
      </c>
      <c r="R2635" t="n">
        <v>0.07654</v>
      </c>
      <c r="S2635">
        <f>IMAGE("https://mitra.stanford.edu/kundaje/oak/projects/neuro-variants/variant_position/credible/roussos_2024/variant_figures/roussos_2024.adolescence.GLU/rs623808_count_position.png",4,220,900)</f>
        <v/>
      </c>
      <c r="T2635">
        <f>IMAGE("https://mitra.stanford.edu/kundaje/oak/projects/neuro-variants/variant_position/credible/roussos_2024/variant_figures/roussos_2024.adolescence.GLU/rs623808_profile_position.png",4,220,900)</f>
        <v/>
      </c>
    </row>
    <row r="2636">
      <c r="A2636" t="inlineStr">
        <is>
          <t>chr3</t>
        </is>
      </c>
      <c r="B2636" t="n">
        <v>62068373</v>
      </c>
      <c r="C2636" t="inlineStr">
        <is>
          <t>A</t>
        </is>
      </c>
      <c r="D2636" t="inlineStr">
        <is>
          <t>C</t>
        </is>
      </c>
      <c r="E2636" t="inlineStr">
        <is>
          <t>rs9863323</t>
        </is>
      </c>
      <c r="F2636" t="n">
        <v>0.0451471876</v>
      </c>
      <c r="G2636" t="n">
        <v>0.07741722099203251</v>
      </c>
      <c r="H2636" t="n">
        <v>0.012045323506218</v>
      </c>
      <c r="I2636" t="n">
        <v>0.324544943184465</v>
      </c>
      <c r="J2636" t="n">
        <v>0.1093812289688578</v>
      </c>
      <c r="K2636" t="n">
        <v>0.5598996868846299</v>
      </c>
      <c r="L2636" t="b">
        <v>0</v>
      </c>
      <c r="M2636" t="b">
        <v>0</v>
      </c>
      <c r="N2636" t="inlineStr">
        <is>
          <t>alt</t>
        </is>
      </c>
      <c r="O2636" t="n">
        <v>-100</v>
      </c>
      <c r="P2636" t="n">
        <v>0.003283</v>
      </c>
      <c r="Q2636" t="n">
        <v>-35</v>
      </c>
      <c r="R2636" t="n">
        <v>0.0581</v>
      </c>
      <c r="S2636">
        <f>IMAGE("https://mitra.stanford.edu/kundaje/oak/projects/neuro-variants/variant_position/credible/roussos_2024/variant_figures/roussos_2024.adolescence.GLU/rs9863323_count_position.png",4,220,900)</f>
        <v/>
      </c>
      <c r="T2636">
        <f>IMAGE("https://mitra.stanford.edu/kundaje/oak/projects/neuro-variants/variant_position/credible/roussos_2024/variant_figures/roussos_2024.adolescence.GLU/rs9863323_profile_position.png",4,220,900)</f>
        <v/>
      </c>
    </row>
    <row r="2637">
      <c r="A2637" t="inlineStr">
        <is>
          <t>chr3</t>
        </is>
      </c>
      <c r="B2637" t="n">
        <v>62069778</v>
      </c>
      <c r="C2637" t="inlineStr">
        <is>
          <t>G</t>
        </is>
      </c>
      <c r="D2637" t="inlineStr">
        <is>
          <t>A</t>
        </is>
      </c>
      <c r="E2637" t="inlineStr">
        <is>
          <t>rs6787306</t>
        </is>
      </c>
      <c r="F2637" t="n">
        <v>0.0117447328</v>
      </c>
      <c r="G2637" t="n">
        <v>0.4513500563162962</v>
      </c>
      <c r="H2637" t="n">
        <v>0.0153456915057686</v>
      </c>
      <c r="I2637" t="n">
        <v>0.1452206581605654</v>
      </c>
      <c r="J2637" t="n">
        <v>0.1610119238985217</v>
      </c>
      <c r="K2637" t="n">
        <v>0.459565054455658</v>
      </c>
      <c r="L2637" t="b">
        <v>0</v>
      </c>
      <c r="M2637" t="b">
        <v>0</v>
      </c>
      <c r="N2637" t="inlineStr">
        <is>
          <t>alt</t>
        </is>
      </c>
      <c r="O2637" t="n">
        <v>0</v>
      </c>
      <c r="P2637" t="n">
        <v>0</v>
      </c>
      <c r="Q2637" t="n">
        <v>-75</v>
      </c>
      <c r="R2637" t="n">
        <v>0.01746</v>
      </c>
      <c r="S2637">
        <f>IMAGE("https://mitra.stanford.edu/kundaje/oak/projects/neuro-variants/variant_position/credible/roussos_2024/variant_figures/roussos_2024.adolescence.GLU/rs6787306_count_position.png",4,220,900)</f>
        <v/>
      </c>
      <c r="T2637">
        <f>IMAGE("https://mitra.stanford.edu/kundaje/oak/projects/neuro-variants/variant_position/credible/roussos_2024/variant_figures/roussos_2024.adolescence.GLU/rs6787306_profile_position.png",4,220,900)</f>
        <v/>
      </c>
    </row>
    <row r="2638">
      <c r="A2638" t="inlineStr">
        <is>
          <t>chr3</t>
        </is>
      </c>
      <c r="B2638" t="n">
        <v>62070952</v>
      </c>
      <c r="C2638" t="inlineStr">
        <is>
          <t>A</t>
        </is>
      </c>
      <c r="D2638" t="inlineStr">
        <is>
          <t>G</t>
        </is>
      </c>
      <c r="E2638" t="inlineStr">
        <is>
          <t>rs6766287</t>
        </is>
      </c>
      <c r="F2638" t="n">
        <v>0.002796599386</v>
      </c>
      <c r="G2638" t="n">
        <v>0.7342952189453851</v>
      </c>
      <c r="H2638" t="n">
        <v>0.0335421162291209</v>
      </c>
      <c r="I2638" t="n">
        <v>0.0056604358282168</v>
      </c>
      <c r="J2638" t="n">
        <v>0.3181759078666294</v>
      </c>
      <c r="K2638" t="n">
        <v>0.2488216669176831</v>
      </c>
      <c r="L2638" t="b">
        <v>1</v>
      </c>
      <c r="M2638" t="b">
        <v>1</v>
      </c>
      <c r="N2638" t="inlineStr">
        <is>
          <t>alt</t>
        </is>
      </c>
      <c r="O2638" t="n">
        <v>100</v>
      </c>
      <c r="P2638" t="n">
        <v>0.00473</v>
      </c>
      <c r="Q2638" t="n">
        <v>100</v>
      </c>
      <c r="R2638" t="n">
        <v>0.04657</v>
      </c>
      <c r="S2638">
        <f>IMAGE("https://mitra.stanford.edu/kundaje/oak/projects/neuro-variants/variant_position/credible/roussos_2024/variant_figures/roussos_2024.adolescence.GLU/rs6766287_count_position.png",4,220,900)</f>
        <v/>
      </c>
      <c r="T2638">
        <f>IMAGE("https://mitra.stanford.edu/kundaje/oak/projects/neuro-variants/variant_position/credible/roussos_2024/variant_figures/roussos_2024.adolescence.GLU/rs6766287_profile_position.png",4,220,900)</f>
        <v/>
      </c>
    </row>
    <row r="2639">
      <c r="A2639" t="inlineStr">
        <is>
          <t>chr3</t>
        </is>
      </c>
      <c r="B2639" t="n">
        <v>62079095</v>
      </c>
      <c r="C2639" t="inlineStr">
        <is>
          <t>A</t>
        </is>
      </c>
      <c r="D2639" t="inlineStr">
        <is>
          <t>G</t>
        </is>
      </c>
      <c r="E2639" t="inlineStr">
        <is>
          <t>rs11130874</t>
        </is>
      </c>
      <c r="F2639" t="n">
        <v>0.087846412</v>
      </c>
      <c r="G2639" t="n">
        <v>0.012058204883481</v>
      </c>
      <c r="H2639" t="n">
        <v>0.0152606109643844</v>
      </c>
      <c r="I2639" t="n">
        <v>0.148375652125035</v>
      </c>
      <c r="J2639" t="n">
        <v>0.092920676425831</v>
      </c>
      <c r="K2639" t="n">
        <v>0.5866420478193081</v>
      </c>
      <c r="L2639" t="b">
        <v>1</v>
      </c>
      <c r="M2639" t="b">
        <v>0</v>
      </c>
      <c r="N2639" t="inlineStr">
        <is>
          <t>alt</t>
        </is>
      </c>
      <c r="O2639" t="n">
        <v>-70</v>
      </c>
      <c r="P2639" t="n">
        <v>0.005062</v>
      </c>
      <c r="Q2639" t="n">
        <v>50</v>
      </c>
      <c r="R2639" t="n">
        <v>0.002441</v>
      </c>
      <c r="S2639">
        <f>IMAGE("https://mitra.stanford.edu/kundaje/oak/projects/neuro-variants/variant_position/credible/roussos_2024/variant_figures/roussos_2024.adolescence.GLU/rs11130874_count_position.png",4,220,900)</f>
        <v/>
      </c>
      <c r="T2639">
        <f>IMAGE("https://mitra.stanford.edu/kundaje/oak/projects/neuro-variants/variant_position/credible/roussos_2024/variant_figures/roussos_2024.adolescence.GLU/rs11130874_profile_position.png",4,220,900)</f>
        <v/>
      </c>
    </row>
    <row r="2640">
      <c r="A2640" t="inlineStr">
        <is>
          <t>chr3</t>
        </is>
      </c>
      <c r="B2640" t="n">
        <v>62079251</v>
      </c>
      <c r="C2640" t="inlineStr">
        <is>
          <t>C</t>
        </is>
      </c>
      <c r="D2640" t="inlineStr">
        <is>
          <t>T</t>
        </is>
      </c>
      <c r="E2640" t="inlineStr">
        <is>
          <t>rs11715438</t>
        </is>
      </c>
      <c r="F2640" t="n">
        <v>0.0003920665</v>
      </c>
      <c r="G2640" t="n">
        <v>0.7540825277689646</v>
      </c>
      <c r="H2640" t="n">
        <v>0.0148219158866624</v>
      </c>
      <c r="I2640" t="n">
        <v>0.1661336061323766</v>
      </c>
      <c r="J2640" t="n">
        <v>0.0576762329339648</v>
      </c>
      <c r="K2640" t="n">
        <v>0.6752640396476123</v>
      </c>
      <c r="L2640" t="b">
        <v>0</v>
      </c>
      <c r="M2640" t="b">
        <v>0</v>
      </c>
      <c r="N2640" t="inlineStr">
        <is>
          <t>alt</t>
        </is>
      </c>
      <c r="O2640" t="n">
        <v>95</v>
      </c>
      <c r="P2640" t="n">
        <v>0.002197</v>
      </c>
      <c r="Q2640" t="n">
        <v>-15</v>
      </c>
      <c r="R2640" t="n">
        <v>0.02097</v>
      </c>
      <c r="S2640">
        <f>IMAGE("https://mitra.stanford.edu/kundaje/oak/projects/neuro-variants/variant_position/credible/roussos_2024/variant_figures/roussos_2024.adolescence.GLU/rs11715438_count_position.png",4,220,900)</f>
        <v/>
      </c>
      <c r="T2640">
        <f>IMAGE("https://mitra.stanford.edu/kundaje/oak/projects/neuro-variants/variant_position/credible/roussos_2024/variant_figures/roussos_2024.adolescence.GLU/rs11715438_profile_position.png",4,220,900)</f>
        <v/>
      </c>
    </row>
    <row r="2641">
      <c r="A2641" t="inlineStr">
        <is>
          <t>chr3</t>
        </is>
      </c>
      <c r="B2641" t="n">
        <v>62080406</v>
      </c>
      <c r="C2641" t="inlineStr">
        <is>
          <t>T</t>
        </is>
      </c>
      <c r="D2641" t="inlineStr">
        <is>
          <t>C</t>
        </is>
      </c>
      <c r="E2641" t="inlineStr">
        <is>
          <t>rs1859404</t>
        </is>
      </c>
      <c r="F2641" t="n">
        <v>0.08493859719999999</v>
      </c>
      <c r="G2641" t="n">
        <v>0.0123587196189855</v>
      </c>
      <c r="H2641" t="n">
        <v>0.0128115705839721</v>
      </c>
      <c r="I2641" t="n">
        <v>0.2728718280351235</v>
      </c>
      <c r="J2641" t="n">
        <v>0.2025962520807881</v>
      </c>
      <c r="K2641" t="n">
        <v>0.4000947454957574</v>
      </c>
      <c r="L2641" t="b">
        <v>1</v>
      </c>
      <c r="M2641" t="b">
        <v>0</v>
      </c>
      <c r="N2641" t="inlineStr">
        <is>
          <t>alt</t>
        </is>
      </c>
      <c r="O2641" t="n">
        <v>-95</v>
      </c>
      <c r="P2641" t="n">
        <v>0.02284</v>
      </c>
      <c r="Q2641" t="n">
        <v>35</v>
      </c>
      <c r="R2641" t="n">
        <v>0.0818</v>
      </c>
      <c r="S2641">
        <f>IMAGE("https://mitra.stanford.edu/kundaje/oak/projects/neuro-variants/variant_position/credible/roussos_2024/variant_figures/roussos_2024.adolescence.GLU/rs1859404_count_position.png",4,220,900)</f>
        <v/>
      </c>
      <c r="T2641">
        <f>IMAGE("https://mitra.stanford.edu/kundaje/oak/projects/neuro-variants/variant_position/credible/roussos_2024/variant_figures/roussos_2024.adolescence.GLU/rs1859404_profile_position.png",4,220,900)</f>
        <v/>
      </c>
    </row>
    <row r="2642">
      <c r="A2642" t="inlineStr">
        <is>
          <t>chr3</t>
        </is>
      </c>
      <c r="B2642" t="n">
        <v>62084622</v>
      </c>
      <c r="C2642" t="inlineStr">
        <is>
          <t>A</t>
        </is>
      </c>
      <c r="D2642" t="inlineStr">
        <is>
          <t>C</t>
        </is>
      </c>
      <c r="E2642" t="inlineStr">
        <is>
          <t>rs7646226</t>
        </is>
      </c>
      <c r="F2642" t="n">
        <v>0.0268324179999999</v>
      </c>
      <c r="G2642" t="n">
        <v>0.1927103800926779</v>
      </c>
      <c r="H2642" t="n">
        <v>0.0161891237796463</v>
      </c>
      <c r="I2642" t="n">
        <v>0.126580740945608</v>
      </c>
      <c r="J2642" t="n">
        <v>0.1770823956390966</v>
      </c>
      <c r="K2642" t="n">
        <v>0.4246841805909678</v>
      </c>
      <c r="L2642" t="b">
        <v>0</v>
      </c>
      <c r="M2642" t="b">
        <v>0</v>
      </c>
      <c r="N2642" t="inlineStr">
        <is>
          <t>alt</t>
        </is>
      </c>
      <c r="O2642" t="n">
        <v>-10</v>
      </c>
      <c r="P2642" t="n">
        <v>0.000778</v>
      </c>
      <c r="Q2642" t="n">
        <v>-30</v>
      </c>
      <c r="R2642" t="n">
        <v>0.01172</v>
      </c>
      <c r="S2642">
        <f>IMAGE("https://mitra.stanford.edu/kundaje/oak/projects/neuro-variants/variant_position/credible/roussos_2024/variant_figures/roussos_2024.adolescence.GLU/rs7646226_count_position.png",4,220,900)</f>
        <v/>
      </c>
      <c r="T2642">
        <f>IMAGE("https://mitra.stanford.edu/kundaje/oak/projects/neuro-variants/variant_position/credible/roussos_2024/variant_figures/roussos_2024.adolescence.GLU/rs7646226_profile_position.png",4,220,900)</f>
        <v/>
      </c>
    </row>
    <row r="2643">
      <c r="A2643" t="inlineStr">
        <is>
          <t>chr3</t>
        </is>
      </c>
      <c r="B2643" t="n">
        <v>62093006</v>
      </c>
      <c r="C2643" t="inlineStr">
        <is>
          <t>A</t>
        </is>
      </c>
      <c r="D2643" t="inlineStr">
        <is>
          <t>G</t>
        </is>
      </c>
      <c r="E2643" t="inlineStr">
        <is>
          <t>rs35831310</t>
        </is>
      </c>
      <c r="F2643" t="n">
        <v>0.01139962814</v>
      </c>
      <c r="G2643" t="n">
        <v>0.4838809396128868</v>
      </c>
      <c r="H2643" t="n">
        <v>0.0166783511725395</v>
      </c>
      <c r="I2643" t="n">
        <v>0.1093815437110781</v>
      </c>
      <c r="J2643" t="n">
        <v>0.2326439048088532</v>
      </c>
      <c r="K2643" t="n">
        <v>0.355789603584071</v>
      </c>
      <c r="L2643" t="b">
        <v>0</v>
      </c>
      <c r="M2643" t="b">
        <v>0</v>
      </c>
      <c r="N2643" t="inlineStr">
        <is>
          <t>alt</t>
        </is>
      </c>
      <c r="O2643" t="n">
        <v>-50</v>
      </c>
      <c r="P2643" t="n">
        <v>0.001467</v>
      </c>
      <c r="Q2643" t="n">
        <v>100</v>
      </c>
      <c r="R2643" t="n">
        <v>0.02557</v>
      </c>
      <c r="S2643">
        <f>IMAGE("https://mitra.stanford.edu/kundaje/oak/projects/neuro-variants/variant_position/credible/roussos_2024/variant_figures/roussos_2024.adolescence.GLU/rs35831310_count_position.png",4,220,900)</f>
        <v/>
      </c>
      <c r="T2643">
        <f>IMAGE("https://mitra.stanford.edu/kundaje/oak/projects/neuro-variants/variant_position/credible/roussos_2024/variant_figures/roussos_2024.adolescence.GLU/rs35831310_profile_position.png",4,220,900)</f>
        <v/>
      </c>
    </row>
    <row r="2644">
      <c r="A2644" t="inlineStr">
        <is>
          <t>chr3</t>
        </is>
      </c>
      <c r="B2644" t="n">
        <v>62119521</v>
      </c>
      <c r="C2644" t="inlineStr">
        <is>
          <t>A</t>
        </is>
      </c>
      <c r="D2644" t="inlineStr">
        <is>
          <t>G</t>
        </is>
      </c>
      <c r="E2644" t="inlineStr">
        <is>
          <t>rs113467722</t>
        </is>
      </c>
      <c r="F2644" t="n">
        <v>0.0176566371799999</v>
      </c>
      <c r="G2644" t="n">
        <v>0.3271569390239072</v>
      </c>
      <c r="H2644" t="n">
        <v>0.008821873136880201</v>
      </c>
      <c r="I2644" t="n">
        <v>0.623862106820351</v>
      </c>
      <c r="J2644" t="n">
        <v>0.2468297004379478</v>
      </c>
      <c r="K2644" t="n">
        <v>0.3365978940041387</v>
      </c>
      <c r="L2644" t="b">
        <v>0</v>
      </c>
      <c r="M2644" t="b">
        <v>0</v>
      </c>
      <c r="N2644" t="inlineStr">
        <is>
          <t>alt</t>
        </is>
      </c>
      <c r="O2644" t="n">
        <v>30</v>
      </c>
      <c r="P2644" t="n">
        <v>0.001831</v>
      </c>
      <c r="Q2644" t="n">
        <v>-60</v>
      </c>
      <c r="R2644" t="n">
        <v>0.0326</v>
      </c>
      <c r="S2644">
        <f>IMAGE("https://mitra.stanford.edu/kundaje/oak/projects/neuro-variants/variant_position/credible/roussos_2024/variant_figures/roussos_2024.adolescence.GLU/rs113467722_count_position.png",4,220,900)</f>
        <v/>
      </c>
      <c r="T2644">
        <f>IMAGE("https://mitra.stanford.edu/kundaje/oak/projects/neuro-variants/variant_position/credible/roussos_2024/variant_figures/roussos_2024.adolescence.GLU/rs113467722_profile_position.png",4,220,900)</f>
        <v/>
      </c>
    </row>
    <row r="2645">
      <c r="A2645" t="inlineStr">
        <is>
          <t>chr3</t>
        </is>
      </c>
      <c r="B2645" t="n">
        <v>62122990</v>
      </c>
      <c r="C2645" t="inlineStr">
        <is>
          <t>G</t>
        </is>
      </c>
      <c r="D2645" t="inlineStr">
        <is>
          <t>A</t>
        </is>
      </c>
      <c r="E2645" t="inlineStr">
        <is>
          <t>rs2366683</t>
        </is>
      </c>
      <c r="F2645" t="n">
        <v>-0.087506768</v>
      </c>
      <c r="G2645" t="n">
        <v>0.0118092104943441</v>
      </c>
      <c r="H2645" t="n">
        <v>0.0130311911921786</v>
      </c>
      <c r="I2645" t="n">
        <v>0.2410092693385251</v>
      </c>
      <c r="J2645" t="n">
        <v>0.2007187203063491</v>
      </c>
      <c r="K2645" t="n">
        <v>0.4026362069887839</v>
      </c>
      <c r="L2645" t="b">
        <v>1</v>
      </c>
      <c r="M2645" t="b">
        <v>0</v>
      </c>
      <c r="N2645" t="inlineStr">
        <is>
          <t>ref</t>
        </is>
      </c>
      <c r="O2645" t="n">
        <v>-100</v>
      </c>
      <c r="P2645" t="n">
        <v>0.00304</v>
      </c>
      <c r="Q2645" t="n">
        <v>-100</v>
      </c>
      <c r="R2645" t="n">
        <v>0.04138</v>
      </c>
      <c r="S2645">
        <f>IMAGE("https://mitra.stanford.edu/kundaje/oak/projects/neuro-variants/variant_position/credible/roussos_2024/variant_figures/roussos_2024.adolescence.GLU/rs2366683_count_position.png",4,220,900)</f>
        <v/>
      </c>
      <c r="T2645">
        <f>IMAGE("https://mitra.stanford.edu/kundaje/oak/projects/neuro-variants/variant_position/credible/roussos_2024/variant_figures/roussos_2024.adolescence.GLU/rs2366683_profile_position.png",4,220,900)</f>
        <v/>
      </c>
    </row>
    <row r="2646">
      <c r="A2646" t="inlineStr">
        <is>
          <t>chr3</t>
        </is>
      </c>
      <c r="B2646" t="n">
        <v>62440565</v>
      </c>
      <c r="C2646" t="inlineStr">
        <is>
          <t>G</t>
        </is>
      </c>
      <c r="D2646" t="inlineStr">
        <is>
          <t>T</t>
        </is>
      </c>
      <c r="E2646" t="inlineStr">
        <is>
          <t>rs13081552</t>
        </is>
      </c>
      <c r="F2646" t="n">
        <v>0.0934858648</v>
      </c>
      <c r="G2646" t="n">
        <v>0.0103416911779563</v>
      </c>
      <c r="H2646" t="n">
        <v>0.0265192579364778</v>
      </c>
      <c r="I2646" t="n">
        <v>0.0174038227809404</v>
      </c>
      <c r="J2646" t="n">
        <v>0.211696708603925</v>
      </c>
      <c r="K2646" t="n">
        <v>0.3859609057780435</v>
      </c>
      <c r="L2646" t="b">
        <v>1</v>
      </c>
      <c r="M2646" t="b">
        <v>0</v>
      </c>
      <c r="N2646" t="inlineStr">
        <is>
          <t>alt</t>
        </is>
      </c>
      <c r="O2646" t="n">
        <v>100</v>
      </c>
      <c r="P2646" t="n">
        <v>0.01599</v>
      </c>
      <c r="Q2646" t="n">
        <v>100</v>
      </c>
      <c r="R2646" t="n">
        <v>0.10803</v>
      </c>
      <c r="S2646">
        <f>IMAGE("https://mitra.stanford.edu/kundaje/oak/projects/neuro-variants/variant_position/credible/roussos_2024/variant_figures/roussos_2024.adolescence.GLU/rs13081552_count_position.png",4,220,900)</f>
        <v/>
      </c>
      <c r="T2646">
        <f>IMAGE("https://mitra.stanford.edu/kundaje/oak/projects/neuro-variants/variant_position/credible/roussos_2024/variant_figures/roussos_2024.adolescence.GLU/rs13081552_profile_position.png",4,220,900)</f>
        <v/>
      </c>
    </row>
    <row r="2647">
      <c r="A2647" t="inlineStr">
        <is>
          <t>chr3</t>
        </is>
      </c>
      <c r="B2647" t="n">
        <v>62479364</v>
      </c>
      <c r="C2647" t="inlineStr">
        <is>
          <t>C</t>
        </is>
      </c>
      <c r="D2647" t="inlineStr">
        <is>
          <t>A</t>
        </is>
      </c>
      <c r="E2647" t="inlineStr">
        <is>
          <t>rs1452082</t>
        </is>
      </c>
      <c r="F2647" t="n">
        <v>-0.037458644</v>
      </c>
      <c r="G2647" t="n">
        <v>0.1281744961844005</v>
      </c>
      <c r="H2647" t="n">
        <v>0.0134458761265591</v>
      </c>
      <c r="I2647" t="n">
        <v>0.2350236452151428</v>
      </c>
      <c r="J2647" t="n">
        <v>0.446578219774096</v>
      </c>
      <c r="K2647" t="n">
        <v>0.127882714266486</v>
      </c>
      <c r="L2647" t="b">
        <v>0</v>
      </c>
      <c r="M2647" t="b">
        <v>0</v>
      </c>
      <c r="N2647" t="inlineStr">
        <is>
          <t>ref</t>
        </is>
      </c>
      <c r="O2647" t="n">
        <v>90</v>
      </c>
      <c r="P2647" t="n">
        <v>0.01932</v>
      </c>
      <c r="Q2647" t="n">
        <v>75</v>
      </c>
      <c r="R2647" t="n">
        <v>0.05847</v>
      </c>
      <c r="S2647">
        <f>IMAGE("https://mitra.stanford.edu/kundaje/oak/projects/neuro-variants/variant_position/credible/roussos_2024/variant_figures/roussos_2024.adolescence.GLU/rs1452082_count_position.png",4,220,900)</f>
        <v/>
      </c>
      <c r="T2647">
        <f>IMAGE("https://mitra.stanford.edu/kundaje/oak/projects/neuro-variants/variant_position/credible/roussos_2024/variant_figures/roussos_2024.adolescence.GLU/rs1452082_profile_position.png",4,220,900)</f>
        <v/>
      </c>
    </row>
    <row r="2648">
      <c r="A2648" t="inlineStr">
        <is>
          <t>chr3</t>
        </is>
      </c>
      <c r="B2648" t="n">
        <v>62574848</v>
      </c>
      <c r="C2648" t="inlineStr">
        <is>
          <t>T</t>
        </is>
      </c>
      <c r="D2648" t="inlineStr">
        <is>
          <t>C</t>
        </is>
      </c>
      <c r="E2648" t="inlineStr">
        <is>
          <t>rs6786550</t>
        </is>
      </c>
      <c r="F2648" t="n">
        <v>-0.03775027706</v>
      </c>
      <c r="G2648" t="n">
        <v>0.1391797676591147</v>
      </c>
      <c r="H2648" t="n">
        <v>0.0138792499969569</v>
      </c>
      <c r="I2648" t="n">
        <v>0.2584114769498832</v>
      </c>
      <c r="J2648" t="n">
        <v>0.0681283980253052</v>
      </c>
      <c r="K2648" t="n">
        <v>0.6440108906489599</v>
      </c>
      <c r="L2648" t="b">
        <v>0</v>
      </c>
      <c r="M2648" t="b">
        <v>0</v>
      </c>
      <c r="N2648" t="inlineStr">
        <is>
          <t>ref</t>
        </is>
      </c>
      <c r="O2648" t="n">
        <v>100</v>
      </c>
      <c r="P2648" t="n">
        <v>0.006653</v>
      </c>
      <c r="Q2648" t="n">
        <v>85</v>
      </c>
      <c r="R2648" t="n">
        <v>0.04968</v>
      </c>
      <c r="S2648">
        <f>IMAGE("https://mitra.stanford.edu/kundaje/oak/projects/neuro-variants/variant_position/credible/roussos_2024/variant_figures/roussos_2024.adolescence.GLU/rs6786550_count_position.png",4,220,900)</f>
        <v/>
      </c>
      <c r="T2648">
        <f>IMAGE("https://mitra.stanford.edu/kundaje/oak/projects/neuro-variants/variant_position/credible/roussos_2024/variant_figures/roussos_2024.adolescence.GLU/rs6786550_profile_position.png",4,220,900)</f>
        <v/>
      </c>
    </row>
    <row r="2649">
      <c r="A2649" t="inlineStr">
        <is>
          <t>chr3</t>
        </is>
      </c>
      <c r="B2649" t="n">
        <v>63811581</v>
      </c>
      <c r="C2649" t="inlineStr">
        <is>
          <t>A</t>
        </is>
      </c>
      <c r="D2649" t="inlineStr">
        <is>
          <t>C</t>
        </is>
      </c>
      <c r="E2649" t="inlineStr">
        <is>
          <t>rs72886387</t>
        </is>
      </c>
      <c r="F2649" t="n">
        <v>0.0006967222799999</v>
      </c>
      <c r="G2649" t="n">
        <v>0.7649654804110633</v>
      </c>
      <c r="H2649" t="n">
        <v>0.034733391146415</v>
      </c>
      <c r="I2649" t="n">
        <v>0.0048701139805066</v>
      </c>
      <c r="J2649" t="n">
        <v>0.1464360474669752</v>
      </c>
      <c r="K2649" t="n">
        <v>0.4849772118174054</v>
      </c>
      <c r="L2649" t="b">
        <v>1</v>
      </c>
      <c r="M2649" t="b">
        <v>1</v>
      </c>
      <c r="N2649" t="inlineStr">
        <is>
          <t>alt</t>
        </is>
      </c>
      <c r="O2649" t="n">
        <v>90</v>
      </c>
      <c r="P2649" t="n">
        <v>0.01212</v>
      </c>
      <c r="Q2649" t="n">
        <v>-40</v>
      </c>
      <c r="R2649" t="n">
        <v>0.06963999999999999</v>
      </c>
      <c r="S2649">
        <f>IMAGE("https://mitra.stanford.edu/kundaje/oak/projects/neuro-variants/variant_position/credible/roussos_2024/variant_figures/roussos_2024.adolescence.GLU/rs72886387_count_position.png",4,220,900)</f>
        <v/>
      </c>
      <c r="T2649">
        <f>IMAGE("https://mitra.stanford.edu/kundaje/oak/projects/neuro-variants/variant_position/credible/roussos_2024/variant_figures/roussos_2024.adolescence.GLU/rs72886387_profile_position.png",4,220,900)</f>
        <v/>
      </c>
    </row>
    <row r="2650">
      <c r="A2650" t="inlineStr">
        <is>
          <t>chr3</t>
        </is>
      </c>
      <c r="B2650" t="n">
        <v>63871194</v>
      </c>
      <c r="C2650" t="inlineStr">
        <is>
          <t>G</t>
        </is>
      </c>
      <c r="D2650" t="inlineStr">
        <is>
          <t>A</t>
        </is>
      </c>
      <c r="E2650" t="inlineStr">
        <is>
          <t>rs3774702</t>
        </is>
      </c>
      <c r="F2650" t="n">
        <v>-0.0111122690999999</v>
      </c>
      <c r="G2650" t="n">
        <v>0.5192739918448277</v>
      </c>
      <c r="H2650" t="n">
        <v>0.0205993183636399</v>
      </c>
      <c r="I2650" t="n">
        <v>0.0494170187316921</v>
      </c>
      <c r="J2650" t="n">
        <v>0.0684713262032849</v>
      </c>
      <c r="K2650" t="n">
        <v>0.6411021459117646</v>
      </c>
      <c r="L2650" t="b">
        <v>0</v>
      </c>
      <c r="M2650" t="b">
        <v>0</v>
      </c>
      <c r="N2650" t="inlineStr">
        <is>
          <t>ref</t>
        </is>
      </c>
      <c r="O2650" t="n">
        <v>-10</v>
      </c>
      <c r="P2650" t="n">
        <v>0.002441</v>
      </c>
      <c r="Q2650" t="n">
        <v>-40</v>
      </c>
      <c r="R2650" t="n">
        <v>0.03693</v>
      </c>
      <c r="S2650">
        <f>IMAGE("https://mitra.stanford.edu/kundaje/oak/projects/neuro-variants/variant_position/credible/roussos_2024/variant_figures/roussos_2024.adolescence.GLU/rs3774702_count_position.png",4,220,900)</f>
        <v/>
      </c>
      <c r="T2650">
        <f>IMAGE("https://mitra.stanford.edu/kundaje/oak/projects/neuro-variants/variant_position/credible/roussos_2024/variant_figures/roussos_2024.adolescence.GLU/rs3774702_profile_position.png",4,220,900)</f>
        <v/>
      </c>
    </row>
    <row r="2651">
      <c r="A2651" t="inlineStr">
        <is>
          <t>chr3</t>
        </is>
      </c>
      <c r="B2651" t="n">
        <v>63966089</v>
      </c>
      <c r="C2651" t="inlineStr">
        <is>
          <t>C</t>
        </is>
      </c>
      <c r="D2651" t="inlineStr">
        <is>
          <t>T</t>
        </is>
      </c>
      <c r="E2651" t="inlineStr">
        <is>
          <t>rs3774720</t>
        </is>
      </c>
      <c r="F2651" t="n">
        <v>-0.057231848</v>
      </c>
      <c r="G2651" t="n">
        <v>0.048986791014322</v>
      </c>
      <c r="H2651" t="n">
        <v>0.011490033178774</v>
      </c>
      <c r="I2651" t="n">
        <v>0.3602439308397652</v>
      </c>
      <c r="J2651" t="n">
        <v>0.2602767716169778</v>
      </c>
      <c r="K2651" t="n">
        <v>0.321763140448139</v>
      </c>
      <c r="L2651" t="b">
        <v>0</v>
      </c>
      <c r="M2651" t="b">
        <v>0</v>
      </c>
      <c r="N2651" t="inlineStr">
        <is>
          <t>ref</t>
        </is>
      </c>
      <c r="O2651" t="n">
        <v>-30</v>
      </c>
      <c r="P2651" t="n">
        <v>0.003807</v>
      </c>
      <c r="Q2651" t="n">
        <v>85</v>
      </c>
      <c r="R2651" t="n">
        <v>0.09375</v>
      </c>
      <c r="S2651">
        <f>IMAGE("https://mitra.stanford.edu/kundaje/oak/projects/neuro-variants/variant_position/credible/roussos_2024/variant_figures/roussos_2024.adolescence.GLU/rs3774720_count_position.png",4,220,900)</f>
        <v/>
      </c>
      <c r="T2651">
        <f>IMAGE("https://mitra.stanford.edu/kundaje/oak/projects/neuro-variants/variant_position/credible/roussos_2024/variant_figures/roussos_2024.adolescence.GLU/rs3774720_profile_position.png",4,220,900)</f>
        <v/>
      </c>
    </row>
    <row r="2652">
      <c r="A2652" t="inlineStr">
        <is>
          <t>chr3</t>
        </is>
      </c>
      <c r="B2652" t="n">
        <v>64027666</v>
      </c>
      <c r="C2652" t="inlineStr">
        <is>
          <t>G</t>
        </is>
      </c>
      <c r="D2652" t="inlineStr">
        <is>
          <t>A</t>
        </is>
      </c>
      <c r="E2652" t="inlineStr">
        <is>
          <t>rs35838</t>
        </is>
      </c>
      <c r="F2652" t="n">
        <v>-0.01018832814</v>
      </c>
      <c r="G2652" t="n">
        <v>0.5287913466395395</v>
      </c>
      <c r="H2652" t="n">
        <v>0.0105352689219041</v>
      </c>
      <c r="I2652" t="n">
        <v>0.4617146148063811</v>
      </c>
      <c r="J2652" t="n">
        <v>0.2633702695558365</v>
      </c>
      <c r="K2652" t="n">
        <v>0.3176719507267103</v>
      </c>
      <c r="L2652" t="b">
        <v>0</v>
      </c>
      <c r="M2652" t="b">
        <v>0</v>
      </c>
      <c r="N2652" t="inlineStr">
        <is>
          <t>ref</t>
        </is>
      </c>
      <c r="O2652" t="n">
        <v>50</v>
      </c>
      <c r="P2652" t="n">
        <v>0.004627</v>
      </c>
      <c r="Q2652" t="n">
        <v>95</v>
      </c>
      <c r="R2652" t="n">
        <v>0.09760000000000001</v>
      </c>
      <c r="S2652">
        <f>IMAGE("https://mitra.stanford.edu/kundaje/oak/projects/neuro-variants/variant_position/credible/roussos_2024/variant_figures/roussos_2024.adolescence.GLU/rs35838_count_position.png",4,220,900)</f>
        <v/>
      </c>
      <c r="T2652">
        <f>IMAGE("https://mitra.stanford.edu/kundaje/oak/projects/neuro-variants/variant_position/credible/roussos_2024/variant_figures/roussos_2024.adolescence.GLU/rs35838_profile_position.png",4,220,900)</f>
        <v/>
      </c>
    </row>
    <row r="2653">
      <c r="A2653" t="inlineStr">
        <is>
          <t>chr3</t>
        </is>
      </c>
      <c r="B2653" t="n">
        <v>64057955</v>
      </c>
      <c r="C2653" t="inlineStr">
        <is>
          <t>G</t>
        </is>
      </c>
      <c r="D2653" t="inlineStr">
        <is>
          <t>A</t>
        </is>
      </c>
      <c r="E2653" t="inlineStr">
        <is>
          <t>rs704375</t>
        </is>
      </c>
      <c r="F2653" t="n">
        <v>-0.0548291658</v>
      </c>
      <c r="G2653" t="n">
        <v>0.0530113422475854</v>
      </c>
      <c r="H2653" t="n">
        <v>0.009345604643931801</v>
      </c>
      <c r="I2653" t="n">
        <v>0.6254324233621555</v>
      </c>
      <c r="J2653" t="n">
        <v>0.2321095083981681</v>
      </c>
      <c r="K2653" t="n">
        <v>0.3579655158140353</v>
      </c>
      <c r="L2653" t="b">
        <v>0</v>
      </c>
      <c r="M2653" t="b">
        <v>0</v>
      </c>
      <c r="N2653" t="inlineStr">
        <is>
          <t>ref</t>
        </is>
      </c>
      <c r="O2653" t="n">
        <v>20</v>
      </c>
      <c r="P2653" t="n">
        <v>0.002007</v>
      </c>
      <c r="Q2653" t="n">
        <v>70</v>
      </c>
      <c r="R2653" t="n">
        <v>0.04865</v>
      </c>
      <c r="S2653">
        <f>IMAGE("https://mitra.stanford.edu/kundaje/oak/projects/neuro-variants/variant_position/credible/roussos_2024/variant_figures/roussos_2024.adolescence.GLU/rs704375_count_position.png",4,220,900)</f>
        <v/>
      </c>
      <c r="T2653">
        <f>IMAGE("https://mitra.stanford.edu/kundaje/oak/projects/neuro-variants/variant_position/credible/roussos_2024/variant_figures/roussos_2024.adolescence.GLU/rs704375_profile_position.png",4,220,900)</f>
        <v/>
      </c>
    </row>
    <row r="2654">
      <c r="A2654" t="inlineStr">
        <is>
          <t>chr3</t>
        </is>
      </c>
      <c r="B2654" t="n">
        <v>64083760</v>
      </c>
      <c r="C2654" t="inlineStr">
        <is>
          <t>G</t>
        </is>
      </c>
      <c r="D2654" t="inlineStr">
        <is>
          <t>T</t>
        </is>
      </c>
      <c r="E2654" t="inlineStr">
        <is>
          <t>rs26936</t>
        </is>
      </c>
      <c r="F2654" t="n">
        <v>-0.079092676</v>
      </c>
      <c r="G2654" t="n">
        <v>0.0159416137036258</v>
      </c>
      <c r="H2654" t="n">
        <v>0.0161082750151785</v>
      </c>
      <c r="I2654" t="n">
        <v>0.1205564177603421</v>
      </c>
      <c r="J2654" t="n">
        <v>0.2962170735366611</v>
      </c>
      <c r="K2654" t="n">
        <v>0.2772238031442627</v>
      </c>
      <c r="L2654" t="b">
        <v>1</v>
      </c>
      <c r="M2654" t="b">
        <v>0</v>
      </c>
      <c r="N2654" t="inlineStr">
        <is>
          <t>ref</t>
        </is>
      </c>
      <c r="O2654" t="n">
        <v>10</v>
      </c>
      <c r="P2654" t="n">
        <v>0.00095</v>
      </c>
      <c r="Q2654" t="n">
        <v>45</v>
      </c>
      <c r="R2654" t="n">
        <v>0.02428</v>
      </c>
      <c r="S2654">
        <f>IMAGE("https://mitra.stanford.edu/kundaje/oak/projects/neuro-variants/variant_position/credible/roussos_2024/variant_figures/roussos_2024.adolescence.GLU/rs26936_count_position.png",4,220,900)</f>
        <v/>
      </c>
      <c r="T2654">
        <f>IMAGE("https://mitra.stanford.edu/kundaje/oak/projects/neuro-variants/variant_position/credible/roussos_2024/variant_figures/roussos_2024.adolescence.GLU/rs26936_profile_position.png",4,220,900)</f>
        <v/>
      </c>
    </row>
    <row r="2655">
      <c r="A2655" t="inlineStr">
        <is>
          <t>chr3</t>
        </is>
      </c>
      <c r="B2655" t="n">
        <v>71482316</v>
      </c>
      <c r="C2655" t="inlineStr">
        <is>
          <t>T</t>
        </is>
      </c>
      <c r="D2655" t="inlineStr">
        <is>
          <t>C</t>
        </is>
      </c>
      <c r="E2655" t="inlineStr">
        <is>
          <t>rs35483362</t>
        </is>
      </c>
      <c r="F2655" t="n">
        <v>0.003891165</v>
      </c>
      <c r="G2655" t="n">
        <v>0.7527629096721742</v>
      </c>
      <c r="H2655" t="n">
        <v>0.016615528681891</v>
      </c>
      <c r="I2655" t="n">
        <v>0.1136234214372207</v>
      </c>
      <c r="J2655" t="n">
        <v>0.0983289395660529</v>
      </c>
      <c r="K2655" t="n">
        <v>0.5755323776884521</v>
      </c>
      <c r="L2655" t="b">
        <v>0</v>
      </c>
      <c r="M2655" t="b">
        <v>0</v>
      </c>
      <c r="N2655" t="inlineStr">
        <is>
          <t>alt</t>
        </is>
      </c>
      <c r="O2655" t="n">
        <v>0</v>
      </c>
      <c r="P2655" t="n">
        <v>0</v>
      </c>
      <c r="Q2655" t="n">
        <v>-100</v>
      </c>
      <c r="R2655" t="n">
        <v>0.08984</v>
      </c>
      <c r="S2655">
        <f>IMAGE("https://mitra.stanford.edu/kundaje/oak/projects/neuro-variants/variant_position/credible/roussos_2024/variant_figures/roussos_2024.adolescence.GLU/rs35483362_count_position.png",4,220,900)</f>
        <v/>
      </c>
      <c r="T2655">
        <f>IMAGE("https://mitra.stanford.edu/kundaje/oak/projects/neuro-variants/variant_position/credible/roussos_2024/variant_figures/roussos_2024.adolescence.GLU/rs35483362_profile_position.png",4,220,900)</f>
        <v/>
      </c>
    </row>
    <row r="2656">
      <c r="A2656" t="inlineStr">
        <is>
          <t>chr3</t>
        </is>
      </c>
      <c r="B2656" t="n">
        <v>71482962</v>
      </c>
      <c r="C2656" t="inlineStr">
        <is>
          <t>T</t>
        </is>
      </c>
      <c r="D2656" t="inlineStr">
        <is>
          <t>C</t>
        </is>
      </c>
      <c r="E2656" t="inlineStr">
        <is>
          <t>rs6805189</t>
        </is>
      </c>
      <c r="F2656" t="n">
        <v>0.0432972032</v>
      </c>
      <c r="G2656" t="n">
        <v>0.0875113920831926</v>
      </c>
      <c r="H2656" t="n">
        <v>0.0103569054967028</v>
      </c>
      <c r="I2656" t="n">
        <v>0.4679251922517235</v>
      </c>
      <c r="J2656" t="n">
        <v>0.1296897214422987</v>
      </c>
      <c r="K2656" t="n">
        <v>0.5167255638151119</v>
      </c>
      <c r="L2656" t="b">
        <v>0</v>
      </c>
      <c r="M2656" t="b">
        <v>0</v>
      </c>
      <c r="N2656" t="inlineStr">
        <is>
          <t>alt</t>
        </is>
      </c>
      <c r="O2656" t="n">
        <v>-100</v>
      </c>
      <c r="P2656" t="n">
        <v>0.01682</v>
      </c>
      <c r="Q2656" t="n">
        <v>-95</v>
      </c>
      <c r="R2656" t="n">
        <v>0.04785</v>
      </c>
      <c r="S2656">
        <f>IMAGE("https://mitra.stanford.edu/kundaje/oak/projects/neuro-variants/variant_position/credible/roussos_2024/variant_figures/roussos_2024.adolescence.GLU/rs6805189_count_position.png",4,220,900)</f>
        <v/>
      </c>
      <c r="T2656">
        <f>IMAGE("https://mitra.stanford.edu/kundaje/oak/projects/neuro-variants/variant_position/credible/roussos_2024/variant_figures/roussos_2024.adolescence.GLU/rs6805189_profile_position.png",4,220,900)</f>
        <v/>
      </c>
    </row>
    <row r="2657">
      <c r="A2657" t="inlineStr">
        <is>
          <t>chr3</t>
        </is>
      </c>
      <c r="B2657" t="n">
        <v>71522194</v>
      </c>
      <c r="C2657" t="inlineStr">
        <is>
          <t>C</t>
        </is>
      </c>
      <c r="D2657" t="inlineStr">
        <is>
          <t>T</t>
        </is>
      </c>
      <c r="E2657" t="inlineStr">
        <is>
          <t>rs6803008</t>
        </is>
      </c>
      <c r="F2657" t="n">
        <v>-0.0010449804599999</v>
      </c>
      <c r="G2657" t="n">
        <v>0.5075621976813054</v>
      </c>
      <c r="H2657" t="n">
        <v>0.0093117849157859</v>
      </c>
      <c r="I2657" t="n">
        <v>0.5756581196673267</v>
      </c>
      <c r="J2657" t="n">
        <v>0.2546027391388216</v>
      </c>
      <c r="K2657" t="n">
        <v>0.3277419224766985</v>
      </c>
      <c r="L2657" t="b">
        <v>0</v>
      </c>
      <c r="M2657" t="b">
        <v>0</v>
      </c>
      <c r="N2657" t="inlineStr">
        <is>
          <t>ref</t>
        </is>
      </c>
      <c r="O2657" t="n">
        <v>-5</v>
      </c>
      <c r="P2657" t="n">
        <v>0.0005646</v>
      </c>
      <c r="Q2657" t="n">
        <v>-100</v>
      </c>
      <c r="R2657" t="n">
        <v>0.01493</v>
      </c>
      <c r="S2657">
        <f>IMAGE("https://mitra.stanford.edu/kundaje/oak/projects/neuro-variants/variant_position/credible/roussos_2024/variant_figures/roussos_2024.adolescence.GLU/rs6803008_count_position.png",4,220,900)</f>
        <v/>
      </c>
      <c r="T2657">
        <f>IMAGE("https://mitra.stanford.edu/kundaje/oak/projects/neuro-variants/variant_position/credible/roussos_2024/variant_figures/roussos_2024.adolescence.GLU/rs6803008_profile_position.png",4,220,900)</f>
        <v/>
      </c>
    </row>
    <row r="2658">
      <c r="A2658" t="inlineStr">
        <is>
          <t>chr3</t>
        </is>
      </c>
      <c r="B2658" t="n">
        <v>71523984</v>
      </c>
      <c r="C2658" t="inlineStr">
        <is>
          <t>T</t>
        </is>
      </c>
      <c r="D2658" t="inlineStr">
        <is>
          <t>G</t>
        </is>
      </c>
      <c r="E2658" t="inlineStr">
        <is>
          <t>rs17008723</t>
        </is>
      </c>
      <c r="F2658" t="n">
        <v>-0.0175582072</v>
      </c>
      <c r="G2658" t="n">
        <v>0.3563713564221106</v>
      </c>
      <c r="H2658" t="n">
        <v>0.0132677665092341</v>
      </c>
      <c r="I2658" t="n">
        <v>0.2565269673399716</v>
      </c>
      <c r="J2658" t="n">
        <v>0.1760964771274049</v>
      </c>
      <c r="K2658" t="n">
        <v>0.4322893508686043</v>
      </c>
      <c r="L2658" t="b">
        <v>0</v>
      </c>
      <c r="M2658" t="b">
        <v>0</v>
      </c>
      <c r="N2658" t="inlineStr">
        <is>
          <t>ref</t>
        </is>
      </c>
      <c r="O2658" t="n">
        <v>100</v>
      </c>
      <c r="P2658" t="n">
        <v>0.008644000000000001</v>
      </c>
      <c r="Q2658" t="n">
        <v>-5</v>
      </c>
      <c r="R2658" t="n">
        <v>0.001099</v>
      </c>
      <c r="S2658">
        <f>IMAGE("https://mitra.stanford.edu/kundaje/oak/projects/neuro-variants/variant_position/credible/roussos_2024/variant_figures/roussos_2024.adolescence.GLU/rs17008723_count_position.png",4,220,900)</f>
        <v/>
      </c>
      <c r="T2658">
        <f>IMAGE("https://mitra.stanford.edu/kundaje/oak/projects/neuro-variants/variant_position/credible/roussos_2024/variant_figures/roussos_2024.adolescence.GLU/rs17008723_profile_position.png",4,220,900)</f>
        <v/>
      </c>
    </row>
    <row r="2659">
      <c r="A2659" t="inlineStr">
        <is>
          <t>chr3</t>
        </is>
      </c>
      <c r="B2659" t="n">
        <v>80616803</v>
      </c>
      <c r="C2659" t="inlineStr">
        <is>
          <t>C</t>
        </is>
      </c>
      <c r="D2659" t="inlineStr">
        <is>
          <t>T</t>
        </is>
      </c>
      <c r="E2659" t="inlineStr">
        <is>
          <t>rs1437046</t>
        </is>
      </c>
      <c r="F2659" t="n">
        <v>-0.0644246535999999</v>
      </c>
      <c r="G2659" t="n">
        <v>0.0318940848953251</v>
      </c>
      <c r="H2659" t="n">
        <v>0.010586921630787</v>
      </c>
      <c r="I2659" t="n">
        <v>0.4535558832075969</v>
      </c>
      <c r="J2659" t="n">
        <v>0.1834622886169277</v>
      </c>
      <c r="K2659" t="n">
        <v>0.4241021083523778</v>
      </c>
      <c r="L2659" t="b">
        <v>0</v>
      </c>
      <c r="M2659" t="b">
        <v>0</v>
      </c>
      <c r="N2659" t="inlineStr">
        <is>
          <t>ref</t>
        </is>
      </c>
      <c r="O2659" t="n">
        <v>-60</v>
      </c>
      <c r="P2659" t="n">
        <v>0.009795999999999999</v>
      </c>
      <c r="Q2659" t="n">
        <v>100</v>
      </c>
      <c r="R2659" t="n">
        <v>0.1012</v>
      </c>
      <c r="S2659">
        <f>IMAGE("https://mitra.stanford.edu/kundaje/oak/projects/neuro-variants/variant_position/credible/roussos_2024/variant_figures/roussos_2024.adolescence.GLU/rs1437046_count_position.png",4,220,900)</f>
        <v/>
      </c>
      <c r="T2659">
        <f>IMAGE("https://mitra.stanford.edu/kundaje/oak/projects/neuro-variants/variant_position/credible/roussos_2024/variant_figures/roussos_2024.adolescence.GLU/rs1437046_profile_position.png",4,220,900)</f>
        <v/>
      </c>
    </row>
    <row r="2660">
      <c r="A2660" t="inlineStr">
        <is>
          <t>chr3</t>
        </is>
      </c>
      <c r="B2660" t="n">
        <v>80652442</v>
      </c>
      <c r="C2660" t="inlineStr">
        <is>
          <t>T</t>
        </is>
      </c>
      <c r="D2660" t="inlineStr">
        <is>
          <t>C</t>
        </is>
      </c>
      <c r="E2660" t="inlineStr">
        <is>
          <t>rs678585</t>
        </is>
      </c>
      <c r="F2660" t="n">
        <v>-0.0032396569599999</v>
      </c>
      <c r="G2660" t="n">
        <v>0.7838530301311554</v>
      </c>
      <c r="H2660" t="n">
        <v>0.0170686613854955</v>
      </c>
      <c r="I2660" t="n">
        <v>0.1029229967511822</v>
      </c>
      <c r="J2660" t="n">
        <v>0.07033885590586619</v>
      </c>
      <c r="K2660" t="n">
        <v>0.6518738194492075</v>
      </c>
      <c r="L2660" t="b">
        <v>0</v>
      </c>
      <c r="M2660" t="b">
        <v>0</v>
      </c>
      <c r="N2660" t="inlineStr">
        <is>
          <t>ref</t>
        </is>
      </c>
      <c r="O2660" t="n">
        <v>-75</v>
      </c>
      <c r="P2660" t="n">
        <v>0.013214</v>
      </c>
      <c r="Q2660" t="n">
        <v>100</v>
      </c>
      <c r="R2660" t="n">
        <v>0.05563</v>
      </c>
      <c r="S2660">
        <f>IMAGE("https://mitra.stanford.edu/kundaje/oak/projects/neuro-variants/variant_position/credible/roussos_2024/variant_figures/roussos_2024.adolescence.GLU/rs678585_count_position.png",4,220,900)</f>
        <v/>
      </c>
      <c r="T2660">
        <f>IMAGE("https://mitra.stanford.edu/kundaje/oak/projects/neuro-variants/variant_position/credible/roussos_2024/variant_figures/roussos_2024.adolescence.GLU/rs678585_profile_position.png",4,220,900)</f>
        <v/>
      </c>
    </row>
    <row r="2661">
      <c r="A2661" t="inlineStr">
        <is>
          <t>chr3</t>
        </is>
      </c>
      <c r="B2661" t="n">
        <v>80655819</v>
      </c>
      <c r="C2661" t="inlineStr">
        <is>
          <t>C</t>
        </is>
      </c>
      <c r="D2661" t="inlineStr">
        <is>
          <t>T</t>
        </is>
      </c>
      <c r="E2661" t="inlineStr">
        <is>
          <t>rs500298</t>
        </is>
      </c>
      <c r="F2661" t="n">
        <v>-0.00444057968</v>
      </c>
      <c r="G2661" t="n">
        <v>0.766335526596323</v>
      </c>
      <c r="H2661" t="n">
        <v>0.0138202550296741</v>
      </c>
      <c r="I2661" t="n">
        <v>0.21856167884214</v>
      </c>
      <c r="J2661" t="n">
        <v>0.19405162497946</v>
      </c>
      <c r="K2661" t="n">
        <v>0.4090981064901844</v>
      </c>
      <c r="L2661" t="b">
        <v>0</v>
      </c>
      <c r="M2661" t="b">
        <v>0</v>
      </c>
      <c r="N2661" t="inlineStr">
        <is>
          <t>ref</t>
        </is>
      </c>
      <c r="O2661" t="n">
        <v>-100</v>
      </c>
      <c r="P2661" t="n">
        <v>0.00508</v>
      </c>
      <c r="Q2661" t="n">
        <v>100</v>
      </c>
      <c r="R2661" t="n">
        <v>0.04935</v>
      </c>
      <c r="S2661">
        <f>IMAGE("https://mitra.stanford.edu/kundaje/oak/projects/neuro-variants/variant_position/credible/roussos_2024/variant_figures/roussos_2024.adolescence.GLU/rs500298_count_position.png",4,220,900)</f>
        <v/>
      </c>
      <c r="T2661">
        <f>IMAGE("https://mitra.stanford.edu/kundaje/oak/projects/neuro-variants/variant_position/credible/roussos_2024/variant_figures/roussos_2024.adolescence.GLU/rs500298_profile_position.png",4,220,900)</f>
        <v/>
      </c>
    </row>
    <row r="2662">
      <c r="A2662" t="inlineStr">
        <is>
          <t>chr3</t>
        </is>
      </c>
      <c r="B2662" t="n">
        <v>80664787</v>
      </c>
      <c r="C2662" t="inlineStr">
        <is>
          <t>A</t>
        </is>
      </c>
      <c r="D2662" t="inlineStr">
        <is>
          <t>C</t>
        </is>
      </c>
      <c r="E2662" t="inlineStr">
        <is>
          <t>rs658551</t>
        </is>
      </c>
      <c r="F2662" t="n">
        <v>-0.001663828982</v>
      </c>
      <c r="G2662" t="n">
        <v>0.7982962635718621</v>
      </c>
      <c r="H2662" t="n">
        <v>0.0283653276384045</v>
      </c>
      <c r="I2662" t="n">
        <v>0.0115033906743185</v>
      </c>
      <c r="J2662" t="n">
        <v>0.0114180794593165</v>
      </c>
      <c r="K2662" t="n">
        <v>0.8840767124549457</v>
      </c>
      <c r="L2662" t="b">
        <v>1</v>
      </c>
      <c r="M2662" t="b">
        <v>0</v>
      </c>
      <c r="N2662" t="inlineStr">
        <is>
          <t>ref</t>
        </is>
      </c>
      <c r="O2662" t="n">
        <v>-5</v>
      </c>
      <c r="P2662" t="n">
        <v>0.0001831</v>
      </c>
      <c r="Q2662" t="n">
        <v>0</v>
      </c>
      <c r="R2662" t="n">
        <v>0</v>
      </c>
      <c r="S2662">
        <f>IMAGE("https://mitra.stanford.edu/kundaje/oak/projects/neuro-variants/variant_position/credible/roussos_2024/variant_figures/roussos_2024.adolescence.GLU/rs658551_count_position.png",4,220,900)</f>
        <v/>
      </c>
      <c r="T2662">
        <f>IMAGE("https://mitra.stanford.edu/kundaje/oak/projects/neuro-variants/variant_position/credible/roussos_2024/variant_figures/roussos_2024.adolescence.GLU/rs658551_profile_position.png",4,220,900)</f>
        <v/>
      </c>
    </row>
    <row r="2663">
      <c r="A2663" t="inlineStr">
        <is>
          <t>chr3</t>
        </is>
      </c>
      <c r="B2663" t="n">
        <v>80677674</v>
      </c>
      <c r="C2663" t="inlineStr">
        <is>
          <t>C</t>
        </is>
      </c>
      <c r="D2663" t="inlineStr">
        <is>
          <t>A</t>
        </is>
      </c>
      <c r="E2663" t="inlineStr">
        <is>
          <t>rs627529</t>
        </is>
      </c>
      <c r="F2663" t="n">
        <v>0.010544531</v>
      </c>
      <c r="G2663" t="n">
        <v>0.4752591107782946</v>
      </c>
      <c r="H2663" t="n">
        <v>0.0154883199196924</v>
      </c>
      <c r="I2663" t="n">
        <v>0.1454886103442866</v>
      </c>
      <c r="J2663" t="n">
        <v>0.3231655128562344</v>
      </c>
      <c r="K2663" t="n">
        <v>0.2369981467038245</v>
      </c>
      <c r="L2663" t="b">
        <v>0</v>
      </c>
      <c r="M2663" t="b">
        <v>0</v>
      </c>
      <c r="N2663" t="inlineStr">
        <is>
          <t>alt</t>
        </is>
      </c>
      <c r="O2663" t="n">
        <v>100</v>
      </c>
      <c r="P2663" t="n">
        <v>0.024</v>
      </c>
      <c r="Q2663" t="n">
        <v>100</v>
      </c>
      <c r="R2663" t="n">
        <v>0.0977</v>
      </c>
      <c r="S2663">
        <f>IMAGE("https://mitra.stanford.edu/kundaje/oak/projects/neuro-variants/variant_position/credible/roussos_2024/variant_figures/roussos_2024.adolescence.GLU/rs627529_count_position.png",4,220,900)</f>
        <v/>
      </c>
      <c r="T2663">
        <f>IMAGE("https://mitra.stanford.edu/kundaje/oak/projects/neuro-variants/variant_position/credible/roussos_2024/variant_figures/roussos_2024.adolescence.GLU/rs627529_profile_position.png",4,220,900)</f>
        <v/>
      </c>
    </row>
    <row r="2664">
      <c r="A2664" t="inlineStr">
        <is>
          <t>chr3</t>
        </is>
      </c>
      <c r="B2664" t="n">
        <v>80686336</v>
      </c>
      <c r="C2664" t="inlineStr">
        <is>
          <t>C</t>
        </is>
      </c>
      <c r="D2664" t="inlineStr">
        <is>
          <t>T</t>
        </is>
      </c>
      <c r="E2664" t="inlineStr">
        <is>
          <t>rs7617921</t>
        </is>
      </c>
      <c r="F2664" t="n">
        <v>-0.020564397714</v>
      </c>
      <c r="G2664" t="n">
        <v>0.3035151451986137</v>
      </c>
      <c r="H2664" t="n">
        <v>0.0156652635805128</v>
      </c>
      <c r="I2664" t="n">
        <v>0.1412543698648278</v>
      </c>
      <c r="J2664" t="n">
        <v>0.0281615477491765</v>
      </c>
      <c r="K2664" t="n">
        <v>0.7800499489972326</v>
      </c>
      <c r="L2664" t="b">
        <v>0</v>
      </c>
      <c r="M2664" t="b">
        <v>0</v>
      </c>
      <c r="N2664" t="inlineStr">
        <is>
          <t>ref</t>
        </is>
      </c>
      <c r="O2664" t="n">
        <v>40</v>
      </c>
      <c r="P2664" t="n">
        <v>6.866e-05</v>
      </c>
      <c r="Q2664" t="n">
        <v>-20</v>
      </c>
      <c r="R2664" t="n">
        <v>0.007934999999999999</v>
      </c>
      <c r="S2664">
        <f>IMAGE("https://mitra.stanford.edu/kundaje/oak/projects/neuro-variants/variant_position/credible/roussos_2024/variant_figures/roussos_2024.adolescence.GLU/rs7617921_count_position.png",4,220,900)</f>
        <v/>
      </c>
      <c r="T2664">
        <f>IMAGE("https://mitra.stanford.edu/kundaje/oak/projects/neuro-variants/variant_position/credible/roussos_2024/variant_figures/roussos_2024.adolescence.GLU/rs7617921_profile_position.png",4,220,900)</f>
        <v/>
      </c>
    </row>
    <row r="2665">
      <c r="A2665" t="inlineStr">
        <is>
          <t>chr3</t>
        </is>
      </c>
      <c r="B2665" t="n">
        <v>80695967</v>
      </c>
      <c r="C2665" t="inlineStr">
        <is>
          <t>A</t>
        </is>
      </c>
      <c r="D2665" t="inlineStr">
        <is>
          <t>T</t>
        </is>
      </c>
      <c r="E2665" t="inlineStr">
        <is>
          <t>rs613707</t>
        </is>
      </c>
      <c r="F2665" t="n">
        <v>0.00307708824</v>
      </c>
      <c r="G2665" t="n">
        <v>0.7407980888511351</v>
      </c>
      <c r="H2665" t="n">
        <v>0.0084996527893926</v>
      </c>
      <c r="I2665" t="n">
        <v>0.6980217881479757</v>
      </c>
      <c r="J2665" t="n">
        <v>0.0060255338605853</v>
      </c>
      <c r="K2665" t="n">
        <v>0.9131533853296044</v>
      </c>
      <c r="L2665" t="b">
        <v>0</v>
      </c>
      <c r="M2665" t="b">
        <v>0</v>
      </c>
      <c r="N2665" t="inlineStr">
        <is>
          <t>alt</t>
        </is>
      </c>
      <c r="O2665" t="n">
        <v>55</v>
      </c>
      <c r="P2665" t="n">
        <v>0.005135</v>
      </c>
      <c r="Q2665" t="n">
        <v>-5</v>
      </c>
      <c r="R2665" t="n">
        <v>0.00812</v>
      </c>
      <c r="S2665">
        <f>IMAGE("https://mitra.stanford.edu/kundaje/oak/projects/neuro-variants/variant_position/credible/roussos_2024/variant_figures/roussos_2024.adolescence.GLU/rs613707_count_position.png",4,220,900)</f>
        <v/>
      </c>
      <c r="T2665">
        <f>IMAGE("https://mitra.stanford.edu/kundaje/oak/projects/neuro-variants/variant_position/credible/roussos_2024/variant_figures/roussos_2024.adolescence.GLU/rs613707_profile_position.png",4,220,900)</f>
        <v/>
      </c>
    </row>
    <row r="2666">
      <c r="A2666" t="inlineStr">
        <is>
          <t>chr3</t>
        </is>
      </c>
      <c r="B2666" t="n">
        <v>80732296</v>
      </c>
      <c r="C2666" t="inlineStr">
        <is>
          <t>C</t>
        </is>
      </c>
      <c r="D2666" t="inlineStr">
        <is>
          <t>G</t>
        </is>
      </c>
      <c r="E2666" t="inlineStr">
        <is>
          <t>rs9832758</t>
        </is>
      </c>
      <c r="F2666" t="n">
        <v>-0.0444379974</v>
      </c>
      <c r="G2666" t="n">
        <v>0.0878767240529018</v>
      </c>
      <c r="H2666" t="n">
        <v>0.0218823334625208</v>
      </c>
      <c r="I2666" t="n">
        <v>0.0393883573037123</v>
      </c>
      <c r="J2666" t="n">
        <v>0.0019646926863421</v>
      </c>
      <c r="K2666" t="n">
        <v>0.9558000006371378</v>
      </c>
      <c r="L2666" t="b">
        <v>0</v>
      </c>
      <c r="M2666" t="b">
        <v>0</v>
      </c>
      <c r="N2666" t="inlineStr">
        <is>
          <t>ref</t>
        </is>
      </c>
      <c r="O2666" t="n">
        <v>-35</v>
      </c>
      <c r="P2666" t="n">
        <v>0.008835000000000001</v>
      </c>
      <c r="Q2666" t="n">
        <v>20</v>
      </c>
      <c r="R2666" t="n">
        <v>0.01614</v>
      </c>
      <c r="S2666">
        <f>IMAGE("https://mitra.stanford.edu/kundaje/oak/projects/neuro-variants/variant_position/credible/roussos_2024/variant_figures/roussos_2024.adolescence.GLU/rs9832758_count_position.png",4,220,900)</f>
        <v/>
      </c>
      <c r="T2666">
        <f>IMAGE("https://mitra.stanford.edu/kundaje/oak/projects/neuro-variants/variant_position/credible/roussos_2024/variant_figures/roussos_2024.adolescence.GLU/rs9832758_profile_position.png",4,220,900)</f>
        <v/>
      </c>
    </row>
    <row r="2667">
      <c r="A2667" t="inlineStr">
        <is>
          <t>chr3</t>
        </is>
      </c>
      <c r="B2667" t="n">
        <v>80772172</v>
      </c>
      <c r="C2667" t="inlineStr">
        <is>
          <t>C</t>
        </is>
      </c>
      <c r="D2667" t="inlineStr">
        <is>
          <t>T</t>
        </is>
      </c>
      <c r="E2667" t="inlineStr">
        <is>
          <t>rs7633748</t>
        </is>
      </c>
      <c r="F2667" t="n">
        <v>0.0049389349</v>
      </c>
      <c r="G2667" t="n">
        <v>0.661953494870875</v>
      </c>
      <c r="H2667" t="n">
        <v>0.0130301542269543</v>
      </c>
      <c r="I2667" t="n">
        <v>0.2691160941800137</v>
      </c>
      <c r="J2667" t="n">
        <v>0.0097277293153581</v>
      </c>
      <c r="K2667" t="n">
        <v>0.8799165947862464</v>
      </c>
      <c r="L2667" t="b">
        <v>0</v>
      </c>
      <c r="M2667" t="b">
        <v>0</v>
      </c>
      <c r="N2667" t="inlineStr">
        <is>
          <t>alt</t>
        </is>
      </c>
      <c r="O2667" t="n">
        <v>70</v>
      </c>
      <c r="P2667" t="n">
        <v>0.001049</v>
      </c>
      <c r="Q2667" t="n">
        <v>-35</v>
      </c>
      <c r="R2667" t="n">
        <v>0.03174</v>
      </c>
      <c r="S2667">
        <f>IMAGE("https://mitra.stanford.edu/kundaje/oak/projects/neuro-variants/variant_position/credible/roussos_2024/variant_figures/roussos_2024.adolescence.GLU/rs7633748_count_position.png",4,220,900)</f>
        <v/>
      </c>
      <c r="T2667">
        <f>IMAGE("https://mitra.stanford.edu/kundaje/oak/projects/neuro-variants/variant_position/credible/roussos_2024/variant_figures/roussos_2024.adolescence.GLU/rs7633748_profile_position.png",4,220,900)</f>
        <v/>
      </c>
    </row>
    <row r="2668">
      <c r="A2668" t="inlineStr">
        <is>
          <t>chr3</t>
        </is>
      </c>
      <c r="B2668" t="n">
        <v>80789484</v>
      </c>
      <c r="C2668" t="inlineStr">
        <is>
          <t>C</t>
        </is>
      </c>
      <c r="D2668" t="inlineStr">
        <is>
          <t>T</t>
        </is>
      </c>
      <c r="E2668" t="inlineStr">
        <is>
          <t>rs9865863</t>
        </is>
      </c>
      <c r="F2668" t="n">
        <v>0.00484745172</v>
      </c>
      <c r="G2668" t="n">
        <v>0.5449922248151652</v>
      </c>
      <c r="H2668" t="n">
        <v>0.0073013615611572</v>
      </c>
      <c r="I2668" t="n">
        <v>0.887107251220836</v>
      </c>
      <c r="J2668" t="n">
        <v>0.0198355373613105</v>
      </c>
      <c r="K2668" t="n">
        <v>0.825266784192546</v>
      </c>
      <c r="L2668" t="b">
        <v>0</v>
      </c>
      <c r="M2668" t="b">
        <v>0</v>
      </c>
      <c r="N2668" t="inlineStr">
        <is>
          <t>alt</t>
        </is>
      </c>
      <c r="O2668" t="n">
        <v>-50</v>
      </c>
      <c r="P2668" t="n">
        <v>0.00688</v>
      </c>
      <c r="Q2668" t="n">
        <v>100</v>
      </c>
      <c r="R2668" t="n">
        <v>0.01409</v>
      </c>
      <c r="S2668">
        <f>IMAGE("https://mitra.stanford.edu/kundaje/oak/projects/neuro-variants/variant_position/credible/roussos_2024/variant_figures/roussos_2024.adolescence.GLU/rs9865863_count_position.png",4,220,900)</f>
        <v/>
      </c>
      <c r="T2668">
        <f>IMAGE("https://mitra.stanford.edu/kundaje/oak/projects/neuro-variants/variant_position/credible/roussos_2024/variant_figures/roussos_2024.adolescence.GLU/rs9865863_profile_position.png",4,220,900)</f>
        <v/>
      </c>
    </row>
    <row r="2669">
      <c r="A2669" t="inlineStr">
        <is>
          <t>chr3</t>
        </is>
      </c>
      <c r="B2669" t="n">
        <v>80793900</v>
      </c>
      <c r="C2669" t="inlineStr">
        <is>
          <t>C</t>
        </is>
      </c>
      <c r="D2669" t="inlineStr">
        <is>
          <t>G</t>
        </is>
      </c>
      <c r="E2669" t="inlineStr">
        <is>
          <t>rs9812564</t>
        </is>
      </c>
      <c r="F2669" t="n">
        <v>0.1244753661999999</v>
      </c>
      <c r="G2669" t="n">
        <v>0.0169528756286139</v>
      </c>
      <c r="H2669" t="n">
        <v>0.0359435161352643</v>
      </c>
      <c r="I2669" t="n">
        <v>0.022401655802081</v>
      </c>
      <c r="J2669" t="n">
        <v>0.0251480663851797</v>
      </c>
      <c r="K2669" t="n">
        <v>0.7964768068456265</v>
      </c>
      <c r="L2669" t="b">
        <v>1</v>
      </c>
      <c r="M2669" t="b">
        <v>0</v>
      </c>
      <c r="N2669" t="inlineStr">
        <is>
          <t>alt</t>
        </is>
      </c>
      <c r="O2669" t="n">
        <v>40</v>
      </c>
      <c r="P2669" t="n">
        <v>0.01118</v>
      </c>
      <c r="Q2669" t="n">
        <v>30</v>
      </c>
      <c r="R2669" t="n">
        <v>0.00232</v>
      </c>
      <c r="S2669">
        <f>IMAGE("https://mitra.stanford.edu/kundaje/oak/projects/neuro-variants/variant_position/credible/roussos_2024/variant_figures/roussos_2024.adolescence.GLU/rs9812564_count_position.png",4,220,900)</f>
        <v/>
      </c>
      <c r="T2669">
        <f>IMAGE("https://mitra.stanford.edu/kundaje/oak/projects/neuro-variants/variant_position/credible/roussos_2024/variant_figures/roussos_2024.adolescence.GLU/rs9812564_profile_position.png",4,220,900)</f>
        <v/>
      </c>
    </row>
    <row r="2670">
      <c r="A2670" t="inlineStr">
        <is>
          <t>chr3</t>
        </is>
      </c>
      <c r="B2670" t="n">
        <v>80815717</v>
      </c>
      <c r="C2670" t="inlineStr">
        <is>
          <t>A</t>
        </is>
      </c>
      <c r="D2670" t="inlineStr">
        <is>
          <t>C</t>
        </is>
      </c>
      <c r="E2670" t="inlineStr">
        <is>
          <t>rs78929026</t>
        </is>
      </c>
      <c r="F2670" t="n">
        <v>-0.0038507806496</v>
      </c>
      <c r="G2670" t="n">
        <v>0.7993102982764395</v>
      </c>
      <c r="H2670" t="n">
        <v>0.0132125120400159</v>
      </c>
      <c r="I2670" t="n">
        <v>0.2672084487907349</v>
      </c>
      <c r="J2670" t="n">
        <v>0.005219652642333</v>
      </c>
      <c r="K2670" t="n">
        <v>0.9144919951387752</v>
      </c>
      <c r="L2670" t="b">
        <v>0</v>
      </c>
      <c r="M2670" t="b">
        <v>0</v>
      </c>
      <c r="N2670" t="inlineStr">
        <is>
          <t>ref</t>
        </is>
      </c>
      <c r="O2670" t="n">
        <v>-90</v>
      </c>
      <c r="P2670" t="n">
        <v>0.009209999999999999</v>
      </c>
      <c r="Q2670" t="n">
        <v>-45</v>
      </c>
      <c r="R2670" t="n">
        <v>6.104e-05</v>
      </c>
      <c r="S2670">
        <f>IMAGE("https://mitra.stanford.edu/kundaje/oak/projects/neuro-variants/variant_position/credible/roussos_2024/variant_figures/roussos_2024.adolescence.GLU/rs78929026_count_position.png",4,220,900)</f>
        <v/>
      </c>
      <c r="T2670">
        <f>IMAGE("https://mitra.stanford.edu/kundaje/oak/projects/neuro-variants/variant_position/credible/roussos_2024/variant_figures/roussos_2024.adolescence.GLU/rs78929026_profile_position.png",4,220,900)</f>
        <v/>
      </c>
    </row>
    <row r="2671">
      <c r="A2671" t="inlineStr">
        <is>
          <t>chr3</t>
        </is>
      </c>
      <c r="B2671" t="n">
        <v>80864077</v>
      </c>
      <c r="C2671" t="inlineStr">
        <is>
          <t>T</t>
        </is>
      </c>
      <c r="D2671" t="inlineStr">
        <is>
          <t>G</t>
        </is>
      </c>
      <c r="E2671" t="inlineStr">
        <is>
          <t>rs9831201</t>
        </is>
      </c>
      <c r="F2671" t="n">
        <v>0.0064451094059999</v>
      </c>
      <c r="G2671" t="n">
        <v>0.6372466376610654</v>
      </c>
      <c r="H2671" t="n">
        <v>0.0185387012731809</v>
      </c>
      <c r="I2671" t="n">
        <v>0.0744454381832384</v>
      </c>
      <c r="J2671" t="n">
        <v>0.0036621871673417</v>
      </c>
      <c r="K2671" t="n">
        <v>0.9356004284358592</v>
      </c>
      <c r="L2671" t="b">
        <v>0</v>
      </c>
      <c r="M2671" t="b">
        <v>0</v>
      </c>
      <c r="N2671" t="inlineStr">
        <is>
          <t>alt</t>
        </is>
      </c>
      <c r="O2671" t="n">
        <v>-85</v>
      </c>
      <c r="P2671" t="n">
        <v>0.00838</v>
      </c>
      <c r="Q2671" t="n">
        <v>-100</v>
      </c>
      <c r="R2671" t="n">
        <v>0.04462</v>
      </c>
      <c r="S2671">
        <f>IMAGE("https://mitra.stanford.edu/kundaje/oak/projects/neuro-variants/variant_position/credible/roussos_2024/variant_figures/roussos_2024.adolescence.GLU/rs9831201_count_position.png",4,220,900)</f>
        <v/>
      </c>
      <c r="T2671">
        <f>IMAGE("https://mitra.stanford.edu/kundaje/oak/projects/neuro-variants/variant_position/credible/roussos_2024/variant_figures/roussos_2024.adolescence.GLU/rs9831201_profile_position.png",4,220,900)</f>
        <v/>
      </c>
    </row>
    <row r="2672">
      <c r="A2672" t="inlineStr">
        <is>
          <t>chr3</t>
        </is>
      </c>
      <c r="B2672" t="n">
        <v>80930843</v>
      </c>
      <c r="C2672" t="inlineStr">
        <is>
          <t>T</t>
        </is>
      </c>
      <c r="D2672" t="inlineStr">
        <is>
          <t>C</t>
        </is>
      </c>
      <c r="E2672" t="inlineStr">
        <is>
          <t>rs9839468</t>
        </is>
      </c>
      <c r="F2672" t="n">
        <v>0.00221145846</v>
      </c>
      <c r="G2672" t="n">
        <v>0.7541483394527789</v>
      </c>
      <c r="H2672" t="n">
        <v>0.0355647326524492</v>
      </c>
      <c r="I2672" t="n">
        <v>0.0044009517385324</v>
      </c>
      <c r="J2672" t="n">
        <v>0.0075915725400261</v>
      </c>
      <c r="K2672" t="n">
        <v>0.8948414015217102</v>
      </c>
      <c r="L2672" t="b">
        <v>0</v>
      </c>
      <c r="M2672" t="b">
        <v>0</v>
      </c>
      <c r="N2672" t="inlineStr">
        <is>
          <t>alt</t>
        </is>
      </c>
      <c r="O2672" t="n">
        <v>60</v>
      </c>
      <c r="P2672" t="n">
        <v>0.006325</v>
      </c>
      <c r="Q2672" t="n">
        <v>60</v>
      </c>
      <c r="R2672" t="n">
        <v>0.08513999999999999</v>
      </c>
      <c r="S2672">
        <f>IMAGE("https://mitra.stanford.edu/kundaje/oak/projects/neuro-variants/variant_position/credible/roussos_2024/variant_figures/roussos_2024.adolescence.GLU/rs9839468_count_position.png",4,220,900)</f>
        <v/>
      </c>
      <c r="T2672">
        <f>IMAGE("https://mitra.stanford.edu/kundaje/oak/projects/neuro-variants/variant_position/credible/roussos_2024/variant_figures/roussos_2024.adolescence.GLU/rs9839468_profile_position.png",4,220,900)</f>
        <v/>
      </c>
    </row>
    <row r="2673">
      <c r="A2673" t="inlineStr">
        <is>
          <t>chr3</t>
        </is>
      </c>
      <c r="B2673" t="n">
        <v>80956286</v>
      </c>
      <c r="C2673" t="inlineStr">
        <is>
          <t>G</t>
        </is>
      </c>
      <c r="D2673" t="inlineStr">
        <is>
          <t>A</t>
        </is>
      </c>
      <c r="E2673" t="inlineStr">
        <is>
          <t>rs2679046</t>
        </is>
      </c>
      <c r="F2673" t="n">
        <v>-0.049880928</v>
      </c>
      <c r="G2673" t="n">
        <v>0.06770115901600469</v>
      </c>
      <c r="H2673" t="n">
        <v>0.0129614226706899</v>
      </c>
      <c r="I2673" t="n">
        <v>0.2649212230843509</v>
      </c>
      <c r="J2673" t="n">
        <v>0.2348429317501482</v>
      </c>
      <c r="K2673" t="n">
        <v>0.3507667209350168</v>
      </c>
      <c r="L2673" t="b">
        <v>0</v>
      </c>
      <c r="M2673" t="b">
        <v>0</v>
      </c>
      <c r="N2673" t="inlineStr">
        <is>
          <t>ref</t>
        </is>
      </c>
      <c r="O2673" t="n">
        <v>-100</v>
      </c>
      <c r="P2673" t="n">
        <v>0.00953</v>
      </c>
      <c r="Q2673" t="n">
        <v>80</v>
      </c>
      <c r="R2673" t="n">
        <v>0.0517</v>
      </c>
      <c r="S2673">
        <f>IMAGE("https://mitra.stanford.edu/kundaje/oak/projects/neuro-variants/variant_position/credible/roussos_2024/variant_figures/roussos_2024.adolescence.GLU/rs2679046_count_position.png",4,220,900)</f>
        <v/>
      </c>
      <c r="T2673">
        <f>IMAGE("https://mitra.stanford.edu/kundaje/oak/projects/neuro-variants/variant_position/credible/roussos_2024/variant_figures/roussos_2024.adolescence.GLU/rs2679046_profile_position.png",4,220,900)</f>
        <v/>
      </c>
    </row>
    <row r="2674">
      <c r="A2674" t="inlineStr">
        <is>
          <t>chr3</t>
        </is>
      </c>
      <c r="B2674" t="n">
        <v>80957854</v>
      </c>
      <c r="C2674" t="inlineStr">
        <is>
          <t>T</t>
        </is>
      </c>
      <c r="D2674" t="inlineStr">
        <is>
          <t>A</t>
        </is>
      </c>
      <c r="E2674" t="inlineStr">
        <is>
          <t>rs2679042</t>
        </is>
      </c>
      <c r="F2674" t="n">
        <v>-0.00168631476</v>
      </c>
      <c r="G2674" t="n">
        <v>0.6979530458163399</v>
      </c>
      <c r="H2674" t="n">
        <v>0.0131980193668976</v>
      </c>
      <c r="I2674" t="n">
        <v>0.2731635287875625</v>
      </c>
      <c r="J2674" t="n">
        <v>0.0452407998799751</v>
      </c>
      <c r="K2674" t="n">
        <v>0.7147629236144754</v>
      </c>
      <c r="L2674" t="b">
        <v>0</v>
      </c>
      <c r="M2674" t="b">
        <v>0</v>
      </c>
      <c r="N2674" t="inlineStr">
        <is>
          <t>ref</t>
        </is>
      </c>
      <c r="O2674" t="n">
        <v>-25</v>
      </c>
      <c r="P2674" t="n">
        <v>0.001755</v>
      </c>
      <c r="Q2674" t="n">
        <v>-25</v>
      </c>
      <c r="R2674" t="n">
        <v>0.02515</v>
      </c>
      <c r="S2674">
        <f>IMAGE("https://mitra.stanford.edu/kundaje/oak/projects/neuro-variants/variant_position/credible/roussos_2024/variant_figures/roussos_2024.adolescence.GLU/rs2679042_count_position.png",4,220,900)</f>
        <v/>
      </c>
      <c r="T2674">
        <f>IMAGE("https://mitra.stanford.edu/kundaje/oak/projects/neuro-variants/variant_position/credible/roussos_2024/variant_figures/roussos_2024.adolescence.GLU/rs2679042_profile_position.png",4,220,900)</f>
        <v/>
      </c>
    </row>
    <row r="2675">
      <c r="A2675" t="inlineStr">
        <is>
          <t>chr3</t>
        </is>
      </c>
      <c r="B2675" t="n">
        <v>80987800</v>
      </c>
      <c r="C2675" t="inlineStr">
        <is>
          <t>C</t>
        </is>
      </c>
      <c r="D2675" t="inlineStr">
        <is>
          <t>A</t>
        </is>
      </c>
      <c r="E2675" t="inlineStr">
        <is>
          <t>rs2372667</t>
        </is>
      </c>
      <c r="F2675" t="n">
        <v>0.0047773405799999</v>
      </c>
      <c r="G2675" t="n">
        <v>0.7091211806872738</v>
      </c>
      <c r="H2675" t="n">
        <v>0.0230385982969648</v>
      </c>
      <c r="I2675" t="n">
        <v>0.0332042011668044</v>
      </c>
      <c r="J2675" t="n">
        <v>0.0357216852062212</v>
      </c>
      <c r="K2675" t="n">
        <v>0.7472376671908557</v>
      </c>
      <c r="L2675" t="b">
        <v>0</v>
      </c>
      <c r="M2675" t="b">
        <v>0</v>
      </c>
      <c r="N2675" t="inlineStr">
        <is>
          <t>alt</t>
        </is>
      </c>
      <c r="O2675" t="n">
        <v>20</v>
      </c>
      <c r="P2675" t="n">
        <v>0.0008965000000000001</v>
      </c>
      <c r="Q2675" t="n">
        <v>100</v>
      </c>
      <c r="R2675" t="n">
        <v>0.06793</v>
      </c>
      <c r="S2675">
        <f>IMAGE("https://mitra.stanford.edu/kundaje/oak/projects/neuro-variants/variant_position/credible/roussos_2024/variant_figures/roussos_2024.adolescence.GLU/rs2372667_count_position.png",4,220,900)</f>
        <v/>
      </c>
      <c r="T2675">
        <f>IMAGE("https://mitra.stanford.edu/kundaje/oak/projects/neuro-variants/variant_position/credible/roussos_2024/variant_figures/roussos_2024.adolescence.GLU/rs2372667_profile_position.png",4,220,900)</f>
        <v/>
      </c>
    </row>
    <row r="2676">
      <c r="A2676" t="inlineStr">
        <is>
          <t>chr3</t>
        </is>
      </c>
      <c r="B2676" t="n">
        <v>80999051</v>
      </c>
      <c r="C2676" t="inlineStr">
        <is>
          <t>G</t>
        </is>
      </c>
      <c r="D2676" t="inlineStr">
        <is>
          <t>T</t>
        </is>
      </c>
      <c r="E2676" t="inlineStr">
        <is>
          <t>rs2250739</t>
        </is>
      </c>
      <c r="F2676" t="n">
        <v>-0.0050832044199999</v>
      </c>
      <c r="G2676" t="n">
        <v>0.7406008064074223</v>
      </c>
      <c r="H2676" t="n">
        <v>0.0187161083005052</v>
      </c>
      <c r="I2676" t="n">
        <v>0.06898485791856129</v>
      </c>
      <c r="J2676" t="n">
        <v>0.1223196233505511</v>
      </c>
      <c r="K2676" t="n">
        <v>0.528733418168584</v>
      </c>
      <c r="L2676" t="b">
        <v>0</v>
      </c>
      <c r="M2676" t="b">
        <v>0</v>
      </c>
      <c r="N2676" t="inlineStr">
        <is>
          <t>ref</t>
        </is>
      </c>
      <c r="O2676" t="n">
        <v>-50</v>
      </c>
      <c r="P2676" t="n">
        <v>0.00351</v>
      </c>
      <c r="Q2676" t="n">
        <v>25</v>
      </c>
      <c r="R2676" t="n">
        <v>0.0249</v>
      </c>
      <c r="S2676">
        <f>IMAGE("https://mitra.stanford.edu/kundaje/oak/projects/neuro-variants/variant_position/credible/roussos_2024/variant_figures/roussos_2024.adolescence.GLU/rs2250739_count_position.png",4,220,900)</f>
        <v/>
      </c>
      <c r="T2676">
        <f>IMAGE("https://mitra.stanford.edu/kundaje/oak/projects/neuro-variants/variant_position/credible/roussos_2024/variant_figures/roussos_2024.adolescence.GLU/rs2250739_profile_position.png",4,220,900)</f>
        <v/>
      </c>
    </row>
    <row r="2677">
      <c r="A2677" t="inlineStr">
        <is>
          <t>chr3</t>
        </is>
      </c>
      <c r="B2677" t="n">
        <v>81004094</v>
      </c>
      <c r="C2677" t="inlineStr">
        <is>
          <t>G</t>
        </is>
      </c>
      <c r="D2677" t="inlineStr">
        <is>
          <t>C</t>
        </is>
      </c>
      <c r="E2677" t="inlineStr">
        <is>
          <t>rs2639255</t>
        </is>
      </c>
      <c r="F2677" t="n">
        <v>-0.00765987239</v>
      </c>
      <c r="G2677" t="n">
        <v>0.4383851868659947</v>
      </c>
      <c r="H2677" t="n">
        <v>0.009772184447506599</v>
      </c>
      <c r="I2677" t="n">
        <v>0.5531519855022082</v>
      </c>
      <c r="J2677" t="n">
        <v>0.0561373427352808</v>
      </c>
      <c r="K2677" t="n">
        <v>0.6825168768372996</v>
      </c>
      <c r="L2677" t="b">
        <v>0</v>
      </c>
      <c r="M2677" t="b">
        <v>0</v>
      </c>
      <c r="N2677" t="inlineStr">
        <is>
          <t>ref</t>
        </is>
      </c>
      <c r="O2677" t="n">
        <v>10</v>
      </c>
      <c r="P2677" t="n">
        <v>0.0005302</v>
      </c>
      <c r="Q2677" t="n">
        <v>25</v>
      </c>
      <c r="R2677" t="n">
        <v>0.01929</v>
      </c>
      <c r="S2677">
        <f>IMAGE("https://mitra.stanford.edu/kundaje/oak/projects/neuro-variants/variant_position/credible/roussos_2024/variant_figures/roussos_2024.adolescence.GLU/rs2639255_count_position.png",4,220,900)</f>
        <v/>
      </c>
      <c r="T2677">
        <f>IMAGE("https://mitra.stanford.edu/kundaje/oak/projects/neuro-variants/variant_position/credible/roussos_2024/variant_figures/roussos_2024.adolescence.GLU/rs2639255_profile_position.png",4,220,900)</f>
        <v/>
      </c>
    </row>
    <row r="2678">
      <c r="A2678" t="inlineStr">
        <is>
          <t>chr3</t>
        </is>
      </c>
      <c r="B2678" t="n">
        <v>81005089</v>
      </c>
      <c r="C2678" t="inlineStr">
        <is>
          <t>T</t>
        </is>
      </c>
      <c r="D2678" t="inlineStr">
        <is>
          <t>G</t>
        </is>
      </c>
      <c r="E2678" t="inlineStr">
        <is>
          <t>rs2639254</t>
        </is>
      </c>
      <c r="F2678" t="n">
        <v>0.003202477074</v>
      </c>
      <c r="G2678" t="n">
        <v>0.7735425493503869</v>
      </c>
      <c r="H2678" t="n">
        <v>0.0232307431487355</v>
      </c>
      <c r="I2678" t="n">
        <v>0.0291645450225251</v>
      </c>
      <c r="J2678" t="n">
        <v>0.1912310407155767</v>
      </c>
      <c r="K2678" t="n">
        <v>0.4039148729459628</v>
      </c>
      <c r="L2678" t="b">
        <v>0</v>
      </c>
      <c r="M2678" t="b">
        <v>0</v>
      </c>
      <c r="N2678" t="inlineStr">
        <is>
          <t>alt</t>
        </is>
      </c>
      <c r="O2678" t="n">
        <v>85</v>
      </c>
      <c r="P2678" t="n">
        <v>0.00646</v>
      </c>
      <c r="Q2678" t="n">
        <v>75</v>
      </c>
      <c r="R2678" t="n">
        <v>0.0633</v>
      </c>
      <c r="S2678">
        <f>IMAGE("https://mitra.stanford.edu/kundaje/oak/projects/neuro-variants/variant_position/credible/roussos_2024/variant_figures/roussos_2024.adolescence.GLU/rs2639254_count_position.png",4,220,900)</f>
        <v/>
      </c>
      <c r="T2678">
        <f>IMAGE("https://mitra.stanford.edu/kundaje/oak/projects/neuro-variants/variant_position/credible/roussos_2024/variant_figures/roussos_2024.adolescence.GLU/rs2639254_profile_position.png",4,220,900)</f>
        <v/>
      </c>
    </row>
    <row r="2679">
      <c r="A2679" t="inlineStr">
        <is>
          <t>chr3</t>
        </is>
      </c>
      <c r="B2679" t="n">
        <v>81006191</v>
      </c>
      <c r="C2679" t="inlineStr">
        <is>
          <t>A</t>
        </is>
      </c>
      <c r="D2679" t="inlineStr">
        <is>
          <t>G</t>
        </is>
      </c>
      <c r="E2679" t="inlineStr">
        <is>
          <t>rs2639213</t>
        </is>
      </c>
      <c r="F2679" t="n">
        <v>-0.0533077916</v>
      </c>
      <c r="G2679" t="n">
        <v>0.0440632191999992</v>
      </c>
      <c r="H2679" t="n">
        <v>0.0372961833867276</v>
      </c>
      <c r="I2679" t="n">
        <v>0.0075982794222694</v>
      </c>
      <c r="J2679" t="n">
        <v>0.08351444227732879</v>
      </c>
      <c r="K2679" t="n">
        <v>0.611380081989233</v>
      </c>
      <c r="L2679" t="b">
        <v>1</v>
      </c>
      <c r="M2679" t="b">
        <v>1</v>
      </c>
      <c r="N2679" t="inlineStr">
        <is>
          <t>ref</t>
        </is>
      </c>
      <c r="O2679" t="n">
        <v>55</v>
      </c>
      <c r="P2679" t="n">
        <v>0.001862</v>
      </c>
      <c r="Q2679" t="n">
        <v>-30</v>
      </c>
      <c r="R2679" t="n">
        <v>0.01596</v>
      </c>
      <c r="S2679">
        <f>IMAGE("https://mitra.stanford.edu/kundaje/oak/projects/neuro-variants/variant_position/credible/roussos_2024/variant_figures/roussos_2024.adolescence.GLU/rs2639213_count_position.png",4,220,900)</f>
        <v/>
      </c>
      <c r="T2679">
        <f>IMAGE("https://mitra.stanford.edu/kundaje/oak/projects/neuro-variants/variant_position/credible/roussos_2024/variant_figures/roussos_2024.adolescence.GLU/rs2639213_profile_position.png",4,220,900)</f>
        <v/>
      </c>
    </row>
    <row r="2680">
      <c r="A2680" t="inlineStr">
        <is>
          <t>chr3</t>
        </is>
      </c>
      <c r="B2680" t="n">
        <v>107845612</v>
      </c>
      <c r="C2680" t="inlineStr">
        <is>
          <t>T</t>
        </is>
      </c>
      <c r="D2680" t="inlineStr">
        <is>
          <t>C</t>
        </is>
      </c>
      <c r="E2680" t="inlineStr">
        <is>
          <t>rs7644809</t>
        </is>
      </c>
      <c r="F2680" t="n">
        <v>0.0607564621999999</v>
      </c>
      <c r="G2680" t="n">
        <v>0.0361712827106931</v>
      </c>
      <c r="H2680" t="n">
        <v>0.0132786359548247</v>
      </c>
      <c r="I2680" t="n">
        <v>0.245305393443433</v>
      </c>
      <c r="J2680" t="n">
        <v>0.4876238649434525</v>
      </c>
      <c r="K2680" t="n">
        <v>0.0971749701141269</v>
      </c>
      <c r="L2680" t="b">
        <v>0</v>
      </c>
      <c r="M2680" t="b">
        <v>0</v>
      </c>
      <c r="N2680" t="inlineStr">
        <is>
          <t>alt</t>
        </is>
      </c>
      <c r="O2680" t="n">
        <v>65</v>
      </c>
      <c r="P2680" t="n">
        <v>0.003082</v>
      </c>
      <c r="Q2680" t="n">
        <v>-35</v>
      </c>
      <c r="R2680" t="n">
        <v>0.0669</v>
      </c>
      <c r="S2680">
        <f>IMAGE("https://mitra.stanford.edu/kundaje/oak/projects/neuro-variants/variant_position/credible/roussos_2024/variant_figures/roussos_2024.adolescence.GLU/rs7644809_count_position.png",4,220,900)</f>
        <v/>
      </c>
      <c r="T2680">
        <f>IMAGE("https://mitra.stanford.edu/kundaje/oak/projects/neuro-variants/variant_position/credible/roussos_2024/variant_figures/roussos_2024.adolescence.GLU/rs7644809_profile_position.png",4,220,900)</f>
        <v/>
      </c>
    </row>
    <row r="2681">
      <c r="A2681" t="inlineStr">
        <is>
          <t>chr3</t>
        </is>
      </c>
      <c r="B2681" t="n">
        <v>108046402</v>
      </c>
      <c r="C2681" t="inlineStr">
        <is>
          <t>T</t>
        </is>
      </c>
      <c r="D2681" t="inlineStr">
        <is>
          <t>C</t>
        </is>
      </c>
      <c r="E2681" t="inlineStr">
        <is>
          <t>rs3206652</t>
        </is>
      </c>
      <c r="F2681" t="n">
        <v>0.00531725328</v>
      </c>
      <c r="G2681" t="n">
        <v>0.6901221904553683</v>
      </c>
      <c r="H2681" t="n">
        <v>0.0091942427672466</v>
      </c>
      <c r="I2681" t="n">
        <v>0.6402616760678627</v>
      </c>
      <c r="J2681" t="n">
        <v>0.0555515070978988</v>
      </c>
      <c r="K2681" t="n">
        <v>0.6930834273924394</v>
      </c>
      <c r="L2681" t="b">
        <v>0</v>
      </c>
      <c r="M2681" t="b">
        <v>0</v>
      </c>
      <c r="N2681" t="inlineStr">
        <is>
          <t>alt</t>
        </is>
      </c>
      <c r="O2681" t="n">
        <v>0</v>
      </c>
      <c r="P2681" t="n">
        <v>0</v>
      </c>
      <c r="Q2681" t="n">
        <v>-40</v>
      </c>
      <c r="R2681" t="n">
        <v>0.01471</v>
      </c>
      <c r="S2681">
        <f>IMAGE("https://mitra.stanford.edu/kundaje/oak/projects/neuro-variants/variant_position/credible/roussos_2024/variant_figures/roussos_2024.adolescence.GLU/rs3206652_count_position.png",4,220,900)</f>
        <v/>
      </c>
      <c r="T2681">
        <f>IMAGE("https://mitra.stanford.edu/kundaje/oak/projects/neuro-variants/variant_position/credible/roussos_2024/variant_figures/roussos_2024.adolescence.GLU/rs3206652_profile_position.png",4,220,900)</f>
        <v/>
      </c>
    </row>
    <row r="2682">
      <c r="A2682" t="inlineStr">
        <is>
          <t>chr3</t>
        </is>
      </c>
      <c r="B2682" t="n">
        <v>108061891</v>
      </c>
      <c r="C2682" t="inlineStr">
        <is>
          <t>T</t>
        </is>
      </c>
      <c r="D2682" t="inlineStr">
        <is>
          <t>C</t>
        </is>
      </c>
      <c r="E2682" t="inlineStr">
        <is>
          <t>rs3804638</t>
        </is>
      </c>
      <c r="F2682" t="n">
        <v>-0.00384720114</v>
      </c>
      <c r="G2682" t="n">
        <v>0.7902223185468378</v>
      </c>
      <c r="H2682" t="n">
        <v>0.0196717390987048</v>
      </c>
      <c r="I2682" t="n">
        <v>0.0621263802908507</v>
      </c>
      <c r="J2682" t="n">
        <v>0.0528523765637167</v>
      </c>
      <c r="K2682" t="n">
        <v>0.6951818256968634</v>
      </c>
      <c r="L2682" t="b">
        <v>0</v>
      </c>
      <c r="M2682" t="b">
        <v>0</v>
      </c>
      <c r="N2682" t="inlineStr">
        <is>
          <t>ref</t>
        </is>
      </c>
      <c r="O2682" t="n">
        <v>-80</v>
      </c>
      <c r="P2682" t="n">
        <v>0.01611</v>
      </c>
      <c r="Q2682" t="n">
        <v>-55</v>
      </c>
      <c r="R2682" t="n">
        <v>0.05383</v>
      </c>
      <c r="S2682">
        <f>IMAGE("https://mitra.stanford.edu/kundaje/oak/projects/neuro-variants/variant_position/credible/roussos_2024/variant_figures/roussos_2024.adolescence.GLU/rs3804638_count_position.png",4,220,900)</f>
        <v/>
      </c>
      <c r="T2682">
        <f>IMAGE("https://mitra.stanford.edu/kundaje/oak/projects/neuro-variants/variant_position/credible/roussos_2024/variant_figures/roussos_2024.adolescence.GLU/rs3804638_profile_position.png",4,220,900)</f>
        <v/>
      </c>
    </row>
    <row r="2683">
      <c r="A2683" t="inlineStr">
        <is>
          <t>chr3</t>
        </is>
      </c>
      <c r="B2683" t="n">
        <v>108097467</v>
      </c>
      <c r="C2683" t="inlineStr">
        <is>
          <t>G</t>
        </is>
      </c>
      <c r="D2683" t="inlineStr">
        <is>
          <t>A</t>
        </is>
      </c>
      <c r="E2683" t="inlineStr">
        <is>
          <t>rs7628325</t>
        </is>
      </c>
      <c r="F2683" t="n">
        <v>-0.00670548352</v>
      </c>
      <c r="G2683" t="n">
        <v>0.6490491810124344</v>
      </c>
      <c r="H2683" t="n">
        <v>0.0072496819790317</v>
      </c>
      <c r="I2683" t="n">
        <v>0.8895439689397634</v>
      </c>
      <c r="J2683" t="n">
        <v>0.3203635038686585</v>
      </c>
      <c r="K2683" t="n">
        <v>0.2488795468085846</v>
      </c>
      <c r="L2683" t="b">
        <v>0</v>
      </c>
      <c r="M2683" t="b">
        <v>0</v>
      </c>
      <c r="N2683" t="inlineStr">
        <is>
          <t>ref</t>
        </is>
      </c>
      <c r="O2683" t="n">
        <v>40</v>
      </c>
      <c r="P2683" t="n">
        <v>0.002523</v>
      </c>
      <c r="Q2683" t="n">
        <v>100</v>
      </c>
      <c r="R2683" t="n">
        <v>0.01923</v>
      </c>
      <c r="S2683">
        <f>IMAGE("https://mitra.stanford.edu/kundaje/oak/projects/neuro-variants/variant_position/credible/roussos_2024/variant_figures/roussos_2024.adolescence.GLU/rs7628325_count_position.png",4,220,900)</f>
        <v/>
      </c>
      <c r="T2683">
        <f>IMAGE("https://mitra.stanford.edu/kundaje/oak/projects/neuro-variants/variant_position/credible/roussos_2024/variant_figures/roussos_2024.adolescence.GLU/rs7628325_profile_position.png",4,220,900)</f>
        <v/>
      </c>
    </row>
    <row r="2684">
      <c r="A2684" t="inlineStr">
        <is>
          <t>chr3</t>
        </is>
      </c>
      <c r="B2684" t="n">
        <v>108097886</v>
      </c>
      <c r="C2684" t="inlineStr">
        <is>
          <t>C</t>
        </is>
      </c>
      <c r="D2684" t="inlineStr">
        <is>
          <t>T</t>
        </is>
      </c>
      <c r="E2684" t="inlineStr">
        <is>
          <t>rs34910554</t>
        </is>
      </c>
      <c r="F2684" t="n">
        <v>0.00756714034</v>
      </c>
      <c r="G2684" t="n">
        <v>0.5803700644986886</v>
      </c>
      <c r="H2684" t="n">
        <v>0.0177817754058442</v>
      </c>
      <c r="I2684" t="n">
        <v>0.0878077537039401</v>
      </c>
      <c r="J2684" t="n">
        <v>0.3356152345843067</v>
      </c>
      <c r="K2684" t="n">
        <v>0.2322225085510635</v>
      </c>
      <c r="L2684" t="b">
        <v>0</v>
      </c>
      <c r="M2684" t="b">
        <v>0</v>
      </c>
      <c r="N2684" t="inlineStr">
        <is>
          <t>alt</t>
        </is>
      </c>
      <c r="O2684" t="n">
        <v>75</v>
      </c>
      <c r="P2684" t="n">
        <v>0.007275</v>
      </c>
      <c r="Q2684" t="n">
        <v>-90</v>
      </c>
      <c r="R2684" t="n">
        <v>0.0455</v>
      </c>
      <c r="S2684">
        <f>IMAGE("https://mitra.stanford.edu/kundaje/oak/projects/neuro-variants/variant_position/credible/roussos_2024/variant_figures/roussos_2024.adolescence.GLU/rs34910554_count_position.png",4,220,900)</f>
        <v/>
      </c>
      <c r="T2684">
        <f>IMAGE("https://mitra.stanford.edu/kundaje/oak/projects/neuro-variants/variant_position/credible/roussos_2024/variant_figures/roussos_2024.adolescence.GLU/rs34910554_profile_position.png",4,220,900)</f>
        <v/>
      </c>
    </row>
    <row r="2685">
      <c r="A2685" t="inlineStr">
        <is>
          <t>chr3</t>
        </is>
      </c>
      <c r="B2685" t="n">
        <v>108098452</v>
      </c>
      <c r="C2685" t="inlineStr">
        <is>
          <t>G</t>
        </is>
      </c>
      <c r="D2685" t="inlineStr">
        <is>
          <t>A</t>
        </is>
      </c>
      <c r="E2685" t="inlineStr">
        <is>
          <t>rs17231503</t>
        </is>
      </c>
      <c r="F2685" t="n">
        <v>-0.0433931123999999</v>
      </c>
      <c r="G2685" t="n">
        <v>0.0942796161453501</v>
      </c>
      <c r="H2685" t="n">
        <v>0.0108089317817649</v>
      </c>
      <c r="I2685" t="n">
        <v>0.4298289605930294</v>
      </c>
      <c r="J2685" t="n">
        <v>0.3680348072100649</v>
      </c>
      <c r="K2685" t="n">
        <v>0.1981067376018938</v>
      </c>
      <c r="L2685" t="b">
        <v>0</v>
      </c>
      <c r="M2685" t="b">
        <v>0</v>
      </c>
      <c r="N2685" t="inlineStr">
        <is>
          <t>ref</t>
        </is>
      </c>
      <c r="O2685" t="n">
        <v>-100</v>
      </c>
      <c r="P2685" t="n">
        <v>0.01425</v>
      </c>
      <c r="Q2685" t="n">
        <v>80</v>
      </c>
      <c r="R2685" t="n">
        <v>0.0668</v>
      </c>
      <c r="S2685">
        <f>IMAGE("https://mitra.stanford.edu/kundaje/oak/projects/neuro-variants/variant_position/credible/roussos_2024/variant_figures/roussos_2024.adolescence.GLU/rs17231503_count_position.png",4,220,900)</f>
        <v/>
      </c>
      <c r="T2685">
        <f>IMAGE("https://mitra.stanford.edu/kundaje/oak/projects/neuro-variants/variant_position/credible/roussos_2024/variant_figures/roussos_2024.adolescence.GLU/rs17231503_profile_position.png",4,220,900)</f>
        <v/>
      </c>
    </row>
    <row r="2686">
      <c r="A2686" t="inlineStr">
        <is>
          <t>chr3</t>
        </is>
      </c>
      <c r="B2686" t="n">
        <v>108100194</v>
      </c>
      <c r="C2686" t="inlineStr">
        <is>
          <t>G</t>
        </is>
      </c>
      <c r="D2686" t="inlineStr">
        <is>
          <t>A</t>
        </is>
      </c>
      <c r="E2686" t="inlineStr">
        <is>
          <t>rs326361</t>
        </is>
      </c>
      <c r="F2686" t="n">
        <v>0.0195794798</v>
      </c>
      <c r="G2686" t="n">
        <v>0.2907168166656974</v>
      </c>
      <c r="H2686" t="n">
        <v>0.0136581438860909</v>
      </c>
      <c r="I2686" t="n">
        <v>0.2309674120497543</v>
      </c>
      <c r="J2686" t="n">
        <v>0.3987554564874152</v>
      </c>
      <c r="K2686" t="n">
        <v>0.1680705342901857</v>
      </c>
      <c r="L2686" t="b">
        <v>0</v>
      </c>
      <c r="M2686" t="b">
        <v>0</v>
      </c>
      <c r="N2686" t="inlineStr">
        <is>
          <t>alt</t>
        </is>
      </c>
      <c r="O2686" t="n">
        <v>0</v>
      </c>
      <c r="P2686" t="n">
        <v>0</v>
      </c>
      <c r="Q2686" t="n">
        <v>45</v>
      </c>
      <c r="R2686" t="n">
        <v>0.05493</v>
      </c>
      <c r="S2686">
        <f>IMAGE("https://mitra.stanford.edu/kundaje/oak/projects/neuro-variants/variant_position/credible/roussos_2024/variant_figures/roussos_2024.adolescence.GLU/rs326361_count_position.png",4,220,900)</f>
        <v/>
      </c>
      <c r="T2686">
        <f>IMAGE("https://mitra.stanford.edu/kundaje/oak/projects/neuro-variants/variant_position/credible/roussos_2024/variant_figures/roussos_2024.adolescence.GLU/rs326361_profile_position.png",4,220,900)</f>
        <v/>
      </c>
    </row>
    <row r="2687">
      <c r="A2687" t="inlineStr">
        <is>
          <t>chr3</t>
        </is>
      </c>
      <c r="B2687" t="n">
        <v>108149425</v>
      </c>
      <c r="C2687" t="inlineStr">
        <is>
          <t>A</t>
        </is>
      </c>
      <c r="D2687" t="inlineStr">
        <is>
          <t>G</t>
        </is>
      </c>
      <c r="E2687" t="inlineStr">
        <is>
          <t>rs60140727</t>
        </is>
      </c>
      <c r="F2687" t="n">
        <v>0.0692238329999999</v>
      </c>
      <c r="G2687" t="n">
        <v>0.0253024853287007</v>
      </c>
      <c r="H2687" t="n">
        <v>0.0102715139293091</v>
      </c>
      <c r="I2687" t="n">
        <v>0.5054752731019908</v>
      </c>
      <c r="J2687" t="n">
        <v>0.0986847275507069</v>
      </c>
      <c r="K2687" t="n">
        <v>0.5793403855181239</v>
      </c>
      <c r="L2687" t="b">
        <v>0</v>
      </c>
      <c r="M2687" t="b">
        <v>0</v>
      </c>
      <c r="N2687" t="inlineStr">
        <is>
          <t>alt</t>
        </is>
      </c>
      <c r="O2687" t="n">
        <v>100</v>
      </c>
      <c r="P2687" t="n">
        <v>0.01526</v>
      </c>
      <c r="Q2687" t="n">
        <v>-100</v>
      </c>
      <c r="R2687" t="n">
        <v>0.0343</v>
      </c>
      <c r="S2687">
        <f>IMAGE("https://mitra.stanford.edu/kundaje/oak/projects/neuro-variants/variant_position/credible/roussos_2024/variant_figures/roussos_2024.adolescence.GLU/rs60140727_count_position.png",4,220,900)</f>
        <v/>
      </c>
      <c r="T2687">
        <f>IMAGE("https://mitra.stanford.edu/kundaje/oak/projects/neuro-variants/variant_position/credible/roussos_2024/variant_figures/roussos_2024.adolescence.GLU/rs60140727_profile_position.png",4,220,900)</f>
        <v/>
      </c>
    </row>
    <row r="2688">
      <c r="A2688" t="inlineStr">
        <is>
          <t>chr3</t>
        </is>
      </c>
      <c r="B2688" t="n">
        <v>108149814</v>
      </c>
      <c r="C2688" t="inlineStr">
        <is>
          <t>G</t>
        </is>
      </c>
      <c r="D2688" t="inlineStr">
        <is>
          <t>A</t>
        </is>
      </c>
      <c r="E2688" t="inlineStr">
        <is>
          <t>rs10514750</t>
        </is>
      </c>
      <c r="F2688" t="n">
        <v>0.00351648615</v>
      </c>
      <c r="G2688" t="n">
        <v>0.7754141509635342</v>
      </c>
      <c r="H2688" t="n">
        <v>0.0181003561457404</v>
      </c>
      <c r="I2688" t="n">
        <v>0.083362139934296</v>
      </c>
      <c r="J2688" t="n">
        <v>0.1974766201570325</v>
      </c>
      <c r="K2688" t="n">
        <v>0.4076369073532875</v>
      </c>
      <c r="L2688" t="b">
        <v>0</v>
      </c>
      <c r="M2688" t="b">
        <v>0</v>
      </c>
      <c r="N2688" t="inlineStr">
        <is>
          <t>alt</t>
        </is>
      </c>
      <c r="O2688" t="n">
        <v>70</v>
      </c>
      <c r="P2688" t="n">
        <v>0.02812</v>
      </c>
      <c r="Q2688" t="n">
        <v>100</v>
      </c>
      <c r="R2688" t="n">
        <v>0.1307</v>
      </c>
      <c r="S2688">
        <f>IMAGE("https://mitra.stanford.edu/kundaje/oak/projects/neuro-variants/variant_position/credible/roussos_2024/variant_figures/roussos_2024.adolescence.GLU/rs10514750_count_position.png",4,220,900)</f>
        <v/>
      </c>
      <c r="T2688">
        <f>IMAGE("https://mitra.stanford.edu/kundaje/oak/projects/neuro-variants/variant_position/credible/roussos_2024/variant_figures/roussos_2024.adolescence.GLU/rs10514750_profile_position.png",4,220,900)</f>
        <v/>
      </c>
    </row>
    <row r="2689">
      <c r="A2689" t="inlineStr">
        <is>
          <t>chr3</t>
        </is>
      </c>
      <c r="B2689" t="n">
        <v>108157520</v>
      </c>
      <c r="C2689" t="inlineStr">
        <is>
          <t>A</t>
        </is>
      </c>
      <c r="D2689" t="inlineStr">
        <is>
          <t>G</t>
        </is>
      </c>
      <c r="E2689" t="inlineStr">
        <is>
          <t>rs11926978</t>
        </is>
      </c>
      <c r="F2689" t="n">
        <v>0.0570049158</v>
      </c>
      <c r="G2689" t="n">
        <v>0.0459568677992634</v>
      </c>
      <c r="H2689" t="n">
        <v>0.0150368639709114</v>
      </c>
      <c r="I2689" t="n">
        <v>0.1641606856882547</v>
      </c>
      <c r="J2689" t="n">
        <v>0.1236470411728143</v>
      </c>
      <c r="K2689" t="n">
        <v>0.525049352767078</v>
      </c>
      <c r="L2689" t="b">
        <v>0</v>
      </c>
      <c r="M2689" t="b">
        <v>0</v>
      </c>
      <c r="N2689" t="inlineStr">
        <is>
          <t>alt</t>
        </is>
      </c>
      <c r="O2689" t="n">
        <v>55</v>
      </c>
      <c r="P2689" t="n">
        <v>0.0546</v>
      </c>
      <c r="Q2689" t="n">
        <v>40</v>
      </c>
      <c r="R2689" t="n">
        <v>0.03088</v>
      </c>
      <c r="S2689">
        <f>IMAGE("https://mitra.stanford.edu/kundaje/oak/projects/neuro-variants/variant_position/credible/roussos_2024/variant_figures/roussos_2024.adolescence.GLU/rs11926978_count_position.png",4,220,900)</f>
        <v/>
      </c>
      <c r="T2689">
        <f>IMAGE("https://mitra.stanford.edu/kundaje/oak/projects/neuro-variants/variant_position/credible/roussos_2024/variant_figures/roussos_2024.adolescence.GLU/rs11926978_profile_position.png",4,220,900)</f>
        <v/>
      </c>
    </row>
    <row r="2690">
      <c r="A2690" t="inlineStr">
        <is>
          <t>chr3</t>
        </is>
      </c>
      <c r="B2690" t="n">
        <v>108157585</v>
      </c>
      <c r="C2690" t="inlineStr">
        <is>
          <t>G</t>
        </is>
      </c>
      <c r="D2690" t="inlineStr">
        <is>
          <t>A</t>
        </is>
      </c>
      <c r="E2690" t="inlineStr">
        <is>
          <t>rs11919348</t>
        </is>
      </c>
      <c r="F2690" t="n">
        <v>-0.0230779962</v>
      </c>
      <c r="G2690" t="n">
        <v>0.2588761996076277</v>
      </c>
      <c r="H2690" t="n">
        <v>0.0162228295395553</v>
      </c>
      <c r="I2690" t="n">
        <v>0.1382448447828784</v>
      </c>
      <c r="J2690" t="n">
        <v>0.1087711025855355</v>
      </c>
      <c r="K2690" t="n">
        <v>0.5539595529737495</v>
      </c>
      <c r="L2690" t="b">
        <v>0</v>
      </c>
      <c r="M2690" t="b">
        <v>0</v>
      </c>
      <c r="N2690" t="inlineStr">
        <is>
          <t>ref</t>
        </is>
      </c>
      <c r="O2690" t="n">
        <v>-10</v>
      </c>
      <c r="P2690" t="n">
        <v>0.003326</v>
      </c>
      <c r="Q2690" t="n">
        <v>-25</v>
      </c>
      <c r="R2690" t="n">
        <v>0.01819</v>
      </c>
      <c r="S2690">
        <f>IMAGE("https://mitra.stanford.edu/kundaje/oak/projects/neuro-variants/variant_position/credible/roussos_2024/variant_figures/roussos_2024.adolescence.GLU/rs11919348_count_position.png",4,220,900)</f>
        <v/>
      </c>
      <c r="T2690">
        <f>IMAGE("https://mitra.stanford.edu/kundaje/oak/projects/neuro-variants/variant_position/credible/roussos_2024/variant_figures/roussos_2024.adolescence.GLU/rs11919348_profile_position.png",4,220,900)</f>
        <v/>
      </c>
    </row>
    <row r="2691">
      <c r="A2691" t="inlineStr">
        <is>
          <t>chr3</t>
        </is>
      </c>
      <c r="B2691" t="n">
        <v>108160883</v>
      </c>
      <c r="C2691" t="inlineStr">
        <is>
          <t>G</t>
        </is>
      </c>
      <c r="D2691" t="inlineStr">
        <is>
          <t>C</t>
        </is>
      </c>
      <c r="E2691" t="inlineStr">
        <is>
          <t>rs62264146</t>
        </is>
      </c>
      <c r="F2691" t="n">
        <v>-0.0332480106</v>
      </c>
      <c r="G2691" t="n">
        <v>0.1612886143950699</v>
      </c>
      <c r="H2691" t="n">
        <v>0.0154347347124235</v>
      </c>
      <c r="I2691" t="n">
        <v>0.1593448265305669</v>
      </c>
      <c r="J2691" t="n">
        <v>0.0658450679069235</v>
      </c>
      <c r="K2691" t="n">
        <v>0.6515710257499738</v>
      </c>
      <c r="L2691" t="b">
        <v>0</v>
      </c>
      <c r="M2691" t="b">
        <v>0</v>
      </c>
      <c r="N2691" t="inlineStr">
        <is>
          <t>ref</t>
        </is>
      </c>
      <c r="O2691" t="n">
        <v>95</v>
      </c>
      <c r="P2691" t="n">
        <v>0.02585</v>
      </c>
      <c r="Q2691" t="n">
        <v>95</v>
      </c>
      <c r="R2691" t="n">
        <v>0.07000000000000001</v>
      </c>
      <c r="S2691">
        <f>IMAGE("https://mitra.stanford.edu/kundaje/oak/projects/neuro-variants/variant_position/credible/roussos_2024/variant_figures/roussos_2024.adolescence.GLU/rs62264146_count_position.png",4,220,900)</f>
        <v/>
      </c>
      <c r="T2691">
        <f>IMAGE("https://mitra.stanford.edu/kundaje/oak/projects/neuro-variants/variant_position/credible/roussos_2024/variant_figures/roussos_2024.adolescence.GLU/rs62264146_profile_position.png",4,220,900)</f>
        <v/>
      </c>
    </row>
    <row r="2692">
      <c r="A2692" t="inlineStr">
        <is>
          <t>chr3</t>
        </is>
      </c>
      <c r="B2692" t="n">
        <v>108162072</v>
      </c>
      <c r="C2692" t="inlineStr">
        <is>
          <t>T</t>
        </is>
      </c>
      <c r="D2692" t="inlineStr">
        <is>
          <t>C</t>
        </is>
      </c>
      <c r="E2692" t="inlineStr">
        <is>
          <t>rs2035</t>
        </is>
      </c>
      <c r="F2692" t="n">
        <v>0.0634180302</v>
      </c>
      <c r="G2692" t="n">
        <v>0.0328191345945585</v>
      </c>
      <c r="H2692" t="n">
        <v>0.0153781109300944</v>
      </c>
      <c r="I2692" t="n">
        <v>0.1597555049541425</v>
      </c>
      <c r="J2692" t="n">
        <v>0.0801580327353523</v>
      </c>
      <c r="K2692" t="n">
        <v>0.6114748426960028</v>
      </c>
      <c r="L2692" t="b">
        <v>0</v>
      </c>
      <c r="M2692" t="b">
        <v>0</v>
      </c>
      <c r="N2692" t="inlineStr">
        <is>
          <t>alt</t>
        </is>
      </c>
      <c r="O2692" t="n">
        <v>35</v>
      </c>
      <c r="P2692" t="n">
        <v>0.02754</v>
      </c>
      <c r="Q2692" t="n">
        <v>35</v>
      </c>
      <c r="R2692" t="n">
        <v>0.1613</v>
      </c>
      <c r="S2692">
        <f>IMAGE("https://mitra.stanford.edu/kundaje/oak/projects/neuro-variants/variant_position/credible/roussos_2024/variant_figures/roussos_2024.adolescence.GLU/rs2035_count_position.png",4,220,900)</f>
        <v/>
      </c>
      <c r="T2692">
        <f>IMAGE("https://mitra.stanford.edu/kundaje/oak/projects/neuro-variants/variant_position/credible/roussos_2024/variant_figures/roussos_2024.adolescence.GLU/rs2035_profile_position.png",4,220,900)</f>
        <v/>
      </c>
    </row>
    <row r="2693">
      <c r="A2693" t="inlineStr">
        <is>
          <t>chr3</t>
        </is>
      </c>
      <c r="B2693" t="n">
        <v>108163444</v>
      </c>
      <c r="C2693" t="inlineStr">
        <is>
          <t>G</t>
        </is>
      </c>
      <c r="D2693" t="inlineStr">
        <is>
          <t>T</t>
        </is>
      </c>
      <c r="E2693" t="inlineStr">
        <is>
          <t>rs28494587</t>
        </is>
      </c>
      <c r="F2693" t="n">
        <v>0.0086866147707999</v>
      </c>
      <c r="G2693" t="n">
        <v>0.5936788600992339</v>
      </c>
      <c r="H2693" t="n">
        <v>0.0234632953910273</v>
      </c>
      <c r="I2693" t="n">
        <v>0.029153555523323</v>
      </c>
      <c r="J2693" t="n">
        <v>0.0222045995241871</v>
      </c>
      <c r="K2693" t="n">
        <v>0.8093377942212161</v>
      </c>
      <c r="L2693" t="b">
        <v>0</v>
      </c>
      <c r="M2693" t="b">
        <v>0</v>
      </c>
      <c r="N2693" t="inlineStr">
        <is>
          <t>alt</t>
        </is>
      </c>
      <c r="O2693" t="n">
        <v>-95</v>
      </c>
      <c r="P2693" t="n">
        <v>0.004253</v>
      </c>
      <c r="Q2693" t="n">
        <v>-65</v>
      </c>
      <c r="R2693" t="n">
        <v>0.0801</v>
      </c>
      <c r="S2693">
        <f>IMAGE("https://mitra.stanford.edu/kundaje/oak/projects/neuro-variants/variant_position/credible/roussos_2024/variant_figures/roussos_2024.adolescence.GLU/rs28494587_count_position.png",4,220,900)</f>
        <v/>
      </c>
      <c r="T2693">
        <f>IMAGE("https://mitra.stanford.edu/kundaje/oak/projects/neuro-variants/variant_position/credible/roussos_2024/variant_figures/roussos_2024.adolescence.GLU/rs28494587_profile_position.png",4,220,900)</f>
        <v/>
      </c>
    </row>
    <row r="2694">
      <c r="A2694" t="inlineStr">
        <is>
          <t>chr3</t>
        </is>
      </c>
      <c r="B2694" t="n">
        <v>108167028</v>
      </c>
      <c r="C2694" t="inlineStr">
        <is>
          <t>A</t>
        </is>
      </c>
      <c r="D2694" t="inlineStr">
        <is>
          <t>G</t>
        </is>
      </c>
      <c r="E2694" t="inlineStr">
        <is>
          <t>rs2305551</t>
        </is>
      </c>
      <c r="F2694" t="n">
        <v>0.0285879764</v>
      </c>
      <c r="G2694" t="n">
        <v>0.1823957738123411</v>
      </c>
      <c r="H2694" t="n">
        <v>0.0180838778470284</v>
      </c>
      <c r="I2694" t="n">
        <v>0.08114481842181311</v>
      </c>
      <c r="J2694" t="n">
        <v>0.07498696158489961</v>
      </c>
      <c r="K2694" t="n">
        <v>0.6324267983381667</v>
      </c>
      <c r="L2694" t="b">
        <v>0</v>
      </c>
      <c r="M2694" t="b">
        <v>0</v>
      </c>
      <c r="N2694" t="inlineStr">
        <is>
          <t>alt</t>
        </is>
      </c>
      <c r="O2694" t="n">
        <v>25</v>
      </c>
      <c r="P2694" t="n">
        <v>0.005646</v>
      </c>
      <c r="Q2694" t="n">
        <v>-35</v>
      </c>
      <c r="R2694" t="n">
        <v>0.02164</v>
      </c>
      <c r="S2694">
        <f>IMAGE("https://mitra.stanford.edu/kundaje/oak/projects/neuro-variants/variant_position/credible/roussos_2024/variant_figures/roussos_2024.adolescence.GLU/rs2305551_count_position.png",4,220,900)</f>
        <v/>
      </c>
      <c r="T2694">
        <f>IMAGE("https://mitra.stanford.edu/kundaje/oak/projects/neuro-variants/variant_position/credible/roussos_2024/variant_figures/roussos_2024.adolescence.GLU/rs2305551_profile_position.png",4,220,900)</f>
        <v/>
      </c>
    </row>
    <row r="2695">
      <c r="A2695" t="inlineStr">
        <is>
          <t>chr3</t>
        </is>
      </c>
      <c r="B2695" t="n">
        <v>108168909</v>
      </c>
      <c r="C2695" t="inlineStr">
        <is>
          <t>A</t>
        </is>
      </c>
      <c r="D2695" t="inlineStr">
        <is>
          <t>G</t>
        </is>
      </c>
      <c r="E2695" t="inlineStr">
        <is>
          <t>rs9826261</t>
        </is>
      </c>
      <c r="F2695" t="n">
        <v>-0.0449582043999999</v>
      </c>
      <c r="G2695" t="n">
        <v>0.095205416887981</v>
      </c>
      <c r="H2695" t="n">
        <v>0.0157471735145681</v>
      </c>
      <c r="I2695" t="n">
        <v>0.1442179296082102</v>
      </c>
      <c r="J2695" t="n">
        <v>0.0358174193225739</v>
      </c>
      <c r="K2695" t="n">
        <v>0.7466956441321907</v>
      </c>
      <c r="L2695" t="b">
        <v>0</v>
      </c>
      <c r="M2695" t="b">
        <v>0</v>
      </c>
      <c r="N2695" t="inlineStr">
        <is>
          <t>ref</t>
        </is>
      </c>
      <c r="O2695" t="n">
        <v>80</v>
      </c>
      <c r="P2695" t="n">
        <v>0.007317</v>
      </c>
      <c r="Q2695" t="n">
        <v>-60</v>
      </c>
      <c r="R2695" t="n">
        <v>0.0858</v>
      </c>
      <c r="S2695">
        <f>IMAGE("https://mitra.stanford.edu/kundaje/oak/projects/neuro-variants/variant_position/credible/roussos_2024/variant_figures/roussos_2024.adolescence.GLU/rs9826261_count_position.png",4,220,900)</f>
        <v/>
      </c>
      <c r="T2695">
        <f>IMAGE("https://mitra.stanford.edu/kundaje/oak/projects/neuro-variants/variant_position/credible/roussos_2024/variant_figures/roussos_2024.adolescence.GLU/rs9826261_profile_position.png",4,220,900)</f>
        <v/>
      </c>
    </row>
    <row r="2696">
      <c r="A2696" t="inlineStr">
        <is>
          <t>chr3</t>
        </is>
      </c>
      <c r="B2696" t="n">
        <v>108169059</v>
      </c>
      <c r="C2696" t="inlineStr">
        <is>
          <t>A</t>
        </is>
      </c>
      <c r="D2696" t="inlineStr">
        <is>
          <t>C</t>
        </is>
      </c>
      <c r="E2696" t="inlineStr">
        <is>
          <t>rs9830118</t>
        </is>
      </c>
      <c r="F2696" t="n">
        <v>0.01718896586</v>
      </c>
      <c r="G2696" t="n">
        <v>0.3254053368156727</v>
      </c>
      <c r="H2696" t="n">
        <v>0.0153223751594979</v>
      </c>
      <c r="I2696" t="n">
        <v>0.1549254509088114</v>
      </c>
      <c r="J2696" t="n">
        <v>0.0405541147809188</v>
      </c>
      <c r="K2696" t="n">
        <v>0.7290568898940744</v>
      </c>
      <c r="L2696" t="b">
        <v>0</v>
      </c>
      <c r="M2696" t="b">
        <v>0</v>
      </c>
      <c r="N2696" t="inlineStr">
        <is>
          <t>alt</t>
        </is>
      </c>
      <c r="O2696" t="n">
        <v>-20</v>
      </c>
      <c r="P2696" t="n">
        <v>0.003</v>
      </c>
      <c r="Q2696" t="n">
        <v>-25</v>
      </c>
      <c r="R2696" t="n">
        <v>0.05206</v>
      </c>
      <c r="S2696">
        <f>IMAGE("https://mitra.stanford.edu/kundaje/oak/projects/neuro-variants/variant_position/credible/roussos_2024/variant_figures/roussos_2024.adolescence.GLU/rs9830118_count_position.png",4,220,900)</f>
        <v/>
      </c>
      <c r="T2696">
        <f>IMAGE("https://mitra.stanford.edu/kundaje/oak/projects/neuro-variants/variant_position/credible/roussos_2024/variant_figures/roussos_2024.adolescence.GLU/rs9830118_profile_position.png",4,220,900)</f>
        <v/>
      </c>
    </row>
    <row r="2697">
      <c r="A2697" t="inlineStr">
        <is>
          <t>chr3</t>
        </is>
      </c>
      <c r="B2697" t="n">
        <v>108171371</v>
      </c>
      <c r="C2697" t="inlineStr">
        <is>
          <t>C</t>
        </is>
      </c>
      <c r="D2697" t="inlineStr">
        <is>
          <t>T</t>
        </is>
      </c>
      <c r="E2697" t="inlineStr">
        <is>
          <t>rs11928715</t>
        </is>
      </c>
      <c r="F2697" t="n">
        <v>-0.07289391520000001</v>
      </c>
      <c r="G2697" t="n">
        <v>0.0224138232290657</v>
      </c>
      <c r="H2697" t="n">
        <v>0.0116469242109051</v>
      </c>
      <c r="I2697" t="n">
        <v>0.3620564215187686</v>
      </c>
      <c r="J2697" t="n">
        <v>0.0790492316265511</v>
      </c>
      <c r="K2697" t="n">
        <v>0.625750143308769</v>
      </c>
      <c r="L2697" t="b">
        <v>0</v>
      </c>
      <c r="M2697" t="b">
        <v>0</v>
      </c>
      <c r="N2697" t="inlineStr">
        <is>
          <t>ref</t>
        </is>
      </c>
      <c r="O2697" t="n">
        <v>0</v>
      </c>
      <c r="P2697" t="n">
        <v>0</v>
      </c>
      <c r="Q2697" t="n">
        <v>0</v>
      </c>
      <c r="R2697" t="n">
        <v>0</v>
      </c>
      <c r="S2697">
        <f>IMAGE("https://mitra.stanford.edu/kundaje/oak/projects/neuro-variants/variant_position/credible/roussos_2024/variant_figures/roussos_2024.adolescence.GLU/rs11928715_count_position.png",4,220,900)</f>
        <v/>
      </c>
      <c r="T2697">
        <f>IMAGE("https://mitra.stanford.edu/kundaje/oak/projects/neuro-variants/variant_position/credible/roussos_2024/variant_figures/roussos_2024.adolescence.GLU/rs11928715_profile_position.png",4,220,900)</f>
        <v/>
      </c>
    </row>
    <row r="2698">
      <c r="A2698" t="inlineStr">
        <is>
          <t>chr3</t>
        </is>
      </c>
      <c r="B2698" t="n">
        <v>108171457</v>
      </c>
      <c r="C2698" t="inlineStr">
        <is>
          <t>T</t>
        </is>
      </c>
      <c r="D2698" t="inlineStr">
        <is>
          <t>C</t>
        </is>
      </c>
      <c r="E2698" t="inlineStr">
        <is>
          <t>rs11917405</t>
        </is>
      </c>
      <c r="F2698" t="n">
        <v>0.0014211718</v>
      </c>
      <c r="G2698" t="n">
        <v>0.6689700520482353</v>
      </c>
      <c r="H2698" t="n">
        <v>0.023416902358542</v>
      </c>
      <c r="I2698" t="n">
        <v>0.0286849799399585</v>
      </c>
      <c r="J2698" t="n">
        <v>0.0973358767173199</v>
      </c>
      <c r="K2698" t="n">
        <v>0.5827479106305129</v>
      </c>
      <c r="L2698" t="b">
        <v>0</v>
      </c>
      <c r="M2698" t="b">
        <v>0</v>
      </c>
      <c r="N2698" t="inlineStr">
        <is>
          <t>alt</t>
        </is>
      </c>
      <c r="O2698" t="n">
        <v>-55</v>
      </c>
      <c r="P2698" t="n">
        <v>0.009299999999999999</v>
      </c>
      <c r="Q2698" t="n">
        <v>30</v>
      </c>
      <c r="R2698" t="n">
        <v>0.02374</v>
      </c>
      <c r="S2698">
        <f>IMAGE("https://mitra.stanford.edu/kundaje/oak/projects/neuro-variants/variant_position/credible/roussos_2024/variant_figures/roussos_2024.adolescence.GLU/rs11917405_count_position.png",4,220,900)</f>
        <v/>
      </c>
      <c r="T2698">
        <f>IMAGE("https://mitra.stanford.edu/kundaje/oak/projects/neuro-variants/variant_position/credible/roussos_2024/variant_figures/roussos_2024.adolescence.GLU/rs11917405_profile_position.png",4,220,900)</f>
        <v/>
      </c>
    </row>
    <row r="2699">
      <c r="A2699" t="inlineStr">
        <is>
          <t>chr3</t>
        </is>
      </c>
      <c r="B2699" t="n">
        <v>108171613</v>
      </c>
      <c r="C2699" t="inlineStr">
        <is>
          <t>A</t>
        </is>
      </c>
      <c r="D2699" t="inlineStr">
        <is>
          <t>G</t>
        </is>
      </c>
      <c r="E2699" t="inlineStr">
        <is>
          <t>rs11921090</t>
        </is>
      </c>
      <c r="F2699" t="n">
        <v>0.0224245546</v>
      </c>
      <c r="G2699" t="n">
        <v>0.2423599055878891</v>
      </c>
      <c r="H2699" t="n">
        <v>0.0118491343976044</v>
      </c>
      <c r="I2699" t="n">
        <v>0.3490384094873549</v>
      </c>
      <c r="J2699" t="n">
        <v>0.1394003043487579</v>
      </c>
      <c r="K2699" t="n">
        <v>0.4973943924090826</v>
      </c>
      <c r="L2699" t="b">
        <v>0</v>
      </c>
      <c r="M2699" t="b">
        <v>0</v>
      </c>
      <c r="N2699" t="inlineStr">
        <is>
          <t>alt</t>
        </is>
      </c>
      <c r="O2699" t="n">
        <v>95</v>
      </c>
      <c r="P2699" t="n">
        <v>0.0314</v>
      </c>
      <c r="Q2699" t="n">
        <v>-75</v>
      </c>
      <c r="R2699" t="n">
        <v>0.03677</v>
      </c>
      <c r="S2699">
        <f>IMAGE("https://mitra.stanford.edu/kundaje/oak/projects/neuro-variants/variant_position/credible/roussos_2024/variant_figures/roussos_2024.adolescence.GLU/rs11921090_count_position.png",4,220,900)</f>
        <v/>
      </c>
      <c r="T2699">
        <f>IMAGE("https://mitra.stanford.edu/kundaje/oak/projects/neuro-variants/variant_position/credible/roussos_2024/variant_figures/roussos_2024.adolescence.GLU/rs11921090_profile_position.png",4,220,900)</f>
        <v/>
      </c>
    </row>
    <row r="2700">
      <c r="A2700" t="inlineStr">
        <is>
          <t>chr3</t>
        </is>
      </c>
      <c r="B2700" t="n">
        <v>108172218</v>
      </c>
      <c r="C2700" t="inlineStr">
        <is>
          <t>C</t>
        </is>
      </c>
      <c r="D2700" t="inlineStr">
        <is>
          <t>T</t>
        </is>
      </c>
      <c r="E2700" t="inlineStr">
        <is>
          <t>rs17829242</t>
        </is>
      </c>
      <c r="F2700" t="n">
        <v>-0.0472199952</v>
      </c>
      <c r="G2700" t="n">
        <v>0.0774216949448099</v>
      </c>
      <c r="H2700" t="n">
        <v>0.0098768731453807</v>
      </c>
      <c r="I2700" t="n">
        <v>0.549850762224656</v>
      </c>
      <c r="J2700" t="n">
        <v>0.1341749362367918</v>
      </c>
      <c r="K2700" t="n">
        <v>0.5014957370020382</v>
      </c>
      <c r="L2700" t="b">
        <v>0</v>
      </c>
      <c r="M2700" t="b">
        <v>0</v>
      </c>
      <c r="N2700" t="inlineStr">
        <is>
          <t>ref</t>
        </is>
      </c>
      <c r="O2700" t="n">
        <v>-85</v>
      </c>
      <c r="P2700" t="n">
        <v>0.0162</v>
      </c>
      <c r="Q2700" t="n">
        <v>-10</v>
      </c>
      <c r="R2700" t="n">
        <v>0.003906</v>
      </c>
      <c r="S2700">
        <f>IMAGE("https://mitra.stanford.edu/kundaje/oak/projects/neuro-variants/variant_position/credible/roussos_2024/variant_figures/roussos_2024.adolescence.GLU/rs17829242_count_position.png",4,220,900)</f>
        <v/>
      </c>
      <c r="T2700">
        <f>IMAGE("https://mitra.stanford.edu/kundaje/oak/projects/neuro-variants/variant_position/credible/roussos_2024/variant_figures/roussos_2024.adolescence.GLU/rs17829242_profile_position.png",4,220,900)</f>
        <v/>
      </c>
    </row>
    <row r="2701">
      <c r="A2701" t="inlineStr">
        <is>
          <t>chr3</t>
        </is>
      </c>
      <c r="B2701" t="n">
        <v>108174732</v>
      </c>
      <c r="C2701" t="inlineStr">
        <is>
          <t>T</t>
        </is>
      </c>
      <c r="D2701" t="inlineStr">
        <is>
          <t>C</t>
        </is>
      </c>
      <c r="E2701" t="inlineStr">
        <is>
          <t>rs28377152</t>
        </is>
      </c>
      <c r="F2701" t="n">
        <v>-0.0210385967999999</v>
      </c>
      <c r="G2701" t="n">
        <v>0.2852686642087014</v>
      </c>
      <c r="H2701" t="n">
        <v>0.0135979122620624</v>
      </c>
      <c r="I2701" t="n">
        <v>0.2382637513642856</v>
      </c>
      <c r="J2701" t="n">
        <v>0.047858484971887</v>
      </c>
      <c r="K2701" t="n">
        <v>0.7060903704910838</v>
      </c>
      <c r="L2701" t="b">
        <v>0</v>
      </c>
      <c r="M2701" t="b">
        <v>0</v>
      </c>
      <c r="N2701" t="inlineStr">
        <is>
          <t>ref</t>
        </is>
      </c>
      <c r="O2701" t="n">
        <v>80</v>
      </c>
      <c r="P2701" t="n">
        <v>0.01506</v>
      </c>
      <c r="Q2701" t="n">
        <v>95</v>
      </c>
      <c r="R2701" t="n">
        <v>0.03564</v>
      </c>
      <c r="S2701">
        <f>IMAGE("https://mitra.stanford.edu/kundaje/oak/projects/neuro-variants/variant_position/credible/roussos_2024/variant_figures/roussos_2024.adolescence.GLU/rs28377152_count_position.png",4,220,900)</f>
        <v/>
      </c>
      <c r="T2701">
        <f>IMAGE("https://mitra.stanford.edu/kundaje/oak/projects/neuro-variants/variant_position/credible/roussos_2024/variant_figures/roussos_2024.adolescence.GLU/rs28377152_profile_position.png",4,220,900)</f>
        <v/>
      </c>
    </row>
    <row r="2702">
      <c r="A2702" t="inlineStr">
        <is>
          <t>chr3</t>
        </is>
      </c>
      <c r="B2702" t="n">
        <v>108175645</v>
      </c>
      <c r="C2702" t="inlineStr">
        <is>
          <t>C</t>
        </is>
      </c>
      <c r="D2702" t="inlineStr">
        <is>
          <t>A</t>
        </is>
      </c>
      <c r="E2702" t="inlineStr">
        <is>
          <t>rs11917750</t>
        </is>
      </c>
      <c r="F2702" t="n">
        <v>-0.0121327900999999</v>
      </c>
      <c r="G2702" t="n">
        <v>0.4774672268351231</v>
      </c>
      <c r="H2702" t="n">
        <v>0.0088609712883227</v>
      </c>
      <c r="I2702" t="n">
        <v>0.6827726501224739</v>
      </c>
      <c r="J2702" t="n">
        <v>0.1196805052475155</v>
      </c>
      <c r="K2702" t="n">
        <v>0.5274700596543308</v>
      </c>
      <c r="L2702" t="b">
        <v>0</v>
      </c>
      <c r="M2702" t="b">
        <v>0</v>
      </c>
      <c r="N2702" t="inlineStr">
        <is>
          <t>ref</t>
        </is>
      </c>
      <c r="O2702" t="n">
        <v>100</v>
      </c>
      <c r="P2702" t="n">
        <v>0.06</v>
      </c>
      <c r="Q2702" t="n">
        <v>-50</v>
      </c>
      <c r="R2702" t="n">
        <v>0.0424</v>
      </c>
      <c r="S2702">
        <f>IMAGE("https://mitra.stanford.edu/kundaje/oak/projects/neuro-variants/variant_position/credible/roussos_2024/variant_figures/roussos_2024.adolescence.GLU/rs11917750_count_position.png",4,220,900)</f>
        <v/>
      </c>
      <c r="T2702">
        <f>IMAGE("https://mitra.stanford.edu/kundaje/oak/projects/neuro-variants/variant_position/credible/roussos_2024/variant_figures/roussos_2024.adolescence.GLU/rs11917750_profile_position.png",4,220,900)</f>
        <v/>
      </c>
    </row>
    <row r="2703">
      <c r="A2703" t="inlineStr">
        <is>
          <t>chr3</t>
        </is>
      </c>
      <c r="B2703" t="n">
        <v>108175745</v>
      </c>
      <c r="C2703" t="inlineStr">
        <is>
          <t>T</t>
        </is>
      </c>
      <c r="D2703" t="inlineStr">
        <is>
          <t>C</t>
        </is>
      </c>
      <c r="E2703" t="inlineStr">
        <is>
          <t>rs723271</t>
        </is>
      </c>
      <c r="F2703" t="n">
        <v>-0.0123810501199999</v>
      </c>
      <c r="G2703" t="n">
        <v>0.4765674648262206</v>
      </c>
      <c r="H2703" t="n">
        <v>0.0208545691687891</v>
      </c>
      <c r="I2703" t="n">
        <v>0.0458483116789565</v>
      </c>
      <c r="J2703" t="n">
        <v>0.125907509412664</v>
      </c>
      <c r="K2703" t="n">
        <v>0.5167262790961733</v>
      </c>
      <c r="L2703" t="b">
        <v>0</v>
      </c>
      <c r="M2703" t="b">
        <v>0</v>
      </c>
      <c r="N2703" t="inlineStr">
        <is>
          <t>ref</t>
        </is>
      </c>
      <c r="O2703" t="n">
        <v>70</v>
      </c>
      <c r="P2703" t="n">
        <v>0.002838</v>
      </c>
      <c r="Q2703" t="n">
        <v>55</v>
      </c>
      <c r="R2703" t="n">
        <v>0.0327</v>
      </c>
      <c r="S2703">
        <f>IMAGE("https://mitra.stanford.edu/kundaje/oak/projects/neuro-variants/variant_position/credible/roussos_2024/variant_figures/roussos_2024.adolescence.GLU/rs723271_count_position.png",4,220,900)</f>
        <v/>
      </c>
      <c r="T2703">
        <f>IMAGE("https://mitra.stanford.edu/kundaje/oak/projects/neuro-variants/variant_position/credible/roussos_2024/variant_figures/roussos_2024.adolescence.GLU/rs723271_profile_position.png",4,220,900)</f>
        <v/>
      </c>
    </row>
    <row r="2704">
      <c r="A2704" t="inlineStr">
        <is>
          <t>chr3</t>
        </is>
      </c>
      <c r="B2704" t="n">
        <v>108176360</v>
      </c>
      <c r="C2704" t="inlineStr">
        <is>
          <t>C</t>
        </is>
      </c>
      <c r="D2704" t="inlineStr">
        <is>
          <t>T</t>
        </is>
      </c>
      <c r="E2704" t="inlineStr">
        <is>
          <t>rs7610003</t>
        </is>
      </c>
      <c r="F2704" t="n">
        <v>0.0126025347</v>
      </c>
      <c r="G2704" t="n">
        <v>0.3728263562370421</v>
      </c>
      <c r="H2704" t="n">
        <v>0.0193750391540359</v>
      </c>
      <c r="I2704" t="n">
        <v>0.06431592231628649</v>
      </c>
      <c r="J2704" t="n">
        <v>0.0962985189789313</v>
      </c>
      <c r="K2704" t="n">
        <v>0.5850027536292803</v>
      </c>
      <c r="L2704" t="b">
        <v>0</v>
      </c>
      <c r="M2704" t="b">
        <v>0</v>
      </c>
      <c r="N2704" t="inlineStr">
        <is>
          <t>alt</t>
        </is>
      </c>
      <c r="O2704" t="n">
        <v>-60</v>
      </c>
      <c r="P2704" t="n">
        <v>0.005116</v>
      </c>
      <c r="Q2704" t="n">
        <v>-30</v>
      </c>
      <c r="R2704" t="n">
        <v>0.06759999999999999</v>
      </c>
      <c r="S2704">
        <f>IMAGE("https://mitra.stanford.edu/kundaje/oak/projects/neuro-variants/variant_position/credible/roussos_2024/variant_figures/roussos_2024.adolescence.GLU/rs7610003_count_position.png",4,220,900)</f>
        <v/>
      </c>
      <c r="T2704">
        <f>IMAGE("https://mitra.stanford.edu/kundaje/oak/projects/neuro-variants/variant_position/credible/roussos_2024/variant_figures/roussos_2024.adolescence.GLU/rs7610003_profile_position.png",4,220,900)</f>
        <v/>
      </c>
    </row>
    <row r="2705">
      <c r="A2705" t="inlineStr">
        <is>
          <t>chr3</t>
        </is>
      </c>
      <c r="B2705" t="n">
        <v>108176479</v>
      </c>
      <c r="C2705" t="inlineStr">
        <is>
          <t>A</t>
        </is>
      </c>
      <c r="D2705" t="inlineStr">
        <is>
          <t>G</t>
        </is>
      </c>
      <c r="E2705" t="inlineStr">
        <is>
          <t>rs7632036</t>
        </is>
      </c>
      <c r="F2705" t="n">
        <v>0.01222762274</v>
      </c>
      <c r="G2705" t="n">
        <v>0.3861125645259621</v>
      </c>
      <c r="H2705" t="n">
        <v>0.0139766081618958</v>
      </c>
      <c r="I2705" t="n">
        <v>0.2031068679457408</v>
      </c>
      <c r="J2705" t="n">
        <v>0.06570218116609861</v>
      </c>
      <c r="K2705" t="n">
        <v>0.6604462025581813</v>
      </c>
      <c r="L2705" t="b">
        <v>0</v>
      </c>
      <c r="M2705" t="b">
        <v>0</v>
      </c>
      <c r="N2705" t="inlineStr">
        <is>
          <t>alt</t>
        </is>
      </c>
      <c r="O2705" t="n">
        <v>-90</v>
      </c>
      <c r="P2705" t="n">
        <v>0.006794</v>
      </c>
      <c r="Q2705" t="n">
        <v>-85</v>
      </c>
      <c r="R2705" t="n">
        <v>0.00685</v>
      </c>
      <c r="S2705">
        <f>IMAGE("https://mitra.stanford.edu/kundaje/oak/projects/neuro-variants/variant_position/credible/roussos_2024/variant_figures/roussos_2024.adolescence.GLU/rs7632036_count_position.png",4,220,900)</f>
        <v/>
      </c>
      <c r="T2705">
        <f>IMAGE("https://mitra.stanford.edu/kundaje/oak/projects/neuro-variants/variant_position/credible/roussos_2024/variant_figures/roussos_2024.adolescence.GLU/rs7632036_profile_position.png",4,220,900)</f>
        <v/>
      </c>
    </row>
    <row r="2706">
      <c r="A2706" t="inlineStr">
        <is>
          <t>chr3</t>
        </is>
      </c>
      <c r="B2706" t="n">
        <v>108178447</v>
      </c>
      <c r="C2706" t="inlineStr">
        <is>
          <t>G</t>
        </is>
      </c>
      <c r="D2706" t="inlineStr">
        <is>
          <t>A</t>
        </is>
      </c>
      <c r="E2706" t="inlineStr">
        <is>
          <t>rs11915212</t>
        </is>
      </c>
      <c r="F2706" t="n">
        <v>0.00783861496</v>
      </c>
      <c r="G2706" t="n">
        <v>0.5967707734555501</v>
      </c>
      <c r="H2706" t="n">
        <v>0.0238088069100037</v>
      </c>
      <c r="I2706" t="n">
        <v>0.0240524730432688</v>
      </c>
      <c r="J2706" t="n">
        <v>0.0238220774303248</v>
      </c>
      <c r="K2706" t="n">
        <v>0.7982202234145896</v>
      </c>
      <c r="L2706" t="b">
        <v>0</v>
      </c>
      <c r="M2706" t="b">
        <v>0</v>
      </c>
      <c r="N2706" t="inlineStr">
        <is>
          <t>alt</t>
        </is>
      </c>
      <c r="O2706" t="n">
        <v>-90</v>
      </c>
      <c r="P2706" t="n">
        <v>0.002651</v>
      </c>
      <c r="Q2706" t="n">
        <v>90</v>
      </c>
      <c r="R2706" t="n">
        <v>0.0491</v>
      </c>
      <c r="S2706">
        <f>IMAGE("https://mitra.stanford.edu/kundaje/oak/projects/neuro-variants/variant_position/credible/roussos_2024/variant_figures/roussos_2024.adolescence.GLU/rs11915212_count_position.png",4,220,900)</f>
        <v/>
      </c>
      <c r="T2706">
        <f>IMAGE("https://mitra.stanford.edu/kundaje/oak/projects/neuro-variants/variant_position/credible/roussos_2024/variant_figures/roussos_2024.adolescence.GLU/rs11915212_profile_position.png",4,220,900)</f>
        <v/>
      </c>
    </row>
    <row r="2707">
      <c r="A2707" t="inlineStr">
        <is>
          <t>chr3</t>
        </is>
      </c>
      <c r="B2707" t="n">
        <v>108178698</v>
      </c>
      <c r="C2707" t="inlineStr">
        <is>
          <t>C</t>
        </is>
      </c>
      <c r="D2707" t="inlineStr">
        <is>
          <t>A</t>
        </is>
      </c>
      <c r="E2707" t="inlineStr">
        <is>
          <t>rs11915231</t>
        </is>
      </c>
      <c r="F2707" t="n">
        <v>0.0019491009399999</v>
      </c>
      <c r="G2707" t="n">
        <v>0.7387463171232315</v>
      </c>
      <c r="H2707" t="n">
        <v>0.0177846847008307</v>
      </c>
      <c r="I2707" t="n">
        <v>0.0880567555241679</v>
      </c>
      <c r="J2707" t="n">
        <v>0.060841174243236</v>
      </c>
      <c r="K2707" t="n">
        <v>0.6642861730539789</v>
      </c>
      <c r="L2707" t="b">
        <v>0</v>
      </c>
      <c r="M2707" t="b">
        <v>0</v>
      </c>
      <c r="N2707" t="inlineStr">
        <is>
          <t>alt</t>
        </is>
      </c>
      <c r="O2707" t="n">
        <v>95</v>
      </c>
      <c r="P2707" t="n">
        <v>0.009155</v>
      </c>
      <c r="Q2707" t="n">
        <v>95</v>
      </c>
      <c r="R2707" t="n">
        <v>0.01599</v>
      </c>
      <c r="S2707">
        <f>IMAGE("https://mitra.stanford.edu/kundaje/oak/projects/neuro-variants/variant_position/credible/roussos_2024/variant_figures/roussos_2024.adolescence.GLU/rs11915231_count_position.png",4,220,900)</f>
        <v/>
      </c>
      <c r="T2707">
        <f>IMAGE("https://mitra.stanford.edu/kundaje/oak/projects/neuro-variants/variant_position/credible/roussos_2024/variant_figures/roussos_2024.adolescence.GLU/rs11915231_profile_position.png",4,220,900)</f>
        <v/>
      </c>
    </row>
    <row r="2708">
      <c r="A2708" t="inlineStr">
        <is>
          <t>chr3</t>
        </is>
      </c>
      <c r="B2708" t="n">
        <v>108179746</v>
      </c>
      <c r="C2708" t="inlineStr">
        <is>
          <t>C</t>
        </is>
      </c>
      <c r="D2708" t="inlineStr">
        <is>
          <t>T</t>
        </is>
      </c>
      <c r="E2708" t="inlineStr">
        <is>
          <t>rs9818755</t>
        </is>
      </c>
      <c r="F2708" t="n">
        <v>-0.2811430319999999</v>
      </c>
      <c r="G2708" t="n">
        <v>0.0004549936333583</v>
      </c>
      <c r="H2708" t="n">
        <v>0.1155607036114912</v>
      </c>
      <c r="I2708" t="n">
        <v>0.0001635996498017</v>
      </c>
      <c r="J2708" t="n">
        <v>0.3656628873123718</v>
      </c>
      <c r="K2708" t="n">
        <v>0.1881628052381195</v>
      </c>
      <c r="L2708" t="b">
        <v>1</v>
      </c>
      <c r="M2708" t="b">
        <v>1</v>
      </c>
      <c r="N2708" t="inlineStr">
        <is>
          <t>ref</t>
        </is>
      </c>
      <c r="O2708" t="n">
        <v>-5</v>
      </c>
      <c r="P2708" t="n">
        <v>0.0001221</v>
      </c>
      <c r="Q2708" t="n">
        <v>0</v>
      </c>
      <c r="R2708" t="n">
        <v>0</v>
      </c>
      <c r="S2708">
        <f>IMAGE("https://mitra.stanford.edu/kundaje/oak/projects/neuro-variants/variant_position/credible/roussos_2024/variant_figures/roussos_2024.adolescence.GLU/rs9818755_count_position.png",4,220,900)</f>
        <v/>
      </c>
      <c r="T2708">
        <f>IMAGE("https://mitra.stanford.edu/kundaje/oak/projects/neuro-variants/variant_position/credible/roussos_2024/variant_figures/roussos_2024.adolescence.GLU/rs9818755_profile_position.png",4,220,900)</f>
        <v/>
      </c>
    </row>
    <row r="2709">
      <c r="A2709" t="inlineStr">
        <is>
          <t>chr3</t>
        </is>
      </c>
      <c r="B2709" t="n">
        <v>108181114</v>
      </c>
      <c r="C2709" t="inlineStr">
        <is>
          <t>A</t>
        </is>
      </c>
      <c r="D2709" t="inlineStr">
        <is>
          <t>T</t>
        </is>
      </c>
      <c r="E2709" t="inlineStr">
        <is>
          <t>rs7647452</t>
        </is>
      </c>
      <c r="F2709" t="n">
        <v>-0.0078095379</v>
      </c>
      <c r="G2709" t="n">
        <v>0.5739458018386027</v>
      </c>
      <c r="H2709" t="n">
        <v>0.0159732866549208</v>
      </c>
      <c r="I2709" t="n">
        <v>0.1276275135279018</v>
      </c>
      <c r="J2709" t="n">
        <v>0.0452179380014431</v>
      </c>
      <c r="K2709" t="n">
        <v>0.7130120475072069</v>
      </c>
      <c r="L2709" t="b">
        <v>0</v>
      </c>
      <c r="M2709" t="b">
        <v>0</v>
      </c>
      <c r="N2709" t="inlineStr">
        <is>
          <t>ref</t>
        </is>
      </c>
      <c r="O2709" t="n">
        <v>90</v>
      </c>
      <c r="P2709" t="n">
        <v>0.01087</v>
      </c>
      <c r="Q2709" t="n">
        <v>45</v>
      </c>
      <c r="R2709" t="n">
        <v>0.03516</v>
      </c>
      <c r="S2709">
        <f>IMAGE("https://mitra.stanford.edu/kundaje/oak/projects/neuro-variants/variant_position/credible/roussos_2024/variant_figures/roussos_2024.adolescence.GLU/rs7647452_count_position.png",4,220,900)</f>
        <v/>
      </c>
      <c r="T2709">
        <f>IMAGE("https://mitra.stanford.edu/kundaje/oak/projects/neuro-variants/variant_position/credible/roussos_2024/variant_figures/roussos_2024.adolescence.GLU/rs7647452_profile_position.png",4,220,900)</f>
        <v/>
      </c>
    </row>
    <row r="2710">
      <c r="A2710" t="inlineStr">
        <is>
          <t>chr3</t>
        </is>
      </c>
      <c r="B2710" t="n">
        <v>108182218</v>
      </c>
      <c r="C2710" t="inlineStr">
        <is>
          <t>G</t>
        </is>
      </c>
      <c r="D2710" t="inlineStr">
        <is>
          <t>A</t>
        </is>
      </c>
      <c r="E2710" t="inlineStr">
        <is>
          <t>rs17829536</t>
        </is>
      </c>
      <c r="F2710" t="n">
        <v>0.0341354998</v>
      </c>
      <c r="G2710" t="n">
        <v>0.1422324873094862</v>
      </c>
      <c r="H2710" t="n">
        <v>0.0307190317150488</v>
      </c>
      <c r="I2710" t="n">
        <v>0.008153102615322899</v>
      </c>
      <c r="J2710" t="n">
        <v>0.0543326831986625</v>
      </c>
      <c r="K2710" t="n">
        <v>0.6883639677874568</v>
      </c>
      <c r="L2710" t="b">
        <v>1</v>
      </c>
      <c r="M2710" t="b">
        <v>1</v>
      </c>
      <c r="N2710" t="inlineStr">
        <is>
          <t>alt</t>
        </is>
      </c>
      <c r="O2710" t="n">
        <v>20</v>
      </c>
      <c r="P2710" t="n">
        <v>0.0007553</v>
      </c>
      <c r="Q2710" t="n">
        <v>100</v>
      </c>
      <c r="R2710" t="n">
        <v>0.03082</v>
      </c>
      <c r="S2710">
        <f>IMAGE("https://mitra.stanford.edu/kundaje/oak/projects/neuro-variants/variant_position/credible/roussos_2024/variant_figures/roussos_2024.adolescence.GLU/rs17829536_count_position.png",4,220,900)</f>
        <v/>
      </c>
      <c r="T2710">
        <f>IMAGE("https://mitra.stanford.edu/kundaje/oak/projects/neuro-variants/variant_position/credible/roussos_2024/variant_figures/roussos_2024.adolescence.GLU/rs17829536_profile_position.png",4,220,900)</f>
        <v/>
      </c>
    </row>
    <row r="2711">
      <c r="A2711" t="inlineStr">
        <is>
          <t>chr3</t>
        </is>
      </c>
      <c r="B2711" t="n">
        <v>108184228</v>
      </c>
      <c r="C2711" t="inlineStr">
        <is>
          <t>A</t>
        </is>
      </c>
      <c r="D2711" t="inlineStr">
        <is>
          <t>C</t>
        </is>
      </c>
      <c r="E2711" t="inlineStr">
        <is>
          <t>rs10514752</t>
        </is>
      </c>
      <c r="F2711" t="n">
        <v>-0.0210037174</v>
      </c>
      <c r="G2711" t="n">
        <v>0.2940525383403107</v>
      </c>
      <c r="H2711" t="n">
        <v>0.0173115411322469</v>
      </c>
      <c r="I2711" t="n">
        <v>0.1104887210824428</v>
      </c>
      <c r="J2711" t="n">
        <v>0.0283330118381664</v>
      </c>
      <c r="K2711" t="n">
        <v>0.7775348637288668</v>
      </c>
      <c r="L2711" t="b">
        <v>0</v>
      </c>
      <c r="M2711" t="b">
        <v>0</v>
      </c>
      <c r="N2711" t="inlineStr">
        <is>
          <t>ref</t>
        </is>
      </c>
      <c r="O2711" t="n">
        <v>100</v>
      </c>
      <c r="P2711" t="n">
        <v>0.02177</v>
      </c>
      <c r="Q2711" t="n">
        <v>-15</v>
      </c>
      <c r="R2711" t="n">
        <v>0.02496</v>
      </c>
      <c r="S2711">
        <f>IMAGE("https://mitra.stanford.edu/kundaje/oak/projects/neuro-variants/variant_position/credible/roussos_2024/variant_figures/roussos_2024.adolescence.GLU/rs10514752_count_position.png",4,220,900)</f>
        <v/>
      </c>
      <c r="T2711">
        <f>IMAGE("https://mitra.stanford.edu/kundaje/oak/projects/neuro-variants/variant_position/credible/roussos_2024/variant_figures/roussos_2024.adolescence.GLU/rs10514752_profile_position.png",4,220,900)</f>
        <v/>
      </c>
    </row>
    <row r="2712">
      <c r="A2712" t="inlineStr">
        <is>
          <t>chr3</t>
        </is>
      </c>
      <c r="B2712" t="n">
        <v>108185223</v>
      </c>
      <c r="C2712" t="inlineStr">
        <is>
          <t>A</t>
        </is>
      </c>
      <c r="D2712" t="inlineStr">
        <is>
          <t>G</t>
        </is>
      </c>
      <c r="E2712" t="inlineStr">
        <is>
          <t>rs72933710</t>
        </is>
      </c>
      <c r="F2712" t="n">
        <v>0.0746282769999999</v>
      </c>
      <c r="G2712" t="n">
        <v>0.0191449673430248</v>
      </c>
      <c r="H2712" t="n">
        <v>0.0128053480109122</v>
      </c>
      <c r="I2712" t="n">
        <v>0.2761676183472504</v>
      </c>
      <c r="J2712" t="n">
        <v>0.1608618928206556</v>
      </c>
      <c r="K2712" t="n">
        <v>0.4538949685234719</v>
      </c>
      <c r="L2712" t="b">
        <v>1</v>
      </c>
      <c r="M2712" t="b">
        <v>0</v>
      </c>
      <c r="N2712" t="inlineStr">
        <is>
          <t>alt</t>
        </is>
      </c>
      <c r="O2712" t="n">
        <v>-95</v>
      </c>
      <c r="P2712" t="n">
        <v>0.009705</v>
      </c>
      <c r="Q2712" t="n">
        <v>-10</v>
      </c>
      <c r="R2712" t="n">
        <v>0.002441</v>
      </c>
      <c r="S2712">
        <f>IMAGE("https://mitra.stanford.edu/kundaje/oak/projects/neuro-variants/variant_position/credible/roussos_2024/variant_figures/roussos_2024.adolescence.GLU/rs72933710_count_position.png",4,220,900)</f>
        <v/>
      </c>
      <c r="T2712">
        <f>IMAGE("https://mitra.stanford.edu/kundaje/oak/projects/neuro-variants/variant_position/credible/roussos_2024/variant_figures/roussos_2024.adolescence.GLU/rs72933710_profile_position.png",4,220,900)</f>
        <v/>
      </c>
    </row>
    <row r="2713">
      <c r="A2713" t="inlineStr">
        <is>
          <t>chr3</t>
        </is>
      </c>
      <c r="B2713" t="n">
        <v>108186492</v>
      </c>
      <c r="C2713" t="inlineStr">
        <is>
          <t>A</t>
        </is>
      </c>
      <c r="D2713" t="inlineStr">
        <is>
          <t>G</t>
        </is>
      </c>
      <c r="E2713" t="inlineStr">
        <is>
          <t>rs13433942</t>
        </is>
      </c>
      <c r="F2713" t="n">
        <v>0.075147985</v>
      </c>
      <c r="G2713" t="n">
        <v>0.0176358256805424</v>
      </c>
      <c r="H2713" t="n">
        <v>0.011989686319067</v>
      </c>
      <c r="I2713" t="n">
        <v>0.3060833625842251</v>
      </c>
      <c r="J2713" t="n">
        <v>0.06992448435747391</v>
      </c>
      <c r="K2713" t="n">
        <v>0.6413526995748376</v>
      </c>
      <c r="L2713" t="b">
        <v>1</v>
      </c>
      <c r="M2713" t="b">
        <v>0</v>
      </c>
      <c r="N2713" t="inlineStr">
        <is>
          <t>alt</t>
        </is>
      </c>
      <c r="O2713" t="n">
        <v>-90</v>
      </c>
      <c r="P2713" t="n">
        <v>0.03357</v>
      </c>
      <c r="Q2713" t="n">
        <v>95</v>
      </c>
      <c r="R2713" t="n">
        <v>0.0742</v>
      </c>
      <c r="S2713">
        <f>IMAGE("https://mitra.stanford.edu/kundaje/oak/projects/neuro-variants/variant_position/credible/roussos_2024/variant_figures/roussos_2024.adolescence.GLU/rs13433942_count_position.png",4,220,900)</f>
        <v/>
      </c>
      <c r="T2713">
        <f>IMAGE("https://mitra.stanford.edu/kundaje/oak/projects/neuro-variants/variant_position/credible/roussos_2024/variant_figures/roussos_2024.adolescence.GLU/rs13433942_profile_position.png",4,220,900)</f>
        <v/>
      </c>
    </row>
    <row r="2714">
      <c r="A2714" t="inlineStr">
        <is>
          <t>chr3</t>
        </is>
      </c>
      <c r="B2714" t="n">
        <v>108189077</v>
      </c>
      <c r="C2714" t="inlineStr">
        <is>
          <t>C</t>
        </is>
      </c>
      <c r="D2714" t="inlineStr">
        <is>
          <t>T</t>
        </is>
      </c>
      <c r="E2714" t="inlineStr">
        <is>
          <t>rs9816413</t>
        </is>
      </c>
      <c r="F2714" t="n">
        <v>-0.004658918028</v>
      </c>
      <c r="G2714" t="n">
        <v>0.7501677030997054</v>
      </c>
      <c r="H2714" t="n">
        <v>0.0194958127891531</v>
      </c>
      <c r="I2714" t="n">
        <v>0.0578486866713036</v>
      </c>
      <c r="J2714" t="n">
        <v>0.0176808053096712</v>
      </c>
      <c r="K2714" t="n">
        <v>0.8317742095610989</v>
      </c>
      <c r="L2714" t="b">
        <v>0</v>
      </c>
      <c r="M2714" t="b">
        <v>0</v>
      </c>
      <c r="N2714" t="inlineStr">
        <is>
          <t>ref</t>
        </is>
      </c>
      <c r="O2714" t="n">
        <v>100</v>
      </c>
      <c r="P2714" t="n">
        <v>0.006165</v>
      </c>
      <c r="Q2714" t="n">
        <v>-80</v>
      </c>
      <c r="R2714" t="n">
        <v>0.03394</v>
      </c>
      <c r="S2714">
        <f>IMAGE("https://mitra.stanford.edu/kundaje/oak/projects/neuro-variants/variant_position/credible/roussos_2024/variant_figures/roussos_2024.adolescence.GLU/rs9816413_count_position.png",4,220,900)</f>
        <v/>
      </c>
      <c r="T2714">
        <f>IMAGE("https://mitra.stanford.edu/kundaje/oak/projects/neuro-variants/variant_position/credible/roussos_2024/variant_figures/roussos_2024.adolescence.GLU/rs9816413_profile_position.png",4,220,900)</f>
        <v/>
      </c>
    </row>
    <row r="2715">
      <c r="A2715" t="inlineStr">
        <is>
          <t>chr3</t>
        </is>
      </c>
      <c r="B2715" t="n">
        <v>108189334</v>
      </c>
      <c r="C2715" t="inlineStr">
        <is>
          <t>C</t>
        </is>
      </c>
      <c r="D2715" t="inlineStr">
        <is>
          <t>T</t>
        </is>
      </c>
      <c r="E2715" t="inlineStr">
        <is>
          <t>rs17239988</t>
        </is>
      </c>
      <c r="F2715" t="n">
        <v>-0.0802034848</v>
      </c>
      <c r="G2715" t="n">
        <v>0.0192933106942312</v>
      </c>
      <c r="H2715" t="n">
        <v>0.0141019326325899</v>
      </c>
      <c r="I2715" t="n">
        <v>0.2116151381342033</v>
      </c>
      <c r="J2715" t="n">
        <v>0.042214458709304</v>
      </c>
      <c r="K2715" t="n">
        <v>0.7281259845020155</v>
      </c>
      <c r="L2715" t="b">
        <v>1</v>
      </c>
      <c r="M2715" t="b">
        <v>0</v>
      </c>
      <c r="N2715" t="inlineStr">
        <is>
          <t>ref</t>
        </is>
      </c>
      <c r="O2715" t="n">
        <v>20</v>
      </c>
      <c r="P2715" t="n">
        <v>0.00796</v>
      </c>
      <c r="Q2715" t="n">
        <v>100</v>
      </c>
      <c r="R2715" t="n">
        <v>0.06560000000000001</v>
      </c>
      <c r="S2715">
        <f>IMAGE("https://mitra.stanford.edu/kundaje/oak/projects/neuro-variants/variant_position/credible/roussos_2024/variant_figures/roussos_2024.adolescence.GLU/rs17239988_count_position.png",4,220,900)</f>
        <v/>
      </c>
      <c r="T2715">
        <f>IMAGE("https://mitra.stanford.edu/kundaje/oak/projects/neuro-variants/variant_position/credible/roussos_2024/variant_figures/roussos_2024.adolescence.GLU/rs17239988_profile_position.png",4,220,900)</f>
        <v/>
      </c>
    </row>
    <row r="2716">
      <c r="A2716" t="inlineStr">
        <is>
          <t>chr3</t>
        </is>
      </c>
      <c r="B2716" t="n">
        <v>108190452</v>
      </c>
      <c r="C2716" t="inlineStr">
        <is>
          <t>A</t>
        </is>
      </c>
      <c r="D2716" t="inlineStr">
        <is>
          <t>G</t>
        </is>
      </c>
      <c r="E2716" t="inlineStr">
        <is>
          <t>rs9859939</t>
        </is>
      </c>
      <c r="F2716" t="n">
        <v>0.0501135891999999</v>
      </c>
      <c r="G2716" t="n">
        <v>0.0653676220330713</v>
      </c>
      <c r="H2716" t="n">
        <v>0.011191867178157</v>
      </c>
      <c r="I2716" t="n">
        <v>0.4005551234431338</v>
      </c>
      <c r="J2716" t="n">
        <v>0.1415778982789291</v>
      </c>
      <c r="K2716" t="n">
        <v>0.5013453134813241</v>
      </c>
      <c r="L2716" t="b">
        <v>0</v>
      </c>
      <c r="M2716" t="b">
        <v>0</v>
      </c>
      <c r="N2716" t="inlineStr">
        <is>
          <t>alt</t>
        </is>
      </c>
      <c r="O2716" t="n">
        <v>-50</v>
      </c>
      <c r="P2716" t="n">
        <v>0.001301</v>
      </c>
      <c r="Q2716" t="n">
        <v>-30</v>
      </c>
      <c r="R2716" t="n">
        <v>0.05603</v>
      </c>
      <c r="S2716">
        <f>IMAGE("https://mitra.stanford.edu/kundaje/oak/projects/neuro-variants/variant_position/credible/roussos_2024/variant_figures/roussos_2024.adolescence.GLU/rs9859939_count_position.png",4,220,900)</f>
        <v/>
      </c>
      <c r="T2716">
        <f>IMAGE("https://mitra.stanford.edu/kundaje/oak/projects/neuro-variants/variant_position/credible/roussos_2024/variant_figures/roussos_2024.adolescence.GLU/rs9859939_profile_position.png",4,220,900)</f>
        <v/>
      </c>
    </row>
    <row r="2717">
      <c r="A2717" t="inlineStr">
        <is>
          <t>chr3</t>
        </is>
      </c>
      <c r="B2717" t="n">
        <v>108193588</v>
      </c>
      <c r="C2717" t="inlineStr">
        <is>
          <t>T</t>
        </is>
      </c>
      <c r="D2717" t="inlineStr">
        <is>
          <t>C</t>
        </is>
      </c>
      <c r="E2717" t="inlineStr">
        <is>
          <t>rs13323116</t>
        </is>
      </c>
      <c r="F2717" t="n">
        <v>0.0148018802</v>
      </c>
      <c r="G2717" t="n">
        <v>0.3684869952890396</v>
      </c>
      <c r="H2717" t="n">
        <v>0.0124856296081311</v>
      </c>
      <c r="I2717" t="n">
        <v>0.2900203298665078</v>
      </c>
      <c r="J2717" t="n">
        <v>0.0316894213801429</v>
      </c>
      <c r="K2717" t="n">
        <v>0.7647140730824137</v>
      </c>
      <c r="L2717" t="b">
        <v>0</v>
      </c>
      <c r="M2717" t="b">
        <v>0</v>
      </c>
      <c r="N2717" t="inlineStr">
        <is>
          <t>alt</t>
        </is>
      </c>
      <c r="O2717" t="n">
        <v>10</v>
      </c>
      <c r="P2717" t="n">
        <v>0.0003815</v>
      </c>
      <c r="Q2717" t="n">
        <v>90</v>
      </c>
      <c r="R2717" t="n">
        <v>0.06073</v>
      </c>
      <c r="S2717">
        <f>IMAGE("https://mitra.stanford.edu/kundaje/oak/projects/neuro-variants/variant_position/credible/roussos_2024/variant_figures/roussos_2024.adolescence.GLU/rs13323116_count_position.png",4,220,900)</f>
        <v/>
      </c>
      <c r="T2717">
        <f>IMAGE("https://mitra.stanford.edu/kundaje/oak/projects/neuro-variants/variant_position/credible/roussos_2024/variant_figures/roussos_2024.adolescence.GLU/rs13323116_profile_position.png",4,220,900)</f>
        <v/>
      </c>
    </row>
    <row r="2718">
      <c r="A2718" t="inlineStr">
        <is>
          <t>chr3</t>
        </is>
      </c>
      <c r="B2718" t="n">
        <v>108195394</v>
      </c>
      <c r="C2718" t="inlineStr">
        <is>
          <t>T</t>
        </is>
      </c>
      <c r="D2718" t="inlineStr">
        <is>
          <t>C</t>
        </is>
      </c>
      <c r="E2718" t="inlineStr">
        <is>
          <t>rs9868740</t>
        </is>
      </c>
      <c r="F2718" t="n">
        <v>-0.0479454398</v>
      </c>
      <c r="G2718" t="n">
        <v>0.0892636911117175</v>
      </c>
      <c r="H2718" t="n">
        <v>0.0144576961920271</v>
      </c>
      <c r="I2718" t="n">
        <v>0.2141063700342658</v>
      </c>
      <c r="J2718" t="n">
        <v>0.0452493730844245</v>
      </c>
      <c r="K2718" t="n">
        <v>0.7172723792579858</v>
      </c>
      <c r="L2718" t="b">
        <v>0</v>
      </c>
      <c r="M2718" t="b">
        <v>0</v>
      </c>
      <c r="N2718" t="inlineStr">
        <is>
          <t>ref</t>
        </is>
      </c>
      <c r="O2718" t="n">
        <v>-5</v>
      </c>
      <c r="P2718" t="n">
        <v>0.0003033</v>
      </c>
      <c r="Q2718" t="n">
        <v>50</v>
      </c>
      <c r="R2718" t="n">
        <v>0.0478</v>
      </c>
      <c r="S2718">
        <f>IMAGE("https://mitra.stanford.edu/kundaje/oak/projects/neuro-variants/variant_position/credible/roussos_2024/variant_figures/roussos_2024.adolescence.GLU/rs9868740_count_position.png",4,220,900)</f>
        <v/>
      </c>
      <c r="T2718">
        <f>IMAGE("https://mitra.stanford.edu/kundaje/oak/projects/neuro-variants/variant_position/credible/roussos_2024/variant_figures/roussos_2024.adolescence.GLU/rs9868740_profile_position.png",4,220,900)</f>
        <v/>
      </c>
    </row>
    <row r="2719">
      <c r="A2719" t="inlineStr">
        <is>
          <t>chr3</t>
        </is>
      </c>
      <c r="B2719" t="n">
        <v>108196350</v>
      </c>
      <c r="C2719" t="inlineStr">
        <is>
          <t>A</t>
        </is>
      </c>
      <c r="D2719" t="inlineStr">
        <is>
          <t>C</t>
        </is>
      </c>
      <c r="E2719" t="inlineStr">
        <is>
          <t>rs9863548</t>
        </is>
      </c>
      <c r="F2719" t="n">
        <v>0.010278034904</v>
      </c>
      <c r="G2719" t="n">
        <v>0.5300565763582193</v>
      </c>
      <c r="H2719" t="n">
        <v>0.0115949173241752</v>
      </c>
      <c r="I2719" t="n">
        <v>0.3689144070558056</v>
      </c>
      <c r="J2719" t="n">
        <v>0.0317480049438811</v>
      </c>
      <c r="K2719" t="n">
        <v>0.7685968467907035</v>
      </c>
      <c r="L2719" t="b">
        <v>0</v>
      </c>
      <c r="M2719" t="b">
        <v>0</v>
      </c>
      <c r="N2719" t="inlineStr">
        <is>
          <t>alt</t>
        </is>
      </c>
      <c r="O2719" t="n">
        <v>-95</v>
      </c>
      <c r="P2719" t="n">
        <v>0.03004</v>
      </c>
      <c r="Q2719" t="n">
        <v>-30</v>
      </c>
      <c r="R2719" t="n">
        <v>0.0137</v>
      </c>
      <c r="S2719">
        <f>IMAGE("https://mitra.stanford.edu/kundaje/oak/projects/neuro-variants/variant_position/credible/roussos_2024/variant_figures/roussos_2024.adolescence.GLU/rs9863548_count_position.png",4,220,900)</f>
        <v/>
      </c>
      <c r="T2719">
        <f>IMAGE("https://mitra.stanford.edu/kundaje/oak/projects/neuro-variants/variant_position/credible/roussos_2024/variant_figures/roussos_2024.adolescence.GLU/rs9863548_profile_position.png",4,220,900)</f>
        <v/>
      </c>
    </row>
    <row r="2720">
      <c r="A2720" t="inlineStr">
        <is>
          <t>chr3</t>
        </is>
      </c>
      <c r="B2720" t="n">
        <v>108197419</v>
      </c>
      <c r="C2720" t="inlineStr">
        <is>
          <t>C</t>
        </is>
      </c>
      <c r="D2720" t="inlineStr">
        <is>
          <t>T</t>
        </is>
      </c>
      <c r="E2720" t="inlineStr">
        <is>
          <t>rs13318120</t>
        </is>
      </c>
      <c r="F2720" t="n">
        <v>-0.00709649282</v>
      </c>
      <c r="G2720" t="n">
        <v>0.614350609216139</v>
      </c>
      <c r="H2720" t="n">
        <v>0.0110208727258844</v>
      </c>
      <c r="I2720" t="n">
        <v>0.4130014794100567</v>
      </c>
      <c r="J2720" t="n">
        <v>0.0273385201220252</v>
      </c>
      <c r="K2720" t="n">
        <v>0.785427070473289</v>
      </c>
      <c r="L2720" t="b">
        <v>0</v>
      </c>
      <c r="M2720" t="b">
        <v>0</v>
      </c>
      <c r="N2720" t="inlineStr">
        <is>
          <t>ref</t>
        </is>
      </c>
      <c r="O2720" t="n">
        <v>-95</v>
      </c>
      <c r="P2720" t="n">
        <v>0.00066</v>
      </c>
      <c r="Q2720" t="n">
        <v>-30</v>
      </c>
      <c r="R2720" t="n">
        <v>0.03662</v>
      </c>
      <c r="S2720">
        <f>IMAGE("https://mitra.stanford.edu/kundaje/oak/projects/neuro-variants/variant_position/credible/roussos_2024/variant_figures/roussos_2024.adolescence.GLU/rs13318120_count_position.png",4,220,900)</f>
        <v/>
      </c>
      <c r="T2720">
        <f>IMAGE("https://mitra.stanford.edu/kundaje/oak/projects/neuro-variants/variant_position/credible/roussos_2024/variant_figures/roussos_2024.adolescence.GLU/rs13318120_profile_position.png",4,220,900)</f>
        <v/>
      </c>
    </row>
    <row r="2721">
      <c r="A2721" t="inlineStr">
        <is>
          <t>chr3</t>
        </is>
      </c>
      <c r="B2721" t="n">
        <v>108199003</v>
      </c>
      <c r="C2721" t="inlineStr">
        <is>
          <t>A</t>
        </is>
      </c>
      <c r="D2721" t="inlineStr">
        <is>
          <t>G</t>
        </is>
      </c>
      <c r="E2721" t="inlineStr">
        <is>
          <t>rs9875102</t>
        </is>
      </c>
      <c r="F2721" t="n">
        <v>-0.00194812134</v>
      </c>
      <c r="G2721" t="n">
        <v>0.8138408962402016</v>
      </c>
      <c r="H2721" t="n">
        <v>0.0190668276580196</v>
      </c>
      <c r="I2721" t="n">
        <v>0.0711586868790364</v>
      </c>
      <c r="J2721" t="n">
        <v>0.0104578805609733</v>
      </c>
      <c r="K2721" t="n">
        <v>0.8711622502084261</v>
      </c>
      <c r="L2721" t="b">
        <v>0</v>
      </c>
      <c r="M2721" t="b">
        <v>0</v>
      </c>
      <c r="N2721" t="inlineStr">
        <is>
          <t>ref</t>
        </is>
      </c>
      <c r="O2721" t="n">
        <v>100</v>
      </c>
      <c r="P2721" t="n">
        <v>0.05292</v>
      </c>
      <c r="Q2721" t="n">
        <v>95</v>
      </c>
      <c r="R2721" t="n">
        <v>0.05338</v>
      </c>
      <c r="S2721">
        <f>IMAGE("https://mitra.stanford.edu/kundaje/oak/projects/neuro-variants/variant_position/credible/roussos_2024/variant_figures/roussos_2024.adolescence.GLU/rs9875102_count_position.png",4,220,900)</f>
        <v/>
      </c>
      <c r="T2721">
        <f>IMAGE("https://mitra.stanford.edu/kundaje/oak/projects/neuro-variants/variant_position/credible/roussos_2024/variant_figures/roussos_2024.adolescence.GLU/rs9875102_profile_position.png",4,220,900)</f>
        <v/>
      </c>
    </row>
    <row r="2722">
      <c r="A2722" t="inlineStr">
        <is>
          <t>chr3</t>
        </is>
      </c>
      <c r="B2722" t="n">
        <v>108200293</v>
      </c>
      <c r="C2722" t="inlineStr">
        <is>
          <t>T</t>
        </is>
      </c>
      <c r="D2722" t="inlineStr">
        <is>
          <t>C</t>
        </is>
      </c>
      <c r="E2722" t="inlineStr">
        <is>
          <t>rs72933753</t>
        </is>
      </c>
      <c r="F2722" t="n">
        <v>0.07217762459999991</v>
      </c>
      <c r="G2722" t="n">
        <v>0.0214297222201852</v>
      </c>
      <c r="H2722" t="n">
        <v>0.0228900097688048</v>
      </c>
      <c r="I2722" t="n">
        <v>0.0310819818324348</v>
      </c>
      <c r="J2722" t="n">
        <v>0.052389423523444</v>
      </c>
      <c r="K2722" t="n">
        <v>0.6913840009093178</v>
      </c>
      <c r="L2722" t="b">
        <v>0</v>
      </c>
      <c r="M2722" t="b">
        <v>0</v>
      </c>
      <c r="N2722" t="inlineStr">
        <is>
          <t>alt</t>
        </is>
      </c>
      <c r="O2722" t="n">
        <v>90</v>
      </c>
      <c r="P2722" t="n">
        <v>0.00544</v>
      </c>
      <c r="Q2722" t="n">
        <v>60</v>
      </c>
      <c r="R2722" t="n">
        <v>0.0665</v>
      </c>
      <c r="S2722">
        <f>IMAGE("https://mitra.stanford.edu/kundaje/oak/projects/neuro-variants/variant_position/credible/roussos_2024/variant_figures/roussos_2024.adolescence.GLU/rs72933753_count_position.png",4,220,900)</f>
        <v/>
      </c>
      <c r="T2722">
        <f>IMAGE("https://mitra.stanford.edu/kundaje/oak/projects/neuro-variants/variant_position/credible/roussos_2024/variant_figures/roussos_2024.adolescence.GLU/rs72933753_profile_position.png",4,220,900)</f>
        <v/>
      </c>
    </row>
    <row r="2723">
      <c r="A2723" t="inlineStr">
        <is>
          <t>chr3</t>
        </is>
      </c>
      <c r="B2723" t="n">
        <v>108200444</v>
      </c>
      <c r="C2723" t="inlineStr">
        <is>
          <t>G</t>
        </is>
      </c>
      <c r="D2723" t="inlineStr">
        <is>
          <t>A</t>
        </is>
      </c>
      <c r="E2723" t="inlineStr">
        <is>
          <t>rs921582</t>
        </is>
      </c>
      <c r="F2723" t="n">
        <v>-0.0349666817999999</v>
      </c>
      <c r="G2723" t="n">
        <v>0.1562850927991405</v>
      </c>
      <c r="H2723" t="n">
        <v>0.015059908751933</v>
      </c>
      <c r="I2723" t="n">
        <v>0.188575758954397</v>
      </c>
      <c r="J2723" t="n">
        <v>0.0443463288824113</v>
      </c>
      <c r="K2723" t="n">
        <v>0.7188114339847299</v>
      </c>
      <c r="L2723" t="b">
        <v>0</v>
      </c>
      <c r="M2723" t="b">
        <v>0</v>
      </c>
      <c r="N2723" t="inlineStr">
        <is>
          <t>ref</t>
        </is>
      </c>
      <c r="O2723" t="n">
        <v>90</v>
      </c>
      <c r="P2723" t="n">
        <v>0.006493</v>
      </c>
      <c r="Q2723" t="n">
        <v>-90</v>
      </c>
      <c r="R2723" t="n">
        <v>0.08057</v>
      </c>
      <c r="S2723">
        <f>IMAGE("https://mitra.stanford.edu/kundaje/oak/projects/neuro-variants/variant_position/credible/roussos_2024/variant_figures/roussos_2024.adolescence.GLU/rs921582_count_position.png",4,220,900)</f>
        <v/>
      </c>
      <c r="T2723">
        <f>IMAGE("https://mitra.stanford.edu/kundaje/oak/projects/neuro-variants/variant_position/credible/roussos_2024/variant_figures/roussos_2024.adolescence.GLU/rs921582_profile_position.png",4,220,900)</f>
        <v/>
      </c>
    </row>
    <row r="2724">
      <c r="A2724" t="inlineStr">
        <is>
          <t>chr3</t>
        </is>
      </c>
      <c r="B2724" t="n">
        <v>108202233</v>
      </c>
      <c r="C2724" t="inlineStr">
        <is>
          <t>G</t>
        </is>
      </c>
      <c r="D2724" t="inlineStr">
        <is>
          <t>A</t>
        </is>
      </c>
      <c r="E2724" t="inlineStr">
        <is>
          <t>rs1377275</t>
        </is>
      </c>
      <c r="F2724" t="n">
        <v>-0.0287799575999999</v>
      </c>
      <c r="G2724" t="n">
        <v>0.1558191361990799</v>
      </c>
      <c r="H2724" t="n">
        <v>0.0106323501534142</v>
      </c>
      <c r="I2724" t="n">
        <v>0.4895217363434085</v>
      </c>
      <c r="J2724" t="n">
        <v>0.2975116274085346</v>
      </c>
      <c r="K2724" t="n">
        <v>0.2719259248831032</v>
      </c>
      <c r="L2724" t="b">
        <v>0</v>
      </c>
      <c r="M2724" t="b">
        <v>0</v>
      </c>
      <c r="N2724" t="inlineStr">
        <is>
          <t>ref</t>
        </is>
      </c>
      <c r="O2724" t="n">
        <v>-85</v>
      </c>
      <c r="P2724" t="n">
        <v>0.006622</v>
      </c>
      <c r="Q2724" t="n">
        <v>55</v>
      </c>
      <c r="R2724" t="n">
        <v>0.04883</v>
      </c>
      <c r="S2724">
        <f>IMAGE("https://mitra.stanford.edu/kundaje/oak/projects/neuro-variants/variant_position/credible/roussos_2024/variant_figures/roussos_2024.adolescence.GLU/rs1377275_count_position.png",4,220,900)</f>
        <v/>
      </c>
      <c r="T2724">
        <f>IMAGE("https://mitra.stanford.edu/kundaje/oak/projects/neuro-variants/variant_position/credible/roussos_2024/variant_figures/roussos_2024.adolescence.GLU/rs1377275_profile_position.png",4,220,900)</f>
        <v/>
      </c>
    </row>
    <row r="2725">
      <c r="A2725" t="inlineStr">
        <is>
          <t>chr3</t>
        </is>
      </c>
      <c r="B2725" t="n">
        <v>108208573</v>
      </c>
      <c r="C2725" t="inlineStr">
        <is>
          <t>T</t>
        </is>
      </c>
      <c r="D2725" t="inlineStr">
        <is>
          <t>C</t>
        </is>
      </c>
      <c r="E2725" t="inlineStr">
        <is>
          <t>rs59142860</t>
        </is>
      </c>
      <c r="F2725" t="n">
        <v>0.11420256</v>
      </c>
      <c r="G2725" t="n">
        <v>0.0048304547335882</v>
      </c>
      <c r="H2725" t="n">
        <v>0.0203950064724357</v>
      </c>
      <c r="I2725" t="n">
        <v>0.0514652273824886</v>
      </c>
      <c r="J2725" t="n">
        <v>0.0564216873495223</v>
      </c>
      <c r="K2725" t="n">
        <v>0.6774587695537344</v>
      </c>
      <c r="L2725" t="b">
        <v>1</v>
      </c>
      <c r="M2725" t="b">
        <v>1</v>
      </c>
      <c r="N2725" t="inlineStr">
        <is>
          <t>alt</t>
        </is>
      </c>
      <c r="O2725" t="n">
        <v>100</v>
      </c>
      <c r="P2725" t="n">
        <v>0.004948</v>
      </c>
      <c r="Q2725" t="n">
        <v>-85</v>
      </c>
      <c r="R2725" t="n">
        <v>0.01935</v>
      </c>
      <c r="S2725">
        <f>IMAGE("https://mitra.stanford.edu/kundaje/oak/projects/neuro-variants/variant_position/credible/roussos_2024/variant_figures/roussos_2024.adolescence.GLU/rs59142860_count_position.png",4,220,900)</f>
        <v/>
      </c>
      <c r="T2725">
        <f>IMAGE("https://mitra.stanford.edu/kundaje/oak/projects/neuro-variants/variant_position/credible/roussos_2024/variant_figures/roussos_2024.adolescence.GLU/rs59142860_profile_position.png",4,220,900)</f>
        <v/>
      </c>
    </row>
    <row r="2726">
      <c r="A2726" t="inlineStr">
        <is>
          <t>chr3</t>
        </is>
      </c>
      <c r="B2726" t="n">
        <v>108210293</v>
      </c>
      <c r="C2726" t="inlineStr">
        <is>
          <t>C</t>
        </is>
      </c>
      <c r="D2726" t="inlineStr">
        <is>
          <t>T</t>
        </is>
      </c>
      <c r="E2726" t="inlineStr">
        <is>
          <t>rs72933787</t>
        </is>
      </c>
      <c r="F2726" t="n">
        <v>-0.003205406662</v>
      </c>
      <c r="G2726" t="n">
        <v>0.821283656741011</v>
      </c>
      <c r="H2726" t="n">
        <v>0.0152876292504472</v>
      </c>
      <c r="I2726" t="n">
        <v>0.1574352319993006</v>
      </c>
      <c r="J2726" t="n">
        <v>0.06909859899550611</v>
      </c>
      <c r="K2726" t="n">
        <v>0.6488067009650433</v>
      </c>
      <c r="L2726" t="b">
        <v>0</v>
      </c>
      <c r="M2726" t="b">
        <v>0</v>
      </c>
      <c r="N2726" t="inlineStr">
        <is>
          <t>ref</t>
        </is>
      </c>
      <c r="O2726" t="n">
        <v>-65</v>
      </c>
      <c r="P2726" t="n">
        <v>0.0045</v>
      </c>
      <c r="Q2726" t="n">
        <v>0</v>
      </c>
      <c r="R2726" t="n">
        <v>0</v>
      </c>
      <c r="S2726">
        <f>IMAGE("https://mitra.stanford.edu/kundaje/oak/projects/neuro-variants/variant_position/credible/roussos_2024/variant_figures/roussos_2024.adolescence.GLU/rs72933787_count_position.png",4,220,900)</f>
        <v/>
      </c>
      <c r="T2726">
        <f>IMAGE("https://mitra.stanford.edu/kundaje/oak/projects/neuro-variants/variant_position/credible/roussos_2024/variant_figures/roussos_2024.adolescence.GLU/rs72933787_profile_position.png",4,220,900)</f>
        <v/>
      </c>
    </row>
    <row r="2727">
      <c r="A2727" t="inlineStr">
        <is>
          <t>chr3</t>
        </is>
      </c>
      <c r="B2727" t="n">
        <v>108210974</v>
      </c>
      <c r="C2727" t="inlineStr">
        <is>
          <t>C</t>
        </is>
      </c>
      <c r="D2727" t="inlineStr">
        <is>
          <t>A</t>
        </is>
      </c>
      <c r="E2727" t="inlineStr">
        <is>
          <t>rs1289771</t>
        </is>
      </c>
      <c r="F2727" t="n">
        <v>0.0185431804</v>
      </c>
      <c r="G2727" t="n">
        <v>0.3052128735667824</v>
      </c>
      <c r="H2727" t="n">
        <v>0.0290863277053802</v>
      </c>
      <c r="I2727" t="n">
        <v>0.009444169563624601</v>
      </c>
      <c r="J2727" t="n">
        <v>0.029789027727172</v>
      </c>
      <c r="K2727" t="n">
        <v>0.7744078975217883</v>
      </c>
      <c r="L2727" t="b">
        <v>1</v>
      </c>
      <c r="M2727" t="b">
        <v>0</v>
      </c>
      <c r="N2727" t="inlineStr">
        <is>
          <t>alt</t>
        </is>
      </c>
      <c r="O2727" t="n">
        <v>-15</v>
      </c>
      <c r="P2727" t="n">
        <v>0.001942</v>
      </c>
      <c r="Q2727" t="n">
        <v>80</v>
      </c>
      <c r="R2727" t="n">
        <v>0.067</v>
      </c>
      <c r="S2727">
        <f>IMAGE("https://mitra.stanford.edu/kundaje/oak/projects/neuro-variants/variant_position/credible/roussos_2024/variant_figures/roussos_2024.adolescence.GLU/rs1289771_count_position.png",4,220,900)</f>
        <v/>
      </c>
      <c r="T2727">
        <f>IMAGE("https://mitra.stanford.edu/kundaje/oak/projects/neuro-variants/variant_position/credible/roussos_2024/variant_figures/roussos_2024.adolescence.GLU/rs1289771_profile_position.png",4,220,900)</f>
        <v/>
      </c>
    </row>
    <row r="2728">
      <c r="A2728" t="inlineStr">
        <is>
          <t>chr3</t>
        </is>
      </c>
      <c r="B2728" t="n">
        <v>108211666</v>
      </c>
      <c r="C2728" t="inlineStr">
        <is>
          <t>C</t>
        </is>
      </c>
      <c r="D2728" t="inlineStr">
        <is>
          <t>T</t>
        </is>
      </c>
      <c r="E2728" t="inlineStr">
        <is>
          <t>rs1289769</t>
        </is>
      </c>
      <c r="F2728" t="n">
        <v>-0.00493680202</v>
      </c>
      <c r="G2728" t="n">
        <v>0.7401954609027893</v>
      </c>
      <c r="H2728" t="n">
        <v>0.013409816344517</v>
      </c>
      <c r="I2728" t="n">
        <v>0.2358789709886521</v>
      </c>
      <c r="J2728" t="n">
        <v>0.009586271441941499</v>
      </c>
      <c r="K2728" t="n">
        <v>0.8819372720067319</v>
      </c>
      <c r="L2728" t="b">
        <v>0</v>
      </c>
      <c r="M2728" t="b">
        <v>0</v>
      </c>
      <c r="N2728" t="inlineStr">
        <is>
          <t>ref</t>
        </is>
      </c>
      <c r="O2728" t="n">
        <v>20</v>
      </c>
      <c r="P2728" t="n">
        <v>0.00199</v>
      </c>
      <c r="Q2728" t="n">
        <v>-80</v>
      </c>
      <c r="R2728" t="n">
        <v>0.06067</v>
      </c>
      <c r="S2728">
        <f>IMAGE("https://mitra.stanford.edu/kundaje/oak/projects/neuro-variants/variant_position/credible/roussos_2024/variant_figures/roussos_2024.adolescence.GLU/rs1289769_count_position.png",4,220,900)</f>
        <v/>
      </c>
      <c r="T2728">
        <f>IMAGE("https://mitra.stanford.edu/kundaje/oak/projects/neuro-variants/variant_position/credible/roussos_2024/variant_figures/roussos_2024.adolescence.GLU/rs1289769_profile_position.png",4,220,900)</f>
        <v/>
      </c>
    </row>
    <row r="2729">
      <c r="A2729" t="inlineStr">
        <is>
          <t>chr3</t>
        </is>
      </c>
      <c r="B2729" t="n">
        <v>108216039</v>
      </c>
      <c r="C2729" t="inlineStr">
        <is>
          <t>T</t>
        </is>
      </c>
      <c r="D2729" t="inlineStr">
        <is>
          <t>C</t>
        </is>
      </c>
      <c r="E2729" t="inlineStr">
        <is>
          <t>rs62267923</t>
        </is>
      </c>
      <c r="F2729" t="n">
        <v>0.0270379068</v>
      </c>
      <c r="G2729" t="n">
        <v>0.1976971301433328</v>
      </c>
      <c r="H2729" t="n">
        <v>0.0106209124390103</v>
      </c>
      <c r="I2729" t="n">
        <v>0.4643763711943617</v>
      </c>
      <c r="J2729" t="n">
        <v>0.0187081609762021</v>
      </c>
      <c r="K2729" t="n">
        <v>0.8275800394957392</v>
      </c>
      <c r="L2729" t="b">
        <v>0</v>
      </c>
      <c r="M2729" t="b">
        <v>0</v>
      </c>
      <c r="N2729" t="inlineStr">
        <is>
          <t>alt</t>
        </is>
      </c>
      <c r="O2729" t="n">
        <v>100</v>
      </c>
      <c r="P2729" t="n">
        <v>0.007465</v>
      </c>
      <c r="Q2729" t="n">
        <v>95</v>
      </c>
      <c r="R2729" t="n">
        <v>0.0626</v>
      </c>
      <c r="S2729">
        <f>IMAGE("https://mitra.stanford.edu/kundaje/oak/projects/neuro-variants/variant_position/credible/roussos_2024/variant_figures/roussos_2024.adolescence.GLU/rs62267923_count_position.png",4,220,900)</f>
        <v/>
      </c>
      <c r="T2729">
        <f>IMAGE("https://mitra.stanford.edu/kundaje/oak/projects/neuro-variants/variant_position/credible/roussos_2024/variant_figures/roussos_2024.adolescence.GLU/rs62267923_profile_position.png",4,220,900)</f>
        <v/>
      </c>
    </row>
    <row r="2730">
      <c r="A2730" t="inlineStr">
        <is>
          <t>chr3</t>
        </is>
      </c>
      <c r="B2730" t="n">
        <v>108218724</v>
      </c>
      <c r="C2730" t="inlineStr">
        <is>
          <t>G</t>
        </is>
      </c>
      <c r="D2730" t="inlineStr">
        <is>
          <t>A</t>
        </is>
      </c>
      <c r="E2730" t="inlineStr">
        <is>
          <t>rs1289759</t>
        </is>
      </c>
      <c r="F2730" t="n">
        <v>0.0069175961199999</v>
      </c>
      <c r="G2730" t="n">
        <v>0.6339627222827093</v>
      </c>
      <c r="H2730" t="n">
        <v>0.0267461198452542</v>
      </c>
      <c r="I2730" t="n">
        <v>0.0156724976741356</v>
      </c>
      <c r="J2730" t="n">
        <v>0.0079202120439233</v>
      </c>
      <c r="K2730" t="n">
        <v>0.8976306704528295</v>
      </c>
      <c r="L2730" t="b">
        <v>0</v>
      </c>
      <c r="M2730" t="b">
        <v>0</v>
      </c>
      <c r="N2730" t="inlineStr">
        <is>
          <t>alt</t>
        </is>
      </c>
      <c r="O2730" t="n">
        <v>15</v>
      </c>
      <c r="P2730" t="n">
        <v>6.104e-05</v>
      </c>
      <c r="Q2730" t="n">
        <v>-30</v>
      </c>
      <c r="R2730" t="n">
        <v>0.0439</v>
      </c>
      <c r="S2730">
        <f>IMAGE("https://mitra.stanford.edu/kundaje/oak/projects/neuro-variants/variant_position/credible/roussos_2024/variant_figures/roussos_2024.adolescence.GLU/rs1289759_count_position.png",4,220,900)</f>
        <v/>
      </c>
      <c r="T2730">
        <f>IMAGE("https://mitra.stanford.edu/kundaje/oak/projects/neuro-variants/variant_position/credible/roussos_2024/variant_figures/roussos_2024.adolescence.GLU/rs1289759_profile_position.png",4,220,900)</f>
        <v/>
      </c>
    </row>
    <row r="2731">
      <c r="A2731" t="inlineStr">
        <is>
          <t>chr3</t>
        </is>
      </c>
      <c r="B2731" t="n">
        <v>117798492</v>
      </c>
      <c r="C2731" t="inlineStr">
        <is>
          <t>A</t>
        </is>
      </c>
      <c r="D2731" t="inlineStr">
        <is>
          <t>G</t>
        </is>
      </c>
      <c r="E2731" t="inlineStr">
        <is>
          <t>rs9842435</t>
        </is>
      </c>
      <c r="F2731" t="n">
        <v>0.0196313254</v>
      </c>
      <c r="G2731" t="n">
        <v>0.2855415867549021</v>
      </c>
      <c r="H2731" t="n">
        <v>0.008849180825291601</v>
      </c>
      <c r="I2731" t="n">
        <v>0.6760440984307783</v>
      </c>
      <c r="J2731" t="n">
        <v>0.4437633509798458</v>
      </c>
      <c r="K2731" t="n">
        <v>0.1277257617340071</v>
      </c>
      <c r="L2731" t="b">
        <v>0</v>
      </c>
      <c r="M2731" t="b">
        <v>0</v>
      </c>
      <c r="N2731" t="inlineStr">
        <is>
          <t>alt</t>
        </is>
      </c>
      <c r="O2731" t="n">
        <v>100</v>
      </c>
      <c r="P2731" t="n">
        <v>0.00683</v>
      </c>
      <c r="Q2731" t="n">
        <v>-85</v>
      </c>
      <c r="R2731" t="n">
        <v>0.02283</v>
      </c>
      <c r="S2731">
        <f>IMAGE("https://mitra.stanford.edu/kundaje/oak/projects/neuro-variants/variant_position/credible/roussos_2024/variant_figures/roussos_2024.adolescence.GLU/rs9842435_count_position.png",4,220,900)</f>
        <v/>
      </c>
      <c r="T2731">
        <f>IMAGE("https://mitra.stanford.edu/kundaje/oak/projects/neuro-variants/variant_position/credible/roussos_2024/variant_figures/roussos_2024.adolescence.GLU/rs9842435_profile_position.png",4,220,900)</f>
        <v/>
      </c>
    </row>
    <row r="2732">
      <c r="A2732" t="inlineStr">
        <is>
          <t>chr3</t>
        </is>
      </c>
      <c r="B2732" t="n">
        <v>117801450</v>
      </c>
      <c r="C2732" t="inlineStr">
        <is>
          <t>G</t>
        </is>
      </c>
      <c r="D2732" t="inlineStr">
        <is>
          <t>T</t>
        </is>
      </c>
      <c r="E2732" t="inlineStr">
        <is>
          <t>rs6799997</t>
        </is>
      </c>
      <c r="F2732" t="n">
        <v>0.00095156176</v>
      </c>
      <c r="G2732" t="n">
        <v>0.8243130942515116</v>
      </c>
      <c r="H2732" t="n">
        <v>0.0194549856166902</v>
      </c>
      <c r="I2732" t="n">
        <v>0.06288063672953639</v>
      </c>
      <c r="J2732" t="n">
        <v>0.3276693029270349</v>
      </c>
      <c r="K2732" t="n">
        <v>0.2357791454729569</v>
      </c>
      <c r="L2732" t="b">
        <v>0</v>
      </c>
      <c r="M2732" t="b">
        <v>0</v>
      </c>
      <c r="N2732" t="inlineStr">
        <is>
          <t>alt</t>
        </is>
      </c>
      <c r="O2732" t="n">
        <v>90</v>
      </c>
      <c r="P2732" t="n">
        <v>0.0885</v>
      </c>
      <c r="Q2732" t="n">
        <v>20</v>
      </c>
      <c r="R2732" t="n">
        <v>0.02246</v>
      </c>
      <c r="S2732">
        <f>IMAGE("https://mitra.stanford.edu/kundaje/oak/projects/neuro-variants/variant_position/credible/roussos_2024/variant_figures/roussos_2024.adolescence.GLU/rs6799997_count_position.png",4,220,900)</f>
        <v/>
      </c>
      <c r="T2732">
        <f>IMAGE("https://mitra.stanford.edu/kundaje/oak/projects/neuro-variants/variant_position/credible/roussos_2024/variant_figures/roussos_2024.adolescence.GLU/rs6799997_profile_position.png",4,220,900)</f>
        <v/>
      </c>
    </row>
    <row r="2733">
      <c r="A2733" t="inlineStr">
        <is>
          <t>chr3</t>
        </is>
      </c>
      <c r="B2733" t="n">
        <v>117879459</v>
      </c>
      <c r="C2733" t="inlineStr">
        <is>
          <t>A</t>
        </is>
      </c>
      <c r="D2733" t="inlineStr">
        <is>
          <t>C</t>
        </is>
      </c>
      <c r="E2733" t="inlineStr">
        <is>
          <t>rs55979908</t>
        </is>
      </c>
      <c r="F2733" t="n">
        <v>-0.001994042938</v>
      </c>
      <c r="G2733" t="n">
        <v>0.8106876876690871</v>
      </c>
      <c r="H2733" t="n">
        <v>0.0119282358536409</v>
      </c>
      <c r="I2733" t="n">
        <v>0.3583588182036187</v>
      </c>
      <c r="J2733" t="n">
        <v>0.0934450707646583</v>
      </c>
      <c r="K2733" t="n">
        <v>0.5842107624477653</v>
      </c>
      <c r="L2733" t="b">
        <v>0</v>
      </c>
      <c r="M2733" t="b">
        <v>0</v>
      </c>
      <c r="N2733" t="inlineStr">
        <is>
          <t>ref</t>
        </is>
      </c>
      <c r="O2733" t="n">
        <v>40</v>
      </c>
      <c r="P2733" t="n">
        <v>0.00152</v>
      </c>
      <c r="Q2733" t="n">
        <v>15</v>
      </c>
      <c r="R2733" t="n">
        <v>0.01843</v>
      </c>
      <c r="S2733">
        <f>IMAGE("https://mitra.stanford.edu/kundaje/oak/projects/neuro-variants/variant_position/credible/roussos_2024/variant_figures/roussos_2024.adolescence.GLU/rs55979908_count_position.png",4,220,900)</f>
        <v/>
      </c>
      <c r="T2733">
        <f>IMAGE("https://mitra.stanford.edu/kundaje/oak/projects/neuro-variants/variant_position/credible/roussos_2024/variant_figures/roussos_2024.adolescence.GLU/rs55979908_profile_position.png",4,220,900)</f>
        <v/>
      </c>
    </row>
    <row r="2734">
      <c r="A2734" t="inlineStr">
        <is>
          <t>chr3</t>
        </is>
      </c>
      <c r="B2734" t="n">
        <v>117886764</v>
      </c>
      <c r="C2734" t="inlineStr">
        <is>
          <t>C</t>
        </is>
      </c>
      <c r="D2734" t="inlineStr">
        <is>
          <t>T</t>
        </is>
      </c>
      <c r="E2734" t="inlineStr">
        <is>
          <t>rs62263082</t>
        </is>
      </c>
      <c r="F2734" t="n">
        <v>0.01569261894</v>
      </c>
      <c r="G2734" t="n">
        <v>0.3828234590255255</v>
      </c>
      <c r="H2734" t="n">
        <v>0.0225301561702771</v>
      </c>
      <c r="I2734" t="n">
        <v>0.0371902291902755</v>
      </c>
      <c r="J2734" t="n">
        <v>0.1229654714190796</v>
      </c>
      <c r="K2734" t="n">
        <v>0.5257164023767688</v>
      </c>
      <c r="L2734" t="b">
        <v>0</v>
      </c>
      <c r="M2734" t="b">
        <v>0</v>
      </c>
      <c r="N2734" t="inlineStr">
        <is>
          <t>alt</t>
        </is>
      </c>
      <c r="O2734" t="n">
        <v>-95</v>
      </c>
      <c r="P2734" t="n">
        <v>0.01732</v>
      </c>
      <c r="Q2734" t="n">
        <v>65</v>
      </c>
      <c r="R2734" t="n">
        <v>0.1478</v>
      </c>
      <c r="S2734">
        <f>IMAGE("https://mitra.stanford.edu/kundaje/oak/projects/neuro-variants/variant_position/credible/roussos_2024/variant_figures/roussos_2024.adolescence.GLU/rs62263082_count_position.png",4,220,900)</f>
        <v/>
      </c>
      <c r="T2734">
        <f>IMAGE("https://mitra.stanford.edu/kundaje/oak/projects/neuro-variants/variant_position/credible/roussos_2024/variant_figures/roussos_2024.adolescence.GLU/rs62263082_profile_position.png",4,220,900)</f>
        <v/>
      </c>
    </row>
    <row r="2735">
      <c r="A2735" t="inlineStr">
        <is>
          <t>chr3</t>
        </is>
      </c>
      <c r="B2735" t="n">
        <v>117897584</v>
      </c>
      <c r="C2735" t="inlineStr">
        <is>
          <t>C</t>
        </is>
      </c>
      <c r="D2735" t="inlineStr">
        <is>
          <t>T</t>
        </is>
      </c>
      <c r="E2735" t="inlineStr">
        <is>
          <t>rs55704727</t>
        </is>
      </c>
      <c r="F2735" t="n">
        <v>-0.0201896988</v>
      </c>
      <c r="G2735" t="n">
        <v>0.2921189771637067</v>
      </c>
      <c r="H2735" t="n">
        <v>0.0177932985386502</v>
      </c>
      <c r="I2735" t="n">
        <v>0.0876717960538957</v>
      </c>
      <c r="J2735" t="n">
        <v>0.1937115545362967</v>
      </c>
      <c r="K2735" t="n">
        <v>0.4058358659543166</v>
      </c>
      <c r="L2735" t="b">
        <v>0</v>
      </c>
      <c r="M2735" t="b">
        <v>0</v>
      </c>
      <c r="N2735" t="inlineStr">
        <is>
          <t>ref</t>
        </is>
      </c>
      <c r="O2735" t="n">
        <v>-50</v>
      </c>
      <c r="P2735" t="n">
        <v>0.0306</v>
      </c>
      <c r="Q2735" t="n">
        <v>-60</v>
      </c>
      <c r="R2735" t="n">
        <v>0.07825</v>
      </c>
      <c r="S2735">
        <f>IMAGE("https://mitra.stanford.edu/kundaje/oak/projects/neuro-variants/variant_position/credible/roussos_2024/variant_figures/roussos_2024.adolescence.GLU/rs55704727_count_position.png",4,220,900)</f>
        <v/>
      </c>
      <c r="T2735">
        <f>IMAGE("https://mitra.stanford.edu/kundaje/oak/projects/neuro-variants/variant_position/credible/roussos_2024/variant_figures/roussos_2024.adolescence.GLU/rs55704727_profile_position.png",4,220,900)</f>
        <v/>
      </c>
    </row>
    <row r="2736">
      <c r="A2736" t="inlineStr">
        <is>
          <t>chr3</t>
        </is>
      </c>
      <c r="B2736" t="n">
        <v>117905670</v>
      </c>
      <c r="C2736" t="inlineStr">
        <is>
          <t>C</t>
        </is>
      </c>
      <c r="D2736" t="inlineStr">
        <is>
          <t>T</t>
        </is>
      </c>
      <c r="E2736" t="inlineStr">
        <is>
          <t>rs6769144</t>
        </is>
      </c>
      <c r="F2736" t="n">
        <v>-0.0025249174939999</v>
      </c>
      <c r="G2736" t="n">
        <v>0.8273039673811298</v>
      </c>
      <c r="H2736" t="n">
        <v>0.0137509111460715</v>
      </c>
      <c r="I2736" t="n">
        <v>0.2159789259784561</v>
      </c>
      <c r="J2736" t="n">
        <v>0.0044666395181858</v>
      </c>
      <c r="K2736" t="n">
        <v>0.9264510010697932</v>
      </c>
      <c r="L2736" t="b">
        <v>0</v>
      </c>
      <c r="M2736" t="b">
        <v>0</v>
      </c>
      <c r="N2736" t="inlineStr">
        <is>
          <t>ref</t>
        </is>
      </c>
      <c r="O2736" t="n">
        <v>85</v>
      </c>
      <c r="P2736" t="n">
        <v>0.0056</v>
      </c>
      <c r="Q2736" t="n">
        <v>-85</v>
      </c>
      <c r="R2736" t="n">
        <v>0.05212</v>
      </c>
      <c r="S2736">
        <f>IMAGE("https://mitra.stanford.edu/kundaje/oak/projects/neuro-variants/variant_position/credible/roussos_2024/variant_figures/roussos_2024.adolescence.GLU/rs6769144_count_position.png",4,220,900)</f>
        <v/>
      </c>
      <c r="T2736">
        <f>IMAGE("https://mitra.stanford.edu/kundaje/oak/projects/neuro-variants/variant_position/credible/roussos_2024/variant_figures/roussos_2024.adolescence.GLU/rs6769144_profile_position.png",4,220,900)</f>
        <v/>
      </c>
    </row>
    <row r="2737">
      <c r="A2737" t="inlineStr">
        <is>
          <t>chr3</t>
        </is>
      </c>
      <c r="B2737" t="n">
        <v>117911328</v>
      </c>
      <c r="C2737" t="inlineStr">
        <is>
          <t>T</t>
        </is>
      </c>
      <c r="D2737" t="inlineStr">
        <is>
          <t>G</t>
        </is>
      </c>
      <c r="E2737" t="inlineStr">
        <is>
          <t>rs62263119</t>
        </is>
      </c>
      <c r="F2737" t="n">
        <v>0.01579303888</v>
      </c>
      <c r="G2737" t="n">
        <v>0.364382821572302</v>
      </c>
      <c r="H2737" t="n">
        <v>0.013315278036903</v>
      </c>
      <c r="I2737" t="n">
        <v>0.2339956769410825</v>
      </c>
      <c r="J2737" t="n">
        <v>0.07673732416000451</v>
      </c>
      <c r="K2737" t="n">
        <v>0.6287216860198653</v>
      </c>
      <c r="L2737" t="b">
        <v>0</v>
      </c>
      <c r="M2737" t="b">
        <v>0</v>
      </c>
      <c r="N2737" t="inlineStr">
        <is>
          <t>alt</t>
        </is>
      </c>
      <c r="O2737" t="n">
        <v>-55</v>
      </c>
      <c r="P2737" t="n">
        <v>0.01186</v>
      </c>
      <c r="Q2737" t="n">
        <v>15</v>
      </c>
      <c r="R2737" t="n">
        <v>0.04175</v>
      </c>
      <c r="S2737">
        <f>IMAGE("https://mitra.stanford.edu/kundaje/oak/projects/neuro-variants/variant_position/credible/roussos_2024/variant_figures/roussos_2024.adolescence.GLU/rs62263119_count_position.png",4,220,900)</f>
        <v/>
      </c>
      <c r="T2737">
        <f>IMAGE("https://mitra.stanford.edu/kundaje/oak/projects/neuro-variants/variant_position/credible/roussos_2024/variant_figures/roussos_2024.adolescence.GLU/rs62263119_profile_position.png",4,220,900)</f>
        <v/>
      </c>
    </row>
    <row r="2738">
      <c r="A2738" t="inlineStr">
        <is>
          <t>chr3</t>
        </is>
      </c>
      <c r="B2738" t="n">
        <v>117911406</v>
      </c>
      <c r="C2738" t="inlineStr">
        <is>
          <t>A</t>
        </is>
      </c>
      <c r="D2738" t="inlineStr">
        <is>
          <t>G</t>
        </is>
      </c>
      <c r="E2738" t="inlineStr">
        <is>
          <t>rs62263120</t>
        </is>
      </c>
      <c r="F2738" t="n">
        <v>0.0101508954</v>
      </c>
      <c r="G2738" t="n">
        <v>0.5018478912616141</v>
      </c>
      <c r="H2738" t="n">
        <v>0.0105268267973086</v>
      </c>
      <c r="I2738" t="n">
        <v>0.4548310169787199</v>
      </c>
      <c r="J2738" t="n">
        <v>0.0590422301762507</v>
      </c>
      <c r="K2738" t="n">
        <v>0.676043211629583</v>
      </c>
      <c r="L2738" t="b">
        <v>0</v>
      </c>
      <c r="M2738" t="b">
        <v>0</v>
      </c>
      <c r="N2738" t="inlineStr">
        <is>
          <t>alt</t>
        </is>
      </c>
      <c r="O2738" t="n">
        <v>-100</v>
      </c>
      <c r="P2738" t="n">
        <v>0.005096</v>
      </c>
      <c r="Q2738" t="n">
        <v>-60</v>
      </c>
      <c r="R2738" t="n">
        <v>0.02228</v>
      </c>
      <c r="S2738">
        <f>IMAGE("https://mitra.stanford.edu/kundaje/oak/projects/neuro-variants/variant_position/credible/roussos_2024/variant_figures/roussos_2024.adolescence.GLU/rs62263120_count_position.png",4,220,900)</f>
        <v/>
      </c>
      <c r="T2738">
        <f>IMAGE("https://mitra.stanford.edu/kundaje/oak/projects/neuro-variants/variant_position/credible/roussos_2024/variant_figures/roussos_2024.adolescence.GLU/rs62263120_profile_position.png",4,220,900)</f>
        <v/>
      </c>
    </row>
    <row r="2739">
      <c r="A2739" t="inlineStr">
        <is>
          <t>chr3</t>
        </is>
      </c>
      <c r="B2739" t="n">
        <v>117918458</v>
      </c>
      <c r="C2739" t="inlineStr">
        <is>
          <t>G</t>
        </is>
      </c>
      <c r="D2739" t="inlineStr">
        <is>
          <t>A</t>
        </is>
      </c>
      <c r="E2739" t="inlineStr">
        <is>
          <t>rs62264763</t>
        </is>
      </c>
      <c r="F2739" t="n">
        <v>-0.0888737708</v>
      </c>
      <c r="G2739" t="n">
        <v>0.0116548820871509</v>
      </c>
      <c r="H2739" t="n">
        <v>0.0157513150582292</v>
      </c>
      <c r="I2739" t="n">
        <v>0.1448122824628496</v>
      </c>
      <c r="J2739" t="n">
        <v>0.0460366790263696</v>
      </c>
      <c r="K2739" t="n">
        <v>0.7155673982277992</v>
      </c>
      <c r="L2739" t="b">
        <v>1</v>
      </c>
      <c r="M2739" t="b">
        <v>0</v>
      </c>
      <c r="N2739" t="inlineStr">
        <is>
          <t>ref</t>
        </is>
      </c>
      <c r="O2739" t="n">
        <v>65</v>
      </c>
      <c r="P2739" t="n">
        <v>0.01146</v>
      </c>
      <c r="Q2739" t="n">
        <v>-75</v>
      </c>
      <c r="R2739" t="n">
        <v>0.02225</v>
      </c>
      <c r="S2739">
        <f>IMAGE("https://mitra.stanford.edu/kundaje/oak/projects/neuro-variants/variant_position/credible/roussos_2024/variant_figures/roussos_2024.adolescence.GLU/rs62264763_count_position.png",4,220,900)</f>
        <v/>
      </c>
      <c r="T2739">
        <f>IMAGE("https://mitra.stanford.edu/kundaje/oak/projects/neuro-variants/variant_position/credible/roussos_2024/variant_figures/roussos_2024.adolescence.GLU/rs62264763_profile_position.png",4,220,900)</f>
        <v/>
      </c>
    </row>
    <row r="2740">
      <c r="A2740" t="inlineStr">
        <is>
          <t>chr3</t>
        </is>
      </c>
      <c r="B2740" t="n">
        <v>117920728</v>
      </c>
      <c r="C2740" t="inlineStr">
        <is>
          <t>G</t>
        </is>
      </c>
      <c r="D2740" t="inlineStr">
        <is>
          <t>A</t>
        </is>
      </c>
      <c r="E2740" t="inlineStr">
        <is>
          <t>rs62264764</t>
        </is>
      </c>
      <c r="F2740" t="n">
        <v>-0.0137867642</v>
      </c>
      <c r="G2740" t="n">
        <v>0.4282396524382612</v>
      </c>
      <c r="H2740" t="n">
        <v>0.0123522787649573</v>
      </c>
      <c r="I2740" t="n">
        <v>0.3155463817215703</v>
      </c>
      <c r="J2740" t="n">
        <v>0.1936458266355172</v>
      </c>
      <c r="K2740" t="n">
        <v>0.4100720739500553</v>
      </c>
      <c r="L2740" t="b">
        <v>0</v>
      </c>
      <c r="M2740" t="b">
        <v>0</v>
      </c>
      <c r="N2740" t="inlineStr">
        <is>
          <t>ref</t>
        </is>
      </c>
      <c r="O2740" t="n">
        <v>100</v>
      </c>
      <c r="P2740" t="n">
        <v>0.005714</v>
      </c>
      <c r="Q2740" t="n">
        <v>-90</v>
      </c>
      <c r="R2740" t="n">
        <v>0.194</v>
      </c>
      <c r="S2740">
        <f>IMAGE("https://mitra.stanford.edu/kundaje/oak/projects/neuro-variants/variant_position/credible/roussos_2024/variant_figures/roussos_2024.adolescence.GLU/rs62264764_count_position.png",4,220,900)</f>
        <v/>
      </c>
      <c r="T2740">
        <f>IMAGE("https://mitra.stanford.edu/kundaje/oak/projects/neuro-variants/variant_position/credible/roussos_2024/variant_figures/roussos_2024.adolescence.GLU/rs62264764_profile_position.png",4,220,900)</f>
        <v/>
      </c>
    </row>
    <row r="2741">
      <c r="A2741" t="inlineStr">
        <is>
          <t>chr3</t>
        </is>
      </c>
      <c r="B2741" t="n">
        <v>117921320</v>
      </c>
      <c r="C2741" t="inlineStr">
        <is>
          <t>G</t>
        </is>
      </c>
      <c r="D2741" t="inlineStr">
        <is>
          <t>C</t>
        </is>
      </c>
      <c r="E2741" t="inlineStr">
        <is>
          <t>rs7649429</t>
        </is>
      </c>
      <c r="F2741" t="n">
        <v>-0.0401209488</v>
      </c>
      <c r="G2741" t="n">
        <v>0.1144810101102609</v>
      </c>
      <c r="H2741" t="n">
        <v>0.0119242881322343</v>
      </c>
      <c r="I2741" t="n">
        <v>0.3485058925609681</v>
      </c>
      <c r="J2741" t="n">
        <v>0.1107743746919004</v>
      </c>
      <c r="K2741" t="n">
        <v>0.5487531096029936</v>
      </c>
      <c r="L2741" t="b">
        <v>0</v>
      </c>
      <c r="M2741" t="b">
        <v>0</v>
      </c>
      <c r="N2741" t="inlineStr">
        <is>
          <t>ref</t>
        </is>
      </c>
      <c r="O2741" t="n">
        <v>-100</v>
      </c>
      <c r="P2741" t="n">
        <v>0.02992</v>
      </c>
      <c r="Q2741" t="n">
        <v>35</v>
      </c>
      <c r="R2741" t="n">
        <v>0.02014</v>
      </c>
      <c r="S2741">
        <f>IMAGE("https://mitra.stanford.edu/kundaje/oak/projects/neuro-variants/variant_position/credible/roussos_2024/variant_figures/roussos_2024.adolescence.GLU/rs7649429_count_position.png",4,220,900)</f>
        <v/>
      </c>
      <c r="T2741">
        <f>IMAGE("https://mitra.stanford.edu/kundaje/oak/projects/neuro-variants/variant_position/credible/roussos_2024/variant_figures/roussos_2024.adolescence.GLU/rs7649429_profile_position.png",4,220,900)</f>
        <v/>
      </c>
    </row>
    <row r="2742">
      <c r="A2742" t="inlineStr">
        <is>
          <t>chr3</t>
        </is>
      </c>
      <c r="B2742" t="n">
        <v>117931269</v>
      </c>
      <c r="C2742" t="inlineStr">
        <is>
          <t>T</t>
        </is>
      </c>
      <c r="D2742" t="inlineStr">
        <is>
          <t>C</t>
        </is>
      </c>
      <c r="E2742" t="inlineStr">
        <is>
          <t>rs7631320</t>
        </is>
      </c>
      <c r="F2742" t="n">
        <v>0.0182134398</v>
      </c>
      <c r="G2742" t="n">
        <v>0.3078293278667292</v>
      </c>
      <c r="H2742" t="n">
        <v>0.0201209262051214</v>
      </c>
      <c r="I2742" t="n">
        <v>0.0542517904307051</v>
      </c>
      <c r="J2742" t="n">
        <v>0.0470668924277171</v>
      </c>
      <c r="K2742" t="n">
        <v>0.7117847150674866</v>
      </c>
      <c r="L2742" t="b">
        <v>0</v>
      </c>
      <c r="M2742" t="b">
        <v>0</v>
      </c>
      <c r="N2742" t="inlineStr">
        <is>
          <t>alt</t>
        </is>
      </c>
      <c r="O2742" t="n">
        <v>100</v>
      </c>
      <c r="P2742" t="n">
        <v>0.00435</v>
      </c>
      <c r="Q2742" t="n">
        <v>-100</v>
      </c>
      <c r="R2742" t="n">
        <v>0.0658</v>
      </c>
      <c r="S2742">
        <f>IMAGE("https://mitra.stanford.edu/kundaje/oak/projects/neuro-variants/variant_position/credible/roussos_2024/variant_figures/roussos_2024.adolescence.GLU/rs7631320_count_position.png",4,220,900)</f>
        <v/>
      </c>
      <c r="T2742">
        <f>IMAGE("https://mitra.stanford.edu/kundaje/oak/projects/neuro-variants/variant_position/credible/roussos_2024/variant_figures/roussos_2024.adolescence.GLU/rs7631320_profile_position.png",4,220,900)</f>
        <v/>
      </c>
    </row>
    <row r="2743">
      <c r="A2743" t="inlineStr">
        <is>
          <t>chr3</t>
        </is>
      </c>
      <c r="B2743" t="n">
        <v>117934780</v>
      </c>
      <c r="C2743" t="inlineStr">
        <is>
          <t>G</t>
        </is>
      </c>
      <c r="D2743" t="inlineStr">
        <is>
          <t>T</t>
        </is>
      </c>
      <c r="E2743" t="inlineStr">
        <is>
          <t>rs62264778</t>
        </is>
      </c>
      <c r="F2743" t="n">
        <v>-0.0173157163999999</v>
      </c>
      <c r="G2743" t="n">
        <v>0.3463858647467192</v>
      </c>
      <c r="H2743" t="n">
        <v>0.0118257510274033</v>
      </c>
      <c r="I2743" t="n">
        <v>0.3382933250060346</v>
      </c>
      <c r="J2743" t="n">
        <v>0.0101963978252637</v>
      </c>
      <c r="K2743" t="n">
        <v>0.8762192408381513</v>
      </c>
      <c r="L2743" t="b">
        <v>0</v>
      </c>
      <c r="M2743" t="b">
        <v>0</v>
      </c>
      <c r="N2743" t="inlineStr">
        <is>
          <t>ref</t>
        </is>
      </c>
      <c r="O2743" t="n">
        <v>65</v>
      </c>
      <c r="P2743" t="n">
        <v>0.01391</v>
      </c>
      <c r="Q2743" t="n">
        <v>0</v>
      </c>
      <c r="R2743" t="n">
        <v>0</v>
      </c>
      <c r="S2743">
        <f>IMAGE("https://mitra.stanford.edu/kundaje/oak/projects/neuro-variants/variant_position/credible/roussos_2024/variant_figures/roussos_2024.adolescence.GLU/rs62264778_count_position.png",4,220,900)</f>
        <v/>
      </c>
      <c r="T2743">
        <f>IMAGE("https://mitra.stanford.edu/kundaje/oak/projects/neuro-variants/variant_position/credible/roussos_2024/variant_figures/roussos_2024.adolescence.GLU/rs62264778_profile_position.png",4,220,900)</f>
        <v/>
      </c>
    </row>
    <row r="2744">
      <c r="A2744" t="inlineStr">
        <is>
          <t>chr3</t>
        </is>
      </c>
      <c r="B2744" t="n">
        <v>117936022</v>
      </c>
      <c r="C2744" t="inlineStr">
        <is>
          <t>T</t>
        </is>
      </c>
      <c r="D2744" t="inlineStr">
        <is>
          <t>C</t>
        </is>
      </c>
      <c r="E2744" t="inlineStr">
        <is>
          <t>rs62264780</t>
        </is>
      </c>
      <c r="F2744" t="n">
        <v>0.008445102600000001</v>
      </c>
      <c r="G2744" t="n">
        <v>0.5724534247822621</v>
      </c>
      <c r="H2744" t="n">
        <v>0.0114157108855539</v>
      </c>
      <c r="I2744" t="n">
        <v>0.3962290961008002</v>
      </c>
      <c r="J2744" t="n">
        <v>0.2227175629237484</v>
      </c>
      <c r="K2744" t="n">
        <v>0.3688910434512692</v>
      </c>
      <c r="L2744" t="b">
        <v>0</v>
      </c>
      <c r="M2744" t="b">
        <v>0</v>
      </c>
      <c r="N2744" t="inlineStr">
        <is>
          <t>alt</t>
        </is>
      </c>
      <c r="O2744" t="n">
        <v>100</v>
      </c>
      <c r="P2744" t="n">
        <v>0.008449999999999999</v>
      </c>
      <c r="Q2744" t="n">
        <v>100</v>
      </c>
      <c r="R2744" t="n">
        <v>0.003784</v>
      </c>
      <c r="S2744">
        <f>IMAGE("https://mitra.stanford.edu/kundaje/oak/projects/neuro-variants/variant_position/credible/roussos_2024/variant_figures/roussos_2024.adolescence.GLU/rs62264780_count_position.png",4,220,900)</f>
        <v/>
      </c>
      <c r="T2744">
        <f>IMAGE("https://mitra.stanford.edu/kundaje/oak/projects/neuro-variants/variant_position/credible/roussos_2024/variant_figures/roussos_2024.adolescence.GLU/rs62264780_profile_position.png",4,220,900)</f>
        <v/>
      </c>
    </row>
    <row r="2745">
      <c r="A2745" t="inlineStr">
        <is>
          <t>chr3</t>
        </is>
      </c>
      <c r="B2745" t="n">
        <v>117938350</v>
      </c>
      <c r="C2745" t="inlineStr">
        <is>
          <t>C</t>
        </is>
      </c>
      <c r="D2745" t="inlineStr">
        <is>
          <t>T</t>
        </is>
      </c>
      <c r="E2745" t="inlineStr">
        <is>
          <t>rs73168397</t>
        </is>
      </c>
      <c r="F2745" t="n">
        <v>-0.01560681346</v>
      </c>
      <c r="G2745" t="n">
        <v>0.3833170626963582</v>
      </c>
      <c r="H2745" t="n">
        <v>0.0079780801375763</v>
      </c>
      <c r="I2745" t="n">
        <v>0.769866889845644</v>
      </c>
      <c r="J2745" t="n">
        <v>0.0573247315515356</v>
      </c>
      <c r="K2745" t="n">
        <v>0.6880635825684988</v>
      </c>
      <c r="L2745" t="b">
        <v>0</v>
      </c>
      <c r="M2745" t="b">
        <v>0</v>
      </c>
      <c r="N2745" t="inlineStr">
        <is>
          <t>ref</t>
        </is>
      </c>
      <c r="O2745" t="n">
        <v>-100</v>
      </c>
      <c r="P2745" t="n">
        <v>0.000839</v>
      </c>
      <c r="Q2745" t="n">
        <v>-60</v>
      </c>
      <c r="R2745" t="n">
        <v>0.05682</v>
      </c>
      <c r="S2745">
        <f>IMAGE("https://mitra.stanford.edu/kundaje/oak/projects/neuro-variants/variant_position/credible/roussos_2024/variant_figures/roussos_2024.adolescence.GLU/rs73168397_count_position.png",4,220,900)</f>
        <v/>
      </c>
      <c r="T2745">
        <f>IMAGE("https://mitra.stanford.edu/kundaje/oak/projects/neuro-variants/variant_position/credible/roussos_2024/variant_figures/roussos_2024.adolescence.GLU/rs73168397_profile_position.png",4,220,900)</f>
        <v/>
      </c>
    </row>
    <row r="2746">
      <c r="A2746" t="inlineStr">
        <is>
          <t>chr3</t>
        </is>
      </c>
      <c r="B2746" t="n">
        <v>117953094</v>
      </c>
      <c r="C2746" t="inlineStr">
        <is>
          <t>T</t>
        </is>
      </c>
      <c r="D2746" t="inlineStr">
        <is>
          <t>C</t>
        </is>
      </c>
      <c r="E2746" t="inlineStr">
        <is>
          <t>rs62264819</t>
        </is>
      </c>
      <c r="F2746" t="n">
        <v>0.0112988432</v>
      </c>
      <c r="G2746" t="n">
        <v>0.4692388367508742</v>
      </c>
      <c r="H2746" t="n">
        <v>0.007900982312242901</v>
      </c>
      <c r="I2746" t="n">
        <v>0.7784650128183123</v>
      </c>
      <c r="J2746" t="n">
        <v>0.0905058905058904</v>
      </c>
      <c r="K2746" t="n">
        <v>0.5850839651882876</v>
      </c>
      <c r="L2746" t="b">
        <v>0</v>
      </c>
      <c r="M2746" t="b">
        <v>0</v>
      </c>
      <c r="N2746" t="inlineStr">
        <is>
          <t>alt</t>
        </is>
      </c>
      <c r="O2746" t="n">
        <v>-95</v>
      </c>
      <c r="P2746" t="n">
        <v>0.003525</v>
      </c>
      <c r="Q2746" t="n">
        <v>-35</v>
      </c>
      <c r="R2746" t="n">
        <v>0.0202</v>
      </c>
      <c r="S2746">
        <f>IMAGE("https://mitra.stanford.edu/kundaje/oak/projects/neuro-variants/variant_position/credible/roussos_2024/variant_figures/roussos_2024.adolescence.GLU/rs62264819_count_position.png",4,220,900)</f>
        <v/>
      </c>
      <c r="T2746">
        <f>IMAGE("https://mitra.stanford.edu/kundaje/oak/projects/neuro-variants/variant_position/credible/roussos_2024/variant_figures/roussos_2024.adolescence.GLU/rs62264819_profile_position.png",4,220,900)</f>
        <v/>
      </c>
    </row>
    <row r="2747">
      <c r="A2747" t="inlineStr">
        <is>
          <t>chr3</t>
        </is>
      </c>
      <c r="B2747" t="n">
        <v>118000691</v>
      </c>
      <c r="C2747" t="inlineStr">
        <is>
          <t>A</t>
        </is>
      </c>
      <c r="D2747" t="inlineStr">
        <is>
          <t>C</t>
        </is>
      </c>
      <c r="E2747" t="inlineStr">
        <is>
          <t>rs1499972</t>
        </is>
      </c>
      <c r="F2747" t="n">
        <v>0.0504267155999999</v>
      </c>
      <c r="G2747" t="n">
        <v>0.0680651790852032</v>
      </c>
      <c r="H2747" t="n">
        <v>0.0186509991549484</v>
      </c>
      <c r="I2747" t="n">
        <v>0.09419014519167</v>
      </c>
      <c r="J2747" t="n">
        <v>0.2018703874373977</v>
      </c>
      <c r="K2747" t="n">
        <v>0.3897513651342501</v>
      </c>
      <c r="L2747" t="b">
        <v>0</v>
      </c>
      <c r="M2747" t="b">
        <v>0</v>
      </c>
      <c r="N2747" t="inlineStr">
        <is>
          <t>alt</t>
        </is>
      </c>
      <c r="O2747" t="n">
        <v>-75</v>
      </c>
      <c r="P2747" t="n">
        <v>0.01671</v>
      </c>
      <c r="Q2747" t="n">
        <v>100</v>
      </c>
      <c r="R2747" t="n">
        <v>0.1587</v>
      </c>
      <c r="S2747">
        <f>IMAGE("https://mitra.stanford.edu/kundaje/oak/projects/neuro-variants/variant_position/credible/roussos_2024/variant_figures/roussos_2024.adolescence.GLU/rs1499972_count_position.png",4,220,900)</f>
        <v/>
      </c>
      <c r="T2747">
        <f>IMAGE("https://mitra.stanford.edu/kundaje/oak/projects/neuro-variants/variant_position/credible/roussos_2024/variant_figures/roussos_2024.adolescence.GLU/rs1499972_profile_position.png",4,220,900)</f>
        <v/>
      </c>
    </row>
    <row r="2748">
      <c r="A2748" t="inlineStr">
        <is>
          <t>chr3</t>
        </is>
      </c>
      <c r="B2748" t="n">
        <v>118001626</v>
      </c>
      <c r="C2748" t="inlineStr">
        <is>
          <t>C</t>
        </is>
      </c>
      <c r="D2748" t="inlineStr">
        <is>
          <t>T</t>
        </is>
      </c>
      <c r="E2748" t="inlineStr">
        <is>
          <t>rs2925312</t>
        </is>
      </c>
      <c r="F2748" t="n">
        <v>-0.1664450679999999</v>
      </c>
      <c r="G2748" t="n">
        <v>0.0017458166991283</v>
      </c>
      <c r="H2748" t="n">
        <v>0.0336560576650007</v>
      </c>
      <c r="I2748" t="n">
        <v>0.0065536719696652</v>
      </c>
      <c r="J2748" t="n">
        <v>0.1969122175307741</v>
      </c>
      <c r="K2748" t="n">
        <v>0.4036487247767906</v>
      </c>
      <c r="L2748" t="b">
        <v>1</v>
      </c>
      <c r="M2748" t="b">
        <v>1</v>
      </c>
      <c r="N2748" t="inlineStr">
        <is>
          <t>ref</t>
        </is>
      </c>
      <c r="O2748" t="n">
        <v>70</v>
      </c>
      <c r="P2748" t="n">
        <v>0.004005</v>
      </c>
      <c r="Q2748" t="n">
        <v>-70</v>
      </c>
      <c r="R2748" t="n">
        <v>0.06226</v>
      </c>
      <c r="S2748">
        <f>IMAGE("https://mitra.stanford.edu/kundaje/oak/projects/neuro-variants/variant_position/credible/roussos_2024/variant_figures/roussos_2024.adolescence.GLU/rs2925312_count_position.png",4,220,900)</f>
        <v/>
      </c>
      <c r="T2748">
        <f>IMAGE("https://mitra.stanford.edu/kundaje/oak/projects/neuro-variants/variant_position/credible/roussos_2024/variant_figures/roussos_2024.adolescence.GLU/rs2925312_profile_position.png",4,220,900)</f>
        <v/>
      </c>
    </row>
    <row r="2749">
      <c r="A2749" t="inlineStr">
        <is>
          <t>chr3</t>
        </is>
      </c>
      <c r="B2749" t="n">
        <v>118002581</v>
      </c>
      <c r="C2749" t="inlineStr">
        <is>
          <t>A</t>
        </is>
      </c>
      <c r="D2749" t="inlineStr">
        <is>
          <t>G</t>
        </is>
      </c>
      <c r="E2749" t="inlineStr">
        <is>
          <t>rs843852</t>
        </is>
      </c>
      <c r="F2749" t="n">
        <v>0.0198269326</v>
      </c>
      <c r="G2749" t="n">
        <v>0.2808725855885179</v>
      </c>
      <c r="H2749" t="n">
        <v>0.009283313689818599</v>
      </c>
      <c r="I2749" t="n">
        <v>0.6361373707803281</v>
      </c>
      <c r="J2749" t="n">
        <v>0.1410034935808131</v>
      </c>
      <c r="K2749" t="n">
        <v>0.4999058254138235</v>
      </c>
      <c r="L2749" t="b">
        <v>0</v>
      </c>
      <c r="M2749" t="b">
        <v>0</v>
      </c>
      <c r="N2749" t="inlineStr">
        <is>
          <t>alt</t>
        </is>
      </c>
      <c r="O2749" t="n">
        <v>20</v>
      </c>
      <c r="P2749" t="n">
        <v>0.004868</v>
      </c>
      <c r="Q2749" t="n">
        <v>100</v>
      </c>
      <c r="R2749" t="n">
        <v>0.0949</v>
      </c>
      <c r="S2749">
        <f>IMAGE("https://mitra.stanford.edu/kundaje/oak/projects/neuro-variants/variant_position/credible/roussos_2024/variant_figures/roussos_2024.adolescence.GLU/rs843852_count_position.png",4,220,900)</f>
        <v/>
      </c>
      <c r="T2749">
        <f>IMAGE("https://mitra.stanford.edu/kundaje/oak/projects/neuro-variants/variant_position/credible/roussos_2024/variant_figures/roussos_2024.adolescence.GLU/rs843852_profile_position.png",4,220,900)</f>
        <v/>
      </c>
    </row>
    <row r="2750">
      <c r="A2750" t="inlineStr">
        <is>
          <t>chr3</t>
        </is>
      </c>
      <c r="B2750" t="n">
        <v>118007409</v>
      </c>
      <c r="C2750" t="inlineStr">
        <is>
          <t>C</t>
        </is>
      </c>
      <c r="D2750" t="inlineStr">
        <is>
          <t>T</t>
        </is>
      </c>
      <c r="E2750" t="inlineStr">
        <is>
          <t>rs1093464</t>
        </is>
      </c>
      <c r="F2750" t="n">
        <v>-0.08228308500000001</v>
      </c>
      <c r="G2750" t="n">
        <v>0.0134033883803083</v>
      </c>
      <c r="H2750" t="n">
        <v>0.0138442940262497</v>
      </c>
      <c r="I2750" t="n">
        <v>0.2008557642009173</v>
      </c>
      <c r="J2750" t="n">
        <v>0.0255695822706131</v>
      </c>
      <c r="K2750" t="n">
        <v>0.7919511162491004</v>
      </c>
      <c r="L2750" t="b">
        <v>1</v>
      </c>
      <c r="M2750" t="b">
        <v>0</v>
      </c>
      <c r="N2750" t="inlineStr">
        <is>
          <t>ref</t>
        </is>
      </c>
      <c r="O2750" t="n">
        <v>-95</v>
      </c>
      <c r="P2750" t="n">
        <v>0.009520000000000001</v>
      </c>
      <c r="Q2750" t="n">
        <v>100</v>
      </c>
      <c r="R2750" t="n">
        <v>0.02164</v>
      </c>
      <c r="S2750">
        <f>IMAGE("https://mitra.stanford.edu/kundaje/oak/projects/neuro-variants/variant_position/credible/roussos_2024/variant_figures/roussos_2024.adolescence.GLU/rs1093464_count_position.png",4,220,900)</f>
        <v/>
      </c>
      <c r="T2750">
        <f>IMAGE("https://mitra.stanford.edu/kundaje/oak/projects/neuro-variants/variant_position/credible/roussos_2024/variant_figures/roussos_2024.adolescence.GLU/rs1093464_profile_position.png",4,220,900)</f>
        <v/>
      </c>
    </row>
    <row r="2751">
      <c r="A2751" t="inlineStr">
        <is>
          <t>chr3</t>
        </is>
      </c>
      <c r="B2751" t="n">
        <v>118031005</v>
      </c>
      <c r="C2751" t="inlineStr">
        <is>
          <t>C</t>
        </is>
      </c>
      <c r="D2751" t="inlineStr">
        <is>
          <t>T</t>
        </is>
      </c>
      <c r="E2751" t="inlineStr">
        <is>
          <t>rs846184</t>
        </is>
      </c>
      <c r="F2751" t="n">
        <v>-0.0330187722</v>
      </c>
      <c r="G2751" t="n">
        <v>0.1548300646759043</v>
      </c>
      <c r="H2751" t="n">
        <v>0.014680646194301</v>
      </c>
      <c r="I2751" t="n">
        <v>0.1926253575156049</v>
      </c>
      <c r="J2751" t="n">
        <v>0.0113237742103721</v>
      </c>
      <c r="K2751" t="n">
        <v>0.8673633292987714</v>
      </c>
      <c r="L2751" t="b">
        <v>0</v>
      </c>
      <c r="M2751" t="b">
        <v>0</v>
      </c>
      <c r="N2751" t="inlineStr">
        <is>
          <t>ref</t>
        </is>
      </c>
      <c r="O2751" t="n">
        <v>55</v>
      </c>
      <c r="P2751" t="n">
        <v>0.01613</v>
      </c>
      <c r="Q2751" t="n">
        <v>-55</v>
      </c>
      <c r="R2751" t="n">
        <v>0.04758</v>
      </c>
      <c r="S2751">
        <f>IMAGE("https://mitra.stanford.edu/kundaje/oak/projects/neuro-variants/variant_position/credible/roussos_2024/variant_figures/roussos_2024.adolescence.GLU/rs846184_count_position.png",4,220,900)</f>
        <v/>
      </c>
      <c r="T2751">
        <f>IMAGE("https://mitra.stanford.edu/kundaje/oak/projects/neuro-variants/variant_position/credible/roussos_2024/variant_figures/roussos_2024.adolescence.GLU/rs846184_profile_position.png",4,220,900)</f>
        <v/>
      </c>
    </row>
    <row r="2752">
      <c r="A2752" t="inlineStr">
        <is>
          <t>chr3</t>
        </is>
      </c>
      <c r="B2752" t="n">
        <v>118082483</v>
      </c>
      <c r="C2752" t="inlineStr">
        <is>
          <t>T</t>
        </is>
      </c>
      <c r="D2752" t="inlineStr">
        <is>
          <t>C</t>
        </is>
      </c>
      <c r="E2752" t="inlineStr">
        <is>
          <t>rs1499976</t>
        </is>
      </c>
      <c r="F2752" t="n">
        <v>0.0646410662</v>
      </c>
      <c r="G2752" t="n">
        <v>0.0290210440122674</v>
      </c>
      <c r="H2752" t="n">
        <v>0.0122696542137991</v>
      </c>
      <c r="I2752" t="n">
        <v>0.3065563554646898</v>
      </c>
      <c r="J2752" t="n">
        <v>0.038103607175772</v>
      </c>
      <c r="K2752" t="n">
        <v>0.7563585902484126</v>
      </c>
      <c r="L2752" t="b">
        <v>0</v>
      </c>
      <c r="M2752" t="b">
        <v>0</v>
      </c>
      <c r="N2752" t="inlineStr">
        <is>
          <t>alt</t>
        </is>
      </c>
      <c r="O2752" t="n">
        <v>100</v>
      </c>
      <c r="P2752" t="n">
        <v>0.00855</v>
      </c>
      <c r="Q2752" t="n">
        <v>-65</v>
      </c>
      <c r="R2752" t="n">
        <v>0.01282</v>
      </c>
      <c r="S2752">
        <f>IMAGE("https://mitra.stanford.edu/kundaje/oak/projects/neuro-variants/variant_position/credible/roussos_2024/variant_figures/roussos_2024.adolescence.GLU/rs1499976_count_position.png",4,220,900)</f>
        <v/>
      </c>
      <c r="T2752">
        <f>IMAGE("https://mitra.stanford.edu/kundaje/oak/projects/neuro-variants/variant_position/credible/roussos_2024/variant_figures/roussos_2024.adolescence.GLU/rs1499976_profile_position.png",4,220,900)</f>
        <v/>
      </c>
    </row>
    <row r="2753">
      <c r="A2753" t="inlineStr">
        <is>
          <t>chr3</t>
        </is>
      </c>
      <c r="B2753" t="n">
        <v>128072865</v>
      </c>
      <c r="C2753" t="inlineStr">
        <is>
          <t>T</t>
        </is>
      </c>
      <c r="D2753" t="inlineStr">
        <is>
          <t>C</t>
        </is>
      </c>
      <c r="E2753" t="inlineStr">
        <is>
          <t>rs7612065</t>
        </is>
      </c>
      <c r="F2753" t="n">
        <v>0.086552213</v>
      </c>
      <c r="G2753" t="n">
        <v>0.0148354814933581</v>
      </c>
      <c r="H2753" t="n">
        <v>0.0194214665299088</v>
      </c>
      <c r="I2753" t="n">
        <v>0.0702157802890892</v>
      </c>
      <c r="J2753" t="n">
        <v>0.5101142379492895</v>
      </c>
      <c r="K2753" t="n">
        <v>0.0818547263761671</v>
      </c>
      <c r="L2753" t="b">
        <v>1</v>
      </c>
      <c r="M2753" t="b">
        <v>0</v>
      </c>
      <c r="N2753" t="inlineStr">
        <is>
          <t>alt</t>
        </is>
      </c>
      <c r="O2753" t="n">
        <v>70</v>
      </c>
      <c r="P2753" t="n">
        <v>0.002296</v>
      </c>
      <c r="Q2753" t="n">
        <v>-100</v>
      </c>
      <c r="R2753" t="n">
        <v>0.03522</v>
      </c>
      <c r="S2753">
        <f>IMAGE("https://mitra.stanford.edu/kundaje/oak/projects/neuro-variants/variant_position/credible/roussos_2024/variant_figures/roussos_2024.adolescence.GLU/rs7612065_count_position.png",4,220,900)</f>
        <v/>
      </c>
      <c r="T2753">
        <f>IMAGE("https://mitra.stanford.edu/kundaje/oak/projects/neuro-variants/variant_position/credible/roussos_2024/variant_figures/roussos_2024.adolescence.GLU/rs7612065_profile_position.png",4,220,900)</f>
        <v/>
      </c>
    </row>
    <row r="2754">
      <c r="A2754" t="inlineStr">
        <is>
          <t>chr3</t>
        </is>
      </c>
      <c r="B2754" t="n">
        <v>128088271</v>
      </c>
      <c r="C2754" t="inlineStr">
        <is>
          <t>G</t>
        </is>
      </c>
      <c r="D2754" t="inlineStr">
        <is>
          <t>A</t>
        </is>
      </c>
      <c r="E2754" t="inlineStr">
        <is>
          <t>rs6439112</t>
        </is>
      </c>
      <c r="F2754" t="n">
        <v>0.00293609504</v>
      </c>
      <c r="G2754" t="n">
        <v>0.6912102824502869</v>
      </c>
      <c r="H2754" t="n">
        <v>0.0338097621251754</v>
      </c>
      <c r="I2754" t="n">
        <v>0.0053709377133133</v>
      </c>
      <c r="J2754" t="n">
        <v>0.0374163219524043</v>
      </c>
      <c r="K2754" t="n">
        <v>0.7499870592378154</v>
      </c>
      <c r="L2754" t="b">
        <v>1</v>
      </c>
      <c r="M2754" t="b">
        <v>0</v>
      </c>
      <c r="N2754" t="inlineStr">
        <is>
          <t>alt</t>
        </is>
      </c>
      <c r="O2754" t="n">
        <v>100</v>
      </c>
      <c r="P2754" t="n">
        <v>0.01901</v>
      </c>
      <c r="Q2754" t="n">
        <v>-70</v>
      </c>
      <c r="R2754" t="n">
        <v>0.03302</v>
      </c>
      <c r="S2754">
        <f>IMAGE("https://mitra.stanford.edu/kundaje/oak/projects/neuro-variants/variant_position/credible/roussos_2024/variant_figures/roussos_2024.adolescence.GLU/rs6439112_count_position.png",4,220,900)</f>
        <v/>
      </c>
      <c r="T2754">
        <f>IMAGE("https://mitra.stanford.edu/kundaje/oak/projects/neuro-variants/variant_position/credible/roussos_2024/variant_figures/roussos_2024.adolescence.GLU/rs6439112_profile_position.png",4,220,900)</f>
        <v/>
      </c>
    </row>
    <row r="2755">
      <c r="A2755" t="inlineStr">
        <is>
          <t>chr3</t>
        </is>
      </c>
      <c r="B2755" t="n">
        <v>128100219</v>
      </c>
      <c r="C2755" t="inlineStr">
        <is>
          <t>G</t>
        </is>
      </c>
      <c r="D2755" t="inlineStr">
        <is>
          <t>C</t>
        </is>
      </c>
      <c r="E2755" t="inlineStr">
        <is>
          <t>rs4857866</t>
        </is>
      </c>
      <c r="F2755" t="n">
        <v>-0.0231983307999999</v>
      </c>
      <c r="G2755" t="n">
        <v>0.2590033050605345</v>
      </c>
      <c r="H2755" t="n">
        <v>0.008552381775017499</v>
      </c>
      <c r="I2755" t="n">
        <v>0.723787607177611</v>
      </c>
      <c r="J2755" t="n">
        <v>0.2084688971286909</v>
      </c>
      <c r="K2755" t="n">
        <v>0.3935479972343232</v>
      </c>
      <c r="L2755" t="b">
        <v>0</v>
      </c>
      <c r="M2755" t="b">
        <v>0</v>
      </c>
      <c r="N2755" t="inlineStr">
        <is>
          <t>ref</t>
        </is>
      </c>
      <c r="O2755" t="n">
        <v>-100</v>
      </c>
      <c r="P2755" t="n">
        <v>0.00759</v>
      </c>
      <c r="Q2755" t="n">
        <v>30</v>
      </c>
      <c r="R2755" t="n">
        <v>0.0385</v>
      </c>
      <c r="S2755">
        <f>IMAGE("https://mitra.stanford.edu/kundaje/oak/projects/neuro-variants/variant_position/credible/roussos_2024/variant_figures/roussos_2024.adolescence.GLU/rs4857866_count_position.png",4,220,900)</f>
        <v/>
      </c>
      <c r="T2755">
        <f>IMAGE("https://mitra.stanford.edu/kundaje/oak/projects/neuro-variants/variant_position/credible/roussos_2024/variant_figures/roussos_2024.adolescence.GLU/rs4857866_profile_position.png",4,220,900)</f>
        <v/>
      </c>
    </row>
    <row r="2756">
      <c r="A2756" t="inlineStr">
        <is>
          <t>chr3</t>
        </is>
      </c>
      <c r="B2756" t="n">
        <v>128173194</v>
      </c>
      <c r="C2756" t="inlineStr">
        <is>
          <t>T</t>
        </is>
      </c>
      <c r="D2756" t="inlineStr">
        <is>
          <t>C</t>
        </is>
      </c>
      <c r="E2756" t="inlineStr">
        <is>
          <t>rs2999052</t>
        </is>
      </c>
      <c r="F2756" t="n">
        <v>0.0622726319999999</v>
      </c>
      <c r="G2756" t="n">
        <v>0.0364974938835413</v>
      </c>
      <c r="H2756" t="n">
        <v>0.0103444713830816</v>
      </c>
      <c r="I2756" t="n">
        <v>0.4938529087187059</v>
      </c>
      <c r="J2756" t="n">
        <v>0.4369347936358245</v>
      </c>
      <c r="K2756" t="n">
        <v>0.134630595143032</v>
      </c>
      <c r="L2756" t="b">
        <v>0</v>
      </c>
      <c r="M2756" t="b">
        <v>0</v>
      </c>
      <c r="N2756" t="inlineStr">
        <is>
          <t>alt</t>
        </is>
      </c>
      <c r="O2756" t="n">
        <v>20</v>
      </c>
      <c r="P2756" t="n">
        <v>0.0004578</v>
      </c>
      <c r="Q2756" t="n">
        <v>40</v>
      </c>
      <c r="R2756" t="n">
        <v>0.0757</v>
      </c>
      <c r="S2756">
        <f>IMAGE("https://mitra.stanford.edu/kundaje/oak/projects/neuro-variants/variant_position/credible/roussos_2024/variant_figures/roussos_2024.adolescence.GLU/rs2999052_count_position.png",4,220,900)</f>
        <v/>
      </c>
      <c r="T2756">
        <f>IMAGE("https://mitra.stanford.edu/kundaje/oak/projects/neuro-variants/variant_position/credible/roussos_2024/variant_figures/roussos_2024.adolescence.GLU/rs2999052_profile_position.png",4,220,900)</f>
        <v/>
      </c>
    </row>
    <row r="2757">
      <c r="A2757" t="inlineStr">
        <is>
          <t>chr3</t>
        </is>
      </c>
      <c r="B2757" t="n">
        <v>128176383</v>
      </c>
      <c r="C2757" t="inlineStr">
        <is>
          <t>A</t>
        </is>
      </c>
      <c r="D2757" t="inlineStr">
        <is>
          <t>G</t>
        </is>
      </c>
      <c r="E2757" t="inlineStr">
        <is>
          <t>rs2687729</t>
        </is>
      </c>
      <c r="F2757" t="n">
        <v>0.0318365096</v>
      </c>
      <c r="G2757" t="n">
        <v>0.1623727888091777</v>
      </c>
      <c r="H2757" t="n">
        <v>0.0082006133285767</v>
      </c>
      <c r="I2757" t="n">
        <v>0.7621340387289973</v>
      </c>
      <c r="J2757" t="n">
        <v>0.2203656471697708</v>
      </c>
      <c r="K2757" t="n">
        <v>0.3682773229129356</v>
      </c>
      <c r="L2757" t="b">
        <v>0</v>
      </c>
      <c r="M2757" t="b">
        <v>0</v>
      </c>
      <c r="N2757" t="inlineStr">
        <is>
          <t>alt</t>
        </is>
      </c>
      <c r="O2757" t="n">
        <v>100</v>
      </c>
      <c r="P2757" t="n">
        <v>0.00551</v>
      </c>
      <c r="Q2757" t="n">
        <v>30</v>
      </c>
      <c r="R2757" t="n">
        <v>0.01929</v>
      </c>
      <c r="S2757">
        <f>IMAGE("https://mitra.stanford.edu/kundaje/oak/projects/neuro-variants/variant_position/credible/roussos_2024/variant_figures/roussos_2024.adolescence.GLU/rs2687729_count_position.png",4,220,900)</f>
        <v/>
      </c>
      <c r="T2757">
        <f>IMAGE("https://mitra.stanford.edu/kundaje/oak/projects/neuro-variants/variant_position/credible/roussos_2024/variant_figures/roussos_2024.adolescence.GLU/rs2687729_profile_position.png",4,220,900)</f>
        <v/>
      </c>
    </row>
    <row r="2758">
      <c r="A2758" t="inlineStr">
        <is>
          <t>chr3</t>
        </is>
      </c>
      <c r="B2758" t="n">
        <v>128186805</v>
      </c>
      <c r="C2758" t="inlineStr">
        <is>
          <t>A</t>
        </is>
      </c>
      <c r="D2758" t="inlineStr">
        <is>
          <t>T</t>
        </is>
      </c>
      <c r="E2758" t="inlineStr">
        <is>
          <t>rs2999059</t>
        </is>
      </c>
      <c r="F2758" t="n">
        <v>-0.0002423673699999</v>
      </c>
      <c r="G2758" t="n">
        <v>0.9064905775748482</v>
      </c>
      <c r="H2758" t="n">
        <v>0.0178174097595909</v>
      </c>
      <c r="I2758" t="n">
        <v>0.0939164154268658</v>
      </c>
      <c r="J2758" t="n">
        <v>0.0444920733580527</v>
      </c>
      <c r="K2758" t="n">
        <v>0.7146705226560758</v>
      </c>
      <c r="L2758" t="b">
        <v>0</v>
      </c>
      <c r="M2758" t="b">
        <v>0</v>
      </c>
      <c r="N2758" t="inlineStr">
        <is>
          <t>ref</t>
        </is>
      </c>
      <c r="O2758" t="n">
        <v>70</v>
      </c>
      <c r="P2758" t="n">
        <v>0.006104</v>
      </c>
      <c r="Q2758" t="n">
        <v>100</v>
      </c>
      <c r="R2758" t="n">
        <v>0.009795999999999999</v>
      </c>
      <c r="S2758">
        <f>IMAGE("https://mitra.stanford.edu/kundaje/oak/projects/neuro-variants/variant_position/credible/roussos_2024/variant_figures/roussos_2024.adolescence.GLU/rs2999059_count_position.png",4,220,900)</f>
        <v/>
      </c>
      <c r="T2758">
        <f>IMAGE("https://mitra.stanford.edu/kundaje/oak/projects/neuro-variants/variant_position/credible/roussos_2024/variant_figures/roussos_2024.adolescence.GLU/rs2999059_profile_position.png",4,220,900)</f>
        <v/>
      </c>
    </row>
    <row r="2759">
      <c r="A2759" t="inlineStr">
        <is>
          <t>chr3</t>
        </is>
      </c>
      <c r="B2759" t="n">
        <v>128194985</v>
      </c>
      <c r="C2759" t="inlineStr">
        <is>
          <t>T</t>
        </is>
      </c>
      <c r="D2759" t="inlineStr">
        <is>
          <t>A</t>
        </is>
      </c>
      <c r="E2759" t="inlineStr">
        <is>
          <t>rs940062</t>
        </is>
      </c>
      <c r="F2759" t="n">
        <v>0.00378832046</v>
      </c>
      <c r="G2759" t="n">
        <v>0.4632983038609037</v>
      </c>
      <c r="H2759" t="n">
        <v>0.0077112489493281</v>
      </c>
      <c r="I2759" t="n">
        <v>0.7956146298592986</v>
      </c>
      <c r="J2759" t="n">
        <v>0.2801708925420265</v>
      </c>
      <c r="K2759" t="n">
        <v>0.2910927147369835</v>
      </c>
      <c r="L2759" t="b">
        <v>0</v>
      </c>
      <c r="M2759" t="b">
        <v>0</v>
      </c>
      <c r="N2759" t="inlineStr">
        <is>
          <t>alt</t>
        </is>
      </c>
      <c r="O2759" t="n">
        <v>-100</v>
      </c>
      <c r="P2759" t="n">
        <v>0.00216</v>
      </c>
      <c r="Q2759" t="n">
        <v>100</v>
      </c>
      <c r="R2759" t="n">
        <v>0.04443</v>
      </c>
      <c r="S2759">
        <f>IMAGE("https://mitra.stanford.edu/kundaje/oak/projects/neuro-variants/variant_position/credible/roussos_2024/variant_figures/roussos_2024.adolescence.GLU/rs940062_count_position.png",4,220,900)</f>
        <v/>
      </c>
      <c r="T2759">
        <f>IMAGE("https://mitra.stanford.edu/kundaje/oak/projects/neuro-variants/variant_position/credible/roussos_2024/variant_figures/roussos_2024.adolescence.GLU/rs940062_profile_position.png",4,220,900)</f>
        <v/>
      </c>
    </row>
    <row r="2760">
      <c r="A2760" t="inlineStr">
        <is>
          <t>chr3</t>
        </is>
      </c>
      <c r="B2760" t="n">
        <v>128204967</v>
      </c>
      <c r="C2760" t="inlineStr">
        <is>
          <t>G</t>
        </is>
      </c>
      <c r="D2760" t="inlineStr">
        <is>
          <t>A</t>
        </is>
      </c>
      <c r="E2760" t="inlineStr">
        <is>
          <t>rs2999058</t>
        </is>
      </c>
      <c r="F2760" t="n">
        <v>0.0187289937799999</v>
      </c>
      <c r="G2760" t="n">
        <v>0.3070055298531972</v>
      </c>
      <c r="H2760" t="n">
        <v>0.0087834507692979</v>
      </c>
      <c r="I2760" t="n">
        <v>0.6985487136269876</v>
      </c>
      <c r="J2760" t="n">
        <v>0.196865064906302</v>
      </c>
      <c r="K2760" t="n">
        <v>0.4072900310016403</v>
      </c>
      <c r="L2760" t="b">
        <v>0</v>
      </c>
      <c r="M2760" t="b">
        <v>0</v>
      </c>
      <c r="N2760" t="inlineStr">
        <is>
          <t>alt</t>
        </is>
      </c>
      <c r="O2760" t="n">
        <v>-85</v>
      </c>
      <c r="P2760" t="n">
        <v>0.01063</v>
      </c>
      <c r="Q2760" t="n">
        <v>-100</v>
      </c>
      <c r="R2760" t="n">
        <v>0.1172</v>
      </c>
      <c r="S2760">
        <f>IMAGE("https://mitra.stanford.edu/kundaje/oak/projects/neuro-variants/variant_position/credible/roussos_2024/variant_figures/roussos_2024.adolescence.GLU/rs2999058_count_position.png",4,220,900)</f>
        <v/>
      </c>
      <c r="T2760">
        <f>IMAGE("https://mitra.stanford.edu/kundaje/oak/projects/neuro-variants/variant_position/credible/roussos_2024/variant_figures/roussos_2024.adolescence.GLU/rs2999058_profile_position.png",4,220,900)</f>
        <v/>
      </c>
    </row>
    <row r="2761">
      <c r="A2761" t="inlineStr">
        <is>
          <t>chr3</t>
        </is>
      </c>
      <c r="B2761" t="n">
        <v>128206349</v>
      </c>
      <c r="C2761" t="inlineStr">
        <is>
          <t>A</t>
        </is>
      </c>
      <c r="D2761" t="inlineStr">
        <is>
          <t>G</t>
        </is>
      </c>
      <c r="E2761" t="inlineStr">
        <is>
          <t>rs2955125</t>
        </is>
      </c>
      <c r="F2761" t="n">
        <v>0.08344235179999999</v>
      </c>
      <c r="G2761" t="n">
        <v>0.018064239043755</v>
      </c>
      <c r="H2761" t="n">
        <v>0.0170306604441296</v>
      </c>
      <c r="I2761" t="n">
        <v>0.1225561653221956</v>
      </c>
      <c r="J2761" t="n">
        <v>0.2906016246222432</v>
      </c>
      <c r="K2761" t="n">
        <v>0.2802865412562322</v>
      </c>
      <c r="L2761" t="b">
        <v>1</v>
      </c>
      <c r="M2761" t="b">
        <v>0</v>
      </c>
      <c r="N2761" t="inlineStr">
        <is>
          <t>alt</t>
        </is>
      </c>
      <c r="O2761" t="n">
        <v>40</v>
      </c>
      <c r="P2761" t="n">
        <v>0.002575</v>
      </c>
      <c r="Q2761" t="n">
        <v>40</v>
      </c>
      <c r="R2761" t="n">
        <v>0.042</v>
      </c>
      <c r="S2761">
        <f>IMAGE("https://mitra.stanford.edu/kundaje/oak/projects/neuro-variants/variant_position/credible/roussos_2024/variant_figures/roussos_2024.adolescence.GLU/rs2955125_count_position.png",4,220,900)</f>
        <v/>
      </c>
      <c r="T2761">
        <f>IMAGE("https://mitra.stanford.edu/kundaje/oak/projects/neuro-variants/variant_position/credible/roussos_2024/variant_figures/roussos_2024.adolescence.GLU/rs2955125_profile_position.png",4,220,900)</f>
        <v/>
      </c>
    </row>
    <row r="2762">
      <c r="A2762" t="inlineStr">
        <is>
          <t>chr3</t>
        </is>
      </c>
      <c r="B2762" t="n">
        <v>128207673</v>
      </c>
      <c r="C2762" t="inlineStr">
        <is>
          <t>A</t>
        </is>
      </c>
      <c r="D2762" t="inlineStr">
        <is>
          <t>G</t>
        </is>
      </c>
      <c r="E2762" t="inlineStr">
        <is>
          <t>rs2955127</t>
        </is>
      </c>
      <c r="F2762" t="n">
        <v>0.036259198</v>
      </c>
      <c r="G2762" t="n">
        <v>0.128024476538861</v>
      </c>
      <c r="H2762" t="n">
        <v>0.0094941848550562</v>
      </c>
      <c r="I2762" t="n">
        <v>0.594200806881556</v>
      </c>
      <c r="J2762" t="n">
        <v>0.387201634624315</v>
      </c>
      <c r="K2762" t="n">
        <v>0.1799094189562353</v>
      </c>
      <c r="L2762" t="b">
        <v>0</v>
      </c>
      <c r="M2762" t="b">
        <v>0</v>
      </c>
      <c r="N2762" t="inlineStr">
        <is>
          <t>alt</t>
        </is>
      </c>
      <c r="O2762" t="n">
        <v>-75</v>
      </c>
      <c r="P2762" t="n">
        <v>0.006134</v>
      </c>
      <c r="Q2762" t="n">
        <v>-85</v>
      </c>
      <c r="R2762" t="n">
        <v>0.0174</v>
      </c>
      <c r="S2762">
        <f>IMAGE("https://mitra.stanford.edu/kundaje/oak/projects/neuro-variants/variant_position/credible/roussos_2024/variant_figures/roussos_2024.adolescence.GLU/rs2955127_count_position.png",4,220,900)</f>
        <v/>
      </c>
      <c r="T2762">
        <f>IMAGE("https://mitra.stanford.edu/kundaje/oak/projects/neuro-variants/variant_position/credible/roussos_2024/variant_figures/roussos_2024.adolescence.GLU/rs2955127_profile_position.png",4,220,900)</f>
        <v/>
      </c>
    </row>
    <row r="2763">
      <c r="A2763" t="inlineStr">
        <is>
          <t>chr3</t>
        </is>
      </c>
      <c r="B2763" t="n">
        <v>128209434</v>
      </c>
      <c r="C2763" t="inlineStr">
        <is>
          <t>C</t>
        </is>
      </c>
      <c r="D2763" t="inlineStr">
        <is>
          <t>T</t>
        </is>
      </c>
      <c r="E2763" t="inlineStr">
        <is>
          <t>rs2955128</t>
        </is>
      </c>
      <c r="F2763" t="n">
        <v>0.0193564152</v>
      </c>
      <c r="G2763" t="n">
        <v>0.3042376154277105</v>
      </c>
      <c r="H2763" t="n">
        <v>0.0141029482738742</v>
      </c>
      <c r="I2763" t="n">
        <v>0.2080530204969207</v>
      </c>
      <c r="J2763" t="n">
        <v>0.1897721670917547</v>
      </c>
      <c r="K2763" t="n">
        <v>0.4198665758126198</v>
      </c>
      <c r="L2763" t="b">
        <v>0</v>
      </c>
      <c r="M2763" t="b">
        <v>0</v>
      </c>
      <c r="N2763" t="inlineStr">
        <is>
          <t>alt</t>
        </is>
      </c>
      <c r="O2763" t="n">
        <v>100</v>
      </c>
      <c r="P2763" t="n">
        <v>0.03256</v>
      </c>
      <c r="Q2763" t="n">
        <v>-70</v>
      </c>
      <c r="R2763" t="n">
        <v>0.003418</v>
      </c>
      <c r="S2763">
        <f>IMAGE("https://mitra.stanford.edu/kundaje/oak/projects/neuro-variants/variant_position/credible/roussos_2024/variant_figures/roussos_2024.adolescence.GLU/rs2955128_count_position.png",4,220,900)</f>
        <v/>
      </c>
      <c r="T2763">
        <f>IMAGE("https://mitra.stanford.edu/kundaje/oak/projects/neuro-variants/variant_position/credible/roussos_2024/variant_figures/roussos_2024.adolescence.GLU/rs2955128_profile_position.png",4,220,900)</f>
        <v/>
      </c>
    </row>
    <row r="2764">
      <c r="A2764" t="inlineStr">
        <is>
          <t>chr3</t>
        </is>
      </c>
      <c r="B2764" t="n">
        <v>128215931</v>
      </c>
      <c r="C2764" t="inlineStr">
        <is>
          <t>C</t>
        </is>
      </c>
      <c r="D2764" t="inlineStr">
        <is>
          <t>A</t>
        </is>
      </c>
      <c r="E2764" t="inlineStr">
        <is>
          <t>rs4384971</t>
        </is>
      </c>
      <c r="F2764" t="n">
        <v>-0.0128748242</v>
      </c>
      <c r="G2764" t="n">
        <v>0.4110232373020961</v>
      </c>
      <c r="H2764" t="n">
        <v>0.0102846500665844</v>
      </c>
      <c r="I2764" t="n">
        <v>0.5064549810274738</v>
      </c>
      <c r="J2764" t="n">
        <v>0.3304884583235098</v>
      </c>
      <c r="K2764" t="n">
        <v>0.2362869026206643</v>
      </c>
      <c r="L2764" t="b">
        <v>0</v>
      </c>
      <c r="M2764" t="b">
        <v>0</v>
      </c>
      <c r="N2764" t="inlineStr">
        <is>
          <t>ref</t>
        </is>
      </c>
      <c r="O2764" t="n">
        <v>100</v>
      </c>
      <c r="P2764" t="n">
        <v>0.04767</v>
      </c>
      <c r="Q2764" t="n">
        <v>-5</v>
      </c>
      <c r="R2764" t="n">
        <v>0.021</v>
      </c>
      <c r="S2764">
        <f>IMAGE("https://mitra.stanford.edu/kundaje/oak/projects/neuro-variants/variant_position/credible/roussos_2024/variant_figures/roussos_2024.adolescence.GLU/rs4384971_count_position.png",4,220,900)</f>
        <v/>
      </c>
      <c r="T2764">
        <f>IMAGE("https://mitra.stanford.edu/kundaje/oak/projects/neuro-variants/variant_position/credible/roussos_2024/variant_figures/roussos_2024.adolescence.GLU/rs4384971_profile_position.png",4,220,900)</f>
        <v/>
      </c>
    </row>
    <row r="2765">
      <c r="A2765" t="inlineStr">
        <is>
          <t>chr3</t>
        </is>
      </c>
      <c r="B2765" t="n">
        <v>128225634</v>
      </c>
      <c r="C2765" t="inlineStr">
        <is>
          <t>C</t>
        </is>
      </c>
      <c r="D2765" t="inlineStr">
        <is>
          <t>G</t>
        </is>
      </c>
      <c r="E2765" t="inlineStr">
        <is>
          <t>rs6775988</t>
        </is>
      </c>
      <c r="F2765" t="n">
        <v>-0.00397313702</v>
      </c>
      <c r="G2765" t="n">
        <v>0.7030126423982563</v>
      </c>
      <c r="H2765" t="n">
        <v>0.0081882611272162</v>
      </c>
      <c r="I2765" t="n">
        <v>0.7551900046344761</v>
      </c>
      <c r="J2765" t="n">
        <v>0.2724121425152352</v>
      </c>
      <c r="K2765" t="n">
        <v>0.3038850222122962</v>
      </c>
      <c r="L2765" t="b">
        <v>0</v>
      </c>
      <c r="M2765" t="b">
        <v>0</v>
      </c>
      <c r="N2765" t="inlineStr">
        <is>
          <t>ref</t>
        </is>
      </c>
      <c r="O2765" t="n">
        <v>-25</v>
      </c>
      <c r="P2765" t="n">
        <v>0.005154</v>
      </c>
      <c r="Q2765" t="n">
        <v>65</v>
      </c>
      <c r="R2765" t="n">
        <v>0.03119</v>
      </c>
      <c r="S2765">
        <f>IMAGE("https://mitra.stanford.edu/kundaje/oak/projects/neuro-variants/variant_position/credible/roussos_2024/variant_figures/roussos_2024.adolescence.GLU/rs6775988_count_position.png",4,220,900)</f>
        <v/>
      </c>
      <c r="T2765">
        <f>IMAGE("https://mitra.stanford.edu/kundaje/oak/projects/neuro-variants/variant_position/credible/roussos_2024/variant_figures/roussos_2024.adolescence.GLU/rs6775988_profile_position.png",4,220,900)</f>
        <v/>
      </c>
    </row>
    <row r="2766">
      <c r="A2766" t="inlineStr">
        <is>
          <t>chr3</t>
        </is>
      </c>
      <c r="B2766" t="n">
        <v>128229217</v>
      </c>
      <c r="C2766" t="inlineStr">
        <is>
          <t>A</t>
        </is>
      </c>
      <c r="D2766" t="inlineStr">
        <is>
          <t>G</t>
        </is>
      </c>
      <c r="E2766" t="inlineStr">
        <is>
          <t>rs4857877</t>
        </is>
      </c>
      <c r="F2766" t="n">
        <v>0.0163715325</v>
      </c>
      <c r="G2766" t="n">
        <v>0.3374226075244252</v>
      </c>
      <c r="H2766" t="n">
        <v>0.00756321940449</v>
      </c>
      <c r="I2766" t="n">
        <v>0.8134173492247561</v>
      </c>
      <c r="J2766" t="n">
        <v>0.2406084117424323</v>
      </c>
      <c r="K2766" t="n">
        <v>0.3466213818911701</v>
      </c>
      <c r="L2766" t="b">
        <v>0</v>
      </c>
      <c r="M2766" t="b">
        <v>0</v>
      </c>
      <c r="N2766" t="inlineStr">
        <is>
          <t>alt</t>
        </is>
      </c>
      <c r="O2766" t="n">
        <v>-15</v>
      </c>
      <c r="P2766" t="n">
        <v>0.003658</v>
      </c>
      <c r="Q2766" t="n">
        <v>25</v>
      </c>
      <c r="R2766" t="n">
        <v>0.03107</v>
      </c>
      <c r="S2766">
        <f>IMAGE("https://mitra.stanford.edu/kundaje/oak/projects/neuro-variants/variant_position/credible/roussos_2024/variant_figures/roussos_2024.adolescence.GLU/rs4857877_count_position.png",4,220,900)</f>
        <v/>
      </c>
      <c r="T2766">
        <f>IMAGE("https://mitra.stanford.edu/kundaje/oak/projects/neuro-variants/variant_position/credible/roussos_2024/variant_figures/roussos_2024.adolescence.GLU/rs4857877_profile_position.png",4,220,900)</f>
        <v/>
      </c>
    </row>
    <row r="2767">
      <c r="A2767" t="inlineStr">
        <is>
          <t>chr3</t>
        </is>
      </c>
      <c r="B2767" t="n">
        <v>128339774</v>
      </c>
      <c r="C2767" t="inlineStr">
        <is>
          <t>A</t>
        </is>
      </c>
      <c r="D2767" t="inlineStr">
        <is>
          <t>T</t>
        </is>
      </c>
      <c r="E2767" t="inlineStr">
        <is>
          <t>rs3849531</t>
        </is>
      </c>
      <c r="F2767" t="n">
        <v>5.352012398000003e-05</v>
      </c>
      <c r="G2767" t="n">
        <v>0.9125280100069474</v>
      </c>
      <c r="H2767" t="n">
        <v>0.0176966963048367</v>
      </c>
      <c r="I2767" t="n">
        <v>0.09505153287811439</v>
      </c>
      <c r="J2767" t="n">
        <v>0.2308478184766844</v>
      </c>
      <c r="K2767" t="n">
        <v>0.3591415070248117</v>
      </c>
      <c r="L2767" t="b">
        <v>0</v>
      </c>
      <c r="M2767" t="b">
        <v>0</v>
      </c>
      <c r="N2767" t="inlineStr">
        <is>
          <t>alt</t>
        </is>
      </c>
      <c r="O2767" t="n">
        <v>-100</v>
      </c>
      <c r="P2767" t="n">
        <v>0.007996</v>
      </c>
      <c r="Q2767" t="n">
        <v>-20</v>
      </c>
      <c r="R2767" t="n">
        <v>0.002441</v>
      </c>
      <c r="S2767">
        <f>IMAGE("https://mitra.stanford.edu/kundaje/oak/projects/neuro-variants/variant_position/credible/roussos_2024/variant_figures/roussos_2024.adolescence.GLU/rs3849531_count_position.png",4,220,900)</f>
        <v/>
      </c>
      <c r="T2767">
        <f>IMAGE("https://mitra.stanford.edu/kundaje/oak/projects/neuro-variants/variant_position/credible/roussos_2024/variant_figures/roussos_2024.adolescence.GLU/rs3849531_profile_position.png",4,220,900)</f>
        <v/>
      </c>
    </row>
    <row r="2768">
      <c r="A2768" t="inlineStr">
        <is>
          <t>chr3</t>
        </is>
      </c>
      <c r="B2768" t="n">
        <v>135959783</v>
      </c>
      <c r="C2768" t="inlineStr">
        <is>
          <t>A</t>
        </is>
      </c>
      <c r="D2768" t="inlineStr">
        <is>
          <t>G</t>
        </is>
      </c>
      <c r="E2768" t="inlineStr">
        <is>
          <t>rs1403770</t>
        </is>
      </c>
      <c r="F2768" t="n">
        <v>0.004130287584</v>
      </c>
      <c r="G2768" t="n">
        <v>0.6438387169232174</v>
      </c>
      <c r="H2768" t="n">
        <v>0.0228368506620489</v>
      </c>
      <c r="I2768" t="n">
        <v>0.0323280852016306</v>
      </c>
      <c r="J2768" t="n">
        <v>0.0316536996949367</v>
      </c>
      <c r="K2768" t="n">
        <v>0.7644492694978141</v>
      </c>
      <c r="L2768" t="b">
        <v>0</v>
      </c>
      <c r="M2768" t="b">
        <v>0</v>
      </c>
      <c r="N2768" t="inlineStr">
        <is>
          <t>alt</t>
        </is>
      </c>
      <c r="O2768" t="n">
        <v>50</v>
      </c>
      <c r="P2768" t="n">
        <v>0.002657</v>
      </c>
      <c r="Q2768" t="n">
        <v>-95</v>
      </c>
      <c r="R2768" t="n">
        <v>0.0624</v>
      </c>
      <c r="S2768">
        <f>IMAGE("https://mitra.stanford.edu/kundaje/oak/projects/neuro-variants/variant_position/credible/roussos_2024/variant_figures/roussos_2024.adolescence.GLU/rs1403770_count_position.png",4,220,900)</f>
        <v/>
      </c>
      <c r="T2768">
        <f>IMAGE("https://mitra.stanford.edu/kundaje/oak/projects/neuro-variants/variant_position/credible/roussos_2024/variant_figures/roussos_2024.adolescence.GLU/rs1403770_profile_position.png",4,220,900)</f>
        <v/>
      </c>
    </row>
    <row r="2769">
      <c r="A2769" t="inlineStr">
        <is>
          <t>chr3</t>
        </is>
      </c>
      <c r="B2769" t="n">
        <v>135965617</v>
      </c>
      <c r="C2769" t="inlineStr">
        <is>
          <t>G</t>
        </is>
      </c>
      <c r="D2769" t="inlineStr">
        <is>
          <t>T</t>
        </is>
      </c>
      <c r="E2769" t="inlineStr">
        <is>
          <t>rs184442184</t>
        </is>
      </c>
      <c r="F2769" t="n">
        <v>-0.0280270046</v>
      </c>
      <c r="G2769" t="n">
        <v>0.2061928074693776</v>
      </c>
      <c r="H2769" t="n">
        <v>0.0149781605324044</v>
      </c>
      <c r="I2769" t="n">
        <v>0.1724067037899791</v>
      </c>
      <c r="J2769" t="n">
        <v>0.8862893027841482</v>
      </c>
      <c r="K2769" t="n">
        <v>0.0041201236652919</v>
      </c>
      <c r="L2769" t="b">
        <v>0</v>
      </c>
      <c r="M2769" t="b">
        <v>0</v>
      </c>
      <c r="N2769" t="inlineStr">
        <is>
          <t>ref</t>
        </is>
      </c>
      <c r="O2769" t="n">
        <v>90</v>
      </c>
      <c r="P2769" t="n">
        <v>0.00818</v>
      </c>
      <c r="Q2769" t="n">
        <v>90</v>
      </c>
      <c r="R2769" t="n">
        <v>0.1389</v>
      </c>
      <c r="S2769">
        <f>IMAGE("https://mitra.stanford.edu/kundaje/oak/projects/neuro-variants/variant_position/credible/roussos_2024/variant_figures/roussos_2024.adolescence.GLU/rs184442184_count_position.png",4,220,900)</f>
        <v/>
      </c>
      <c r="T2769">
        <f>IMAGE("https://mitra.stanford.edu/kundaje/oak/projects/neuro-variants/variant_position/credible/roussos_2024/variant_figures/roussos_2024.adolescence.GLU/rs184442184_profile_position.png",4,220,900)</f>
        <v/>
      </c>
    </row>
    <row r="2770">
      <c r="A2770" t="inlineStr">
        <is>
          <t>chr3</t>
        </is>
      </c>
      <c r="B2770" t="n">
        <v>135968499</v>
      </c>
      <c r="C2770" t="inlineStr">
        <is>
          <t>G</t>
        </is>
      </c>
      <c r="D2770" t="inlineStr">
        <is>
          <t>A</t>
        </is>
      </c>
      <c r="E2770" t="inlineStr">
        <is>
          <t>rs9862763</t>
        </is>
      </c>
      <c r="F2770" t="n">
        <v>-0.07770736119999989</v>
      </c>
      <c r="G2770" t="n">
        <v>0.0178281757775538</v>
      </c>
      <c r="H2770" t="n">
        <v>0.0140342975015012</v>
      </c>
      <c r="I2770" t="n">
        <v>0.20740338304272</v>
      </c>
      <c r="J2770" t="n">
        <v>0.2952954540583406</v>
      </c>
      <c r="K2770" t="n">
        <v>0.2755712739426063</v>
      </c>
      <c r="L2770" t="b">
        <v>1</v>
      </c>
      <c r="M2770" t="b">
        <v>0</v>
      </c>
      <c r="N2770" t="inlineStr">
        <is>
          <t>ref</t>
        </is>
      </c>
      <c r="O2770" t="n">
        <v>90</v>
      </c>
      <c r="P2770" t="n">
        <v>0.013405</v>
      </c>
      <c r="Q2770" t="n">
        <v>65</v>
      </c>
      <c r="R2770" t="n">
        <v>0.11865</v>
      </c>
      <c r="S2770">
        <f>IMAGE("https://mitra.stanford.edu/kundaje/oak/projects/neuro-variants/variant_position/credible/roussos_2024/variant_figures/roussos_2024.adolescence.GLU/rs9862763_count_position.png",4,220,900)</f>
        <v/>
      </c>
      <c r="T2770">
        <f>IMAGE("https://mitra.stanford.edu/kundaje/oak/projects/neuro-variants/variant_position/credible/roussos_2024/variant_figures/roussos_2024.adolescence.GLU/rs9862763_profile_position.png",4,220,900)</f>
        <v/>
      </c>
    </row>
    <row r="2771">
      <c r="A2771" t="inlineStr">
        <is>
          <t>chr3</t>
        </is>
      </c>
      <c r="B2771" t="n">
        <v>135989606</v>
      </c>
      <c r="C2771" t="inlineStr">
        <is>
          <t>T</t>
        </is>
      </c>
      <c r="D2771" t="inlineStr">
        <is>
          <t>C</t>
        </is>
      </c>
      <c r="E2771" t="inlineStr">
        <is>
          <t>rs9836374</t>
        </is>
      </c>
      <c r="F2771" t="n">
        <v>-0.00802307712</v>
      </c>
      <c r="G2771" t="n">
        <v>0.599539592928789</v>
      </c>
      <c r="H2771" t="n">
        <v>0.009083215275292199</v>
      </c>
      <c r="I2771" t="n">
        <v>0.6451772885353608</v>
      </c>
      <c r="J2771" t="n">
        <v>0.1405076765901507</v>
      </c>
      <c r="K2771" t="n">
        <v>0.4882750580253653</v>
      </c>
      <c r="L2771" t="b">
        <v>0</v>
      </c>
      <c r="M2771" t="b">
        <v>0</v>
      </c>
      <c r="N2771" t="inlineStr">
        <is>
          <t>ref</t>
        </is>
      </c>
      <c r="O2771" t="n">
        <v>-100</v>
      </c>
      <c r="P2771" t="n">
        <v>0.008385</v>
      </c>
      <c r="Q2771" t="n">
        <v>-85</v>
      </c>
      <c r="R2771" t="n">
        <v>0.05902</v>
      </c>
      <c r="S2771">
        <f>IMAGE("https://mitra.stanford.edu/kundaje/oak/projects/neuro-variants/variant_position/credible/roussos_2024/variant_figures/roussos_2024.adolescence.GLU/rs9836374_count_position.png",4,220,900)</f>
        <v/>
      </c>
      <c r="T2771">
        <f>IMAGE("https://mitra.stanford.edu/kundaje/oak/projects/neuro-variants/variant_position/credible/roussos_2024/variant_figures/roussos_2024.adolescence.GLU/rs9836374_profile_position.png",4,220,900)</f>
        <v/>
      </c>
    </row>
    <row r="2772">
      <c r="A2772" t="inlineStr">
        <is>
          <t>chr3</t>
        </is>
      </c>
      <c r="B2772" t="n">
        <v>135990140</v>
      </c>
      <c r="C2772" t="inlineStr">
        <is>
          <t>G</t>
        </is>
      </c>
      <c r="D2772" t="inlineStr">
        <is>
          <t>A</t>
        </is>
      </c>
      <c r="E2772" t="inlineStr">
        <is>
          <t>rs34311570</t>
        </is>
      </c>
      <c r="F2772" t="n">
        <v>-0.09111248180000001</v>
      </c>
      <c r="G2772" t="n">
        <v>0.0136423916828713</v>
      </c>
      <c r="H2772" t="n">
        <v>0.023055158971521</v>
      </c>
      <c r="I2772" t="n">
        <v>0.0337041904352706</v>
      </c>
      <c r="J2772" t="n">
        <v>0.07550849818891051</v>
      </c>
      <c r="K2772" t="n">
        <v>0.6269662531877284</v>
      </c>
      <c r="L2772" t="b">
        <v>1</v>
      </c>
      <c r="M2772" t="b">
        <v>0</v>
      </c>
      <c r="N2772" t="inlineStr">
        <is>
          <t>ref</t>
        </is>
      </c>
      <c r="O2772" t="n">
        <v>35</v>
      </c>
      <c r="P2772" t="n">
        <v>0.003265</v>
      </c>
      <c r="Q2772" t="n">
        <v>85</v>
      </c>
      <c r="R2772" t="n">
        <v>0.0728</v>
      </c>
      <c r="S2772">
        <f>IMAGE("https://mitra.stanford.edu/kundaje/oak/projects/neuro-variants/variant_position/credible/roussos_2024/variant_figures/roussos_2024.adolescence.GLU/rs34311570_count_position.png",4,220,900)</f>
        <v/>
      </c>
      <c r="T2772">
        <f>IMAGE("https://mitra.stanford.edu/kundaje/oak/projects/neuro-variants/variant_position/credible/roussos_2024/variant_figures/roussos_2024.adolescence.GLU/rs34311570_profile_position.png",4,220,900)</f>
        <v/>
      </c>
    </row>
    <row r="2773">
      <c r="A2773" t="inlineStr">
        <is>
          <t>chr3</t>
        </is>
      </c>
      <c r="B2773" t="n">
        <v>136012398</v>
      </c>
      <c r="C2773" t="inlineStr">
        <is>
          <t>T</t>
        </is>
      </c>
      <c r="D2773" t="inlineStr">
        <is>
          <t>C</t>
        </is>
      </c>
      <c r="E2773" t="inlineStr">
        <is>
          <t>rs6809006</t>
        </is>
      </c>
      <c r="F2773" t="n">
        <v>-0.0156103244</v>
      </c>
      <c r="G2773" t="n">
        <v>0.2615636247828251</v>
      </c>
      <c r="H2773" t="n">
        <v>0.0157094114554108</v>
      </c>
      <c r="I2773" t="n">
        <v>0.1629615246009708</v>
      </c>
      <c r="J2773" t="n">
        <v>0.0601538890198683</v>
      </c>
      <c r="K2773" t="n">
        <v>0.6740625640136797</v>
      </c>
      <c r="L2773" t="b">
        <v>0</v>
      </c>
      <c r="M2773" t="b">
        <v>0</v>
      </c>
      <c r="N2773" t="inlineStr">
        <is>
          <t>ref</t>
        </is>
      </c>
      <c r="O2773" t="n">
        <v>-95</v>
      </c>
      <c r="P2773" t="n">
        <v>0.0141</v>
      </c>
      <c r="Q2773" t="n">
        <v>15</v>
      </c>
      <c r="R2773" t="n">
        <v>0.006958</v>
      </c>
      <c r="S2773">
        <f>IMAGE("https://mitra.stanford.edu/kundaje/oak/projects/neuro-variants/variant_position/credible/roussos_2024/variant_figures/roussos_2024.adolescence.GLU/rs6809006_count_position.png",4,220,900)</f>
        <v/>
      </c>
      <c r="T2773">
        <f>IMAGE("https://mitra.stanford.edu/kundaje/oak/projects/neuro-variants/variant_position/credible/roussos_2024/variant_figures/roussos_2024.adolescence.GLU/rs6809006_profile_position.png",4,220,900)</f>
        <v/>
      </c>
    </row>
    <row r="2774">
      <c r="A2774" t="inlineStr">
        <is>
          <t>chr3</t>
        </is>
      </c>
      <c r="B2774" t="n">
        <v>136021627</v>
      </c>
      <c r="C2774" t="inlineStr">
        <is>
          <t>G</t>
        </is>
      </c>
      <c r="D2774" t="inlineStr">
        <is>
          <t>A</t>
        </is>
      </c>
      <c r="E2774" t="inlineStr">
        <is>
          <t>rs4073308</t>
        </is>
      </c>
      <c r="F2774" t="n">
        <v>-0.0055668155</v>
      </c>
      <c r="G2774" t="n">
        <v>0.706467828984134</v>
      </c>
      <c r="H2774" t="n">
        <v>0.0136367659807938</v>
      </c>
      <c r="I2774" t="n">
        <v>0.2295923929165132</v>
      </c>
      <c r="J2774" t="n">
        <v>0.0435804559515899</v>
      </c>
      <c r="K2774" t="n">
        <v>0.7179416072680648</v>
      </c>
      <c r="L2774" t="b">
        <v>0</v>
      </c>
      <c r="M2774" t="b">
        <v>0</v>
      </c>
      <c r="N2774" t="inlineStr">
        <is>
          <t>ref</t>
        </is>
      </c>
      <c r="O2774" t="n">
        <v>-100</v>
      </c>
      <c r="P2774" t="n">
        <v>0.0065</v>
      </c>
      <c r="Q2774" t="n">
        <v>-100</v>
      </c>
      <c r="R2774" t="n">
        <v>0.04846</v>
      </c>
      <c r="S2774">
        <f>IMAGE("https://mitra.stanford.edu/kundaje/oak/projects/neuro-variants/variant_position/credible/roussos_2024/variant_figures/roussos_2024.adolescence.GLU/rs4073308_count_position.png",4,220,900)</f>
        <v/>
      </c>
      <c r="T2774">
        <f>IMAGE("https://mitra.stanford.edu/kundaje/oak/projects/neuro-variants/variant_position/credible/roussos_2024/variant_figures/roussos_2024.adolescence.GLU/rs4073308_profile_position.png",4,220,900)</f>
        <v/>
      </c>
    </row>
    <row r="2775">
      <c r="A2775" t="inlineStr">
        <is>
          <t>chr3</t>
        </is>
      </c>
      <c r="B2775" t="n">
        <v>136032494</v>
      </c>
      <c r="C2775" t="inlineStr">
        <is>
          <t>T</t>
        </is>
      </c>
      <c r="D2775" t="inlineStr">
        <is>
          <t>C</t>
        </is>
      </c>
      <c r="E2775" t="inlineStr">
        <is>
          <t>rs9877082</t>
        </is>
      </c>
      <c r="F2775" t="n">
        <v>0.009008577259999999</v>
      </c>
      <c r="G2775" t="n">
        <v>0.5318549654801709</v>
      </c>
      <c r="H2775" t="n">
        <v>0.0100777199882113</v>
      </c>
      <c r="I2775" t="n">
        <v>0.5071987922775116</v>
      </c>
      <c r="J2775" t="n">
        <v>0.071446228147259</v>
      </c>
      <c r="K2775" t="n">
        <v>0.6445421365977767</v>
      </c>
      <c r="L2775" t="b">
        <v>0</v>
      </c>
      <c r="M2775" t="b">
        <v>0</v>
      </c>
      <c r="N2775" t="inlineStr">
        <is>
          <t>alt</t>
        </is>
      </c>
      <c r="O2775" t="n">
        <v>5</v>
      </c>
      <c r="P2775" t="n">
        <v>0.0001831</v>
      </c>
      <c r="Q2775" t="n">
        <v>-60</v>
      </c>
      <c r="R2775" t="n">
        <v>0.0341</v>
      </c>
      <c r="S2775">
        <f>IMAGE("https://mitra.stanford.edu/kundaje/oak/projects/neuro-variants/variant_position/credible/roussos_2024/variant_figures/roussos_2024.adolescence.GLU/rs9877082_count_position.png",4,220,900)</f>
        <v/>
      </c>
      <c r="T2775">
        <f>IMAGE("https://mitra.stanford.edu/kundaje/oak/projects/neuro-variants/variant_position/credible/roussos_2024/variant_figures/roussos_2024.adolescence.GLU/rs9877082_profile_position.png",4,220,900)</f>
        <v/>
      </c>
    </row>
    <row r="2776">
      <c r="A2776" t="inlineStr">
        <is>
          <t>chr3</t>
        </is>
      </c>
      <c r="B2776" t="n">
        <v>136043056</v>
      </c>
      <c r="C2776" t="inlineStr">
        <is>
          <t>G</t>
        </is>
      </c>
      <c r="D2776" t="inlineStr">
        <is>
          <t>T</t>
        </is>
      </c>
      <c r="E2776" t="inlineStr">
        <is>
          <t>rs7643661</t>
        </is>
      </c>
      <c r="F2776" t="n">
        <v>0.004837921016</v>
      </c>
      <c r="G2776" t="n">
        <v>0.7271321133526982</v>
      </c>
      <c r="H2776" t="n">
        <v>0.0188990871833015</v>
      </c>
      <c r="I2776" t="n">
        <v>0.0714136904675092</v>
      </c>
      <c r="J2776" t="n">
        <v>0.3887133763422423</v>
      </c>
      <c r="K2776" t="n">
        <v>0.1717303562727999</v>
      </c>
      <c r="L2776" t="b">
        <v>0</v>
      </c>
      <c r="M2776" t="b">
        <v>0</v>
      </c>
      <c r="N2776" t="inlineStr">
        <is>
          <t>alt</t>
        </is>
      </c>
      <c r="O2776" t="n">
        <v>-100</v>
      </c>
      <c r="P2776" t="n">
        <v>0.02011</v>
      </c>
      <c r="Q2776" t="n">
        <v>-100</v>
      </c>
      <c r="R2776" t="n">
        <v>0.0788</v>
      </c>
      <c r="S2776">
        <f>IMAGE("https://mitra.stanford.edu/kundaje/oak/projects/neuro-variants/variant_position/credible/roussos_2024/variant_figures/roussos_2024.adolescence.GLU/rs7643661_count_position.png",4,220,900)</f>
        <v/>
      </c>
      <c r="T2776">
        <f>IMAGE("https://mitra.stanford.edu/kundaje/oak/projects/neuro-variants/variant_position/credible/roussos_2024/variant_figures/roussos_2024.adolescence.GLU/rs7643661_profile_position.png",4,220,900)</f>
        <v/>
      </c>
    </row>
    <row r="2777">
      <c r="A2777" t="inlineStr">
        <is>
          <t>chr3</t>
        </is>
      </c>
      <c r="B2777" t="n">
        <v>136046467</v>
      </c>
      <c r="C2777" t="inlineStr">
        <is>
          <t>A</t>
        </is>
      </c>
      <c r="D2777" t="inlineStr">
        <is>
          <t>G</t>
        </is>
      </c>
      <c r="E2777" t="inlineStr">
        <is>
          <t>rs9837355</t>
        </is>
      </c>
      <c r="F2777" t="n">
        <v>0.0045446401899999</v>
      </c>
      <c r="G2777" t="n">
        <v>0.6882872402450321</v>
      </c>
      <c r="H2777" t="n">
        <v>0.0264448558349527</v>
      </c>
      <c r="I2777" t="n">
        <v>0.0157533310154813</v>
      </c>
      <c r="J2777" t="n">
        <v>0.1072536453979752</v>
      </c>
      <c r="K2777" t="n">
        <v>0.5610740671742911</v>
      </c>
      <c r="L2777" t="b">
        <v>1</v>
      </c>
      <c r="M2777" t="b">
        <v>0</v>
      </c>
      <c r="N2777" t="inlineStr">
        <is>
          <t>alt</t>
        </is>
      </c>
      <c r="O2777" t="n">
        <v>-100</v>
      </c>
      <c r="P2777" t="n">
        <v>0.0134</v>
      </c>
      <c r="Q2777" t="n">
        <v>0</v>
      </c>
      <c r="R2777" t="n">
        <v>0</v>
      </c>
      <c r="S2777">
        <f>IMAGE("https://mitra.stanford.edu/kundaje/oak/projects/neuro-variants/variant_position/credible/roussos_2024/variant_figures/roussos_2024.adolescence.GLU/rs9837355_count_position.png",4,220,900)</f>
        <v/>
      </c>
      <c r="T2777">
        <f>IMAGE("https://mitra.stanford.edu/kundaje/oak/projects/neuro-variants/variant_position/credible/roussos_2024/variant_figures/roussos_2024.adolescence.GLU/rs9837355_profile_position.png",4,220,900)</f>
        <v/>
      </c>
    </row>
    <row r="2778">
      <c r="A2778" t="inlineStr">
        <is>
          <t>chr3</t>
        </is>
      </c>
      <c r="B2778" t="n">
        <v>136047322</v>
      </c>
      <c r="C2778" t="inlineStr">
        <is>
          <t>G</t>
        </is>
      </c>
      <c r="D2778" t="inlineStr">
        <is>
          <t>A</t>
        </is>
      </c>
      <c r="E2778" t="inlineStr">
        <is>
          <t>rs9880721</t>
        </is>
      </c>
      <c r="F2778" t="n">
        <v>-0.0203973058</v>
      </c>
      <c r="G2778" t="n">
        <v>0.2954137304567535</v>
      </c>
      <c r="H2778" t="n">
        <v>0.010997828687109</v>
      </c>
      <c r="I2778" t="n">
        <v>0.4099891684615472</v>
      </c>
      <c r="J2778" t="n">
        <v>0.156638160761872</v>
      </c>
      <c r="K2778" t="n">
        <v>0.4700363423658955</v>
      </c>
      <c r="L2778" t="b">
        <v>0</v>
      </c>
      <c r="M2778" t="b">
        <v>0</v>
      </c>
      <c r="N2778" t="inlineStr">
        <is>
          <t>ref</t>
        </is>
      </c>
      <c r="O2778" t="n">
        <v>0</v>
      </c>
      <c r="P2778" t="n">
        <v>0</v>
      </c>
      <c r="Q2778" t="n">
        <v>-100</v>
      </c>
      <c r="R2778" t="n">
        <v>0.2153</v>
      </c>
      <c r="S2778">
        <f>IMAGE("https://mitra.stanford.edu/kundaje/oak/projects/neuro-variants/variant_position/credible/roussos_2024/variant_figures/roussos_2024.adolescence.GLU/rs9880721_count_position.png",4,220,900)</f>
        <v/>
      </c>
      <c r="T2778">
        <f>IMAGE("https://mitra.stanford.edu/kundaje/oak/projects/neuro-variants/variant_position/credible/roussos_2024/variant_figures/roussos_2024.adolescence.GLU/rs9880721_profile_position.png",4,220,900)</f>
        <v/>
      </c>
    </row>
    <row r="2779">
      <c r="A2779" t="inlineStr">
        <is>
          <t>chr3</t>
        </is>
      </c>
      <c r="B2779" t="n">
        <v>136104082</v>
      </c>
      <c r="C2779" t="inlineStr">
        <is>
          <t>C</t>
        </is>
      </c>
      <c r="D2779" t="inlineStr">
        <is>
          <t>T</t>
        </is>
      </c>
      <c r="E2779" t="inlineStr">
        <is>
          <t>rs34864445</t>
        </is>
      </c>
      <c r="F2779" t="n">
        <v>-0.016094623</v>
      </c>
      <c r="G2779" t="n">
        <v>0.3736978798019485</v>
      </c>
      <c r="H2779" t="n">
        <v>0.0071261622535439</v>
      </c>
      <c r="I2779" t="n">
        <v>0.8962724209239901</v>
      </c>
      <c r="J2779" t="n">
        <v>0.09498824756556699</v>
      </c>
      <c r="K2779" t="n">
        <v>0.5940228527915654</v>
      </c>
      <c r="L2779" t="b">
        <v>0</v>
      </c>
      <c r="M2779" t="b">
        <v>0</v>
      </c>
      <c r="N2779" t="inlineStr">
        <is>
          <t>ref</t>
        </is>
      </c>
      <c r="O2779" t="n">
        <v>-25</v>
      </c>
      <c r="P2779" t="n">
        <v>0.003273</v>
      </c>
      <c r="Q2779" t="n">
        <v>-100</v>
      </c>
      <c r="R2779" t="n">
        <v>0.0454</v>
      </c>
      <c r="S2779">
        <f>IMAGE("https://mitra.stanford.edu/kundaje/oak/projects/neuro-variants/variant_position/credible/roussos_2024/variant_figures/roussos_2024.adolescence.GLU/rs34864445_count_position.png",4,220,900)</f>
        <v/>
      </c>
      <c r="T2779">
        <f>IMAGE("https://mitra.stanford.edu/kundaje/oak/projects/neuro-variants/variant_position/credible/roussos_2024/variant_figures/roussos_2024.adolescence.GLU/rs34864445_profile_position.png",4,220,900)</f>
        <v/>
      </c>
    </row>
    <row r="2780">
      <c r="A2780" t="inlineStr">
        <is>
          <t>chr3</t>
        </is>
      </c>
      <c r="B2780" t="n">
        <v>136142824</v>
      </c>
      <c r="C2780" t="inlineStr">
        <is>
          <t>G</t>
        </is>
      </c>
      <c r="D2780" t="inlineStr">
        <is>
          <t>T</t>
        </is>
      </c>
      <c r="E2780" t="inlineStr">
        <is>
          <t>rs9881400</t>
        </is>
      </c>
      <c r="F2780" t="n">
        <v>-0.00929423406</v>
      </c>
      <c r="G2780" t="n">
        <v>0.4743955438027987</v>
      </c>
      <c r="H2780" t="n">
        <v>0.008329914441594199</v>
      </c>
      <c r="I2780" t="n">
        <v>0.7517985667616022</v>
      </c>
      <c r="J2780" t="n">
        <v>0.2712390423730629</v>
      </c>
      <c r="K2780" t="n">
        <v>0.3016762397671386</v>
      </c>
      <c r="L2780" t="b">
        <v>0</v>
      </c>
      <c r="M2780" t="b">
        <v>0</v>
      </c>
      <c r="N2780" t="inlineStr">
        <is>
          <t>ref</t>
        </is>
      </c>
      <c r="O2780" t="n">
        <v>-95</v>
      </c>
      <c r="P2780" t="n">
        <v>0.00103</v>
      </c>
      <c r="Q2780" t="n">
        <v>75</v>
      </c>
      <c r="R2780" t="n">
        <v>0.0654</v>
      </c>
      <c r="S2780">
        <f>IMAGE("https://mitra.stanford.edu/kundaje/oak/projects/neuro-variants/variant_position/credible/roussos_2024/variant_figures/roussos_2024.adolescence.GLU/rs9881400_count_position.png",4,220,900)</f>
        <v/>
      </c>
      <c r="T2780">
        <f>IMAGE("https://mitra.stanford.edu/kundaje/oak/projects/neuro-variants/variant_position/credible/roussos_2024/variant_figures/roussos_2024.adolescence.GLU/rs9881400_profile_position.png",4,220,900)</f>
        <v/>
      </c>
    </row>
    <row r="2781">
      <c r="A2781" t="inlineStr">
        <is>
          <t>chr3</t>
        </is>
      </c>
      <c r="B2781" t="n">
        <v>136189336</v>
      </c>
      <c r="C2781" t="inlineStr">
        <is>
          <t>G</t>
        </is>
      </c>
      <c r="D2781" t="inlineStr">
        <is>
          <t>A</t>
        </is>
      </c>
      <c r="E2781" t="inlineStr">
        <is>
          <t>rs6769762</t>
        </is>
      </c>
      <c r="F2781" t="n">
        <v>0.0006496852</v>
      </c>
      <c r="G2781" t="n">
        <v>0.9082444360403432</v>
      </c>
      <c r="H2781" t="n">
        <v>0.0175772573524298</v>
      </c>
      <c r="I2781" t="n">
        <v>0.09042402332628981</v>
      </c>
      <c r="J2781" t="n">
        <v>0.181551892892099</v>
      </c>
      <c r="K2781" t="n">
        <v>0.4274916614149138</v>
      </c>
      <c r="L2781" t="b">
        <v>0</v>
      </c>
      <c r="M2781" t="b">
        <v>0</v>
      </c>
      <c r="N2781" t="inlineStr">
        <is>
          <t>alt</t>
        </is>
      </c>
      <c r="O2781" t="n">
        <v>-100</v>
      </c>
      <c r="P2781" t="n">
        <v>0.1613</v>
      </c>
      <c r="Q2781" t="n">
        <v>40</v>
      </c>
      <c r="R2781" t="n">
        <v>0.08655</v>
      </c>
      <c r="S2781">
        <f>IMAGE("https://mitra.stanford.edu/kundaje/oak/projects/neuro-variants/variant_position/credible/roussos_2024/variant_figures/roussos_2024.adolescence.GLU/rs6769762_count_position.png",4,220,900)</f>
        <v/>
      </c>
      <c r="T2781">
        <f>IMAGE("https://mitra.stanford.edu/kundaje/oak/projects/neuro-variants/variant_position/credible/roussos_2024/variant_figures/roussos_2024.adolescence.GLU/rs6769762_profile_position.png",4,220,900)</f>
        <v/>
      </c>
    </row>
    <row r="2782">
      <c r="A2782" t="inlineStr">
        <is>
          <t>chr3</t>
        </is>
      </c>
      <c r="B2782" t="n">
        <v>136215869</v>
      </c>
      <c r="C2782" t="inlineStr">
        <is>
          <t>G</t>
        </is>
      </c>
      <c r="D2782" t="inlineStr">
        <is>
          <t>A</t>
        </is>
      </c>
      <c r="E2782" t="inlineStr">
        <is>
          <t>rs28631273</t>
        </is>
      </c>
      <c r="F2782" t="n">
        <v>0.0116200680599999</v>
      </c>
      <c r="G2782" t="n">
        <v>0.4696168331386314</v>
      </c>
      <c r="H2782" t="n">
        <v>0.0093687135966081</v>
      </c>
      <c r="I2782" t="n">
        <v>0.6182128222274076</v>
      </c>
      <c r="J2782" t="n">
        <v>0.0415114559444455</v>
      </c>
      <c r="K2782" t="n">
        <v>0.7292029719503993</v>
      </c>
      <c r="L2782" t="b">
        <v>0</v>
      </c>
      <c r="M2782" t="b">
        <v>0</v>
      </c>
      <c r="N2782" t="inlineStr">
        <is>
          <t>alt</t>
        </is>
      </c>
      <c r="O2782" t="n">
        <v>0</v>
      </c>
      <c r="P2782" t="n">
        <v>0</v>
      </c>
      <c r="Q2782" t="n">
        <v>80</v>
      </c>
      <c r="R2782" t="n">
        <v>0.06809999999999999</v>
      </c>
      <c r="S2782">
        <f>IMAGE("https://mitra.stanford.edu/kundaje/oak/projects/neuro-variants/variant_position/credible/roussos_2024/variant_figures/roussos_2024.adolescence.GLU/rs28631273_count_position.png",4,220,900)</f>
        <v/>
      </c>
      <c r="T2782">
        <f>IMAGE("https://mitra.stanford.edu/kundaje/oak/projects/neuro-variants/variant_position/credible/roussos_2024/variant_figures/roussos_2024.adolescence.GLU/rs28631273_profile_position.png",4,220,900)</f>
        <v/>
      </c>
    </row>
    <row r="2783">
      <c r="A2783" t="inlineStr">
        <is>
          <t>chr3</t>
        </is>
      </c>
      <c r="B2783" t="n">
        <v>136234378</v>
      </c>
      <c r="C2783" t="inlineStr">
        <is>
          <t>A</t>
        </is>
      </c>
      <c r="D2783" t="inlineStr">
        <is>
          <t>G</t>
        </is>
      </c>
      <c r="E2783" t="inlineStr">
        <is>
          <t>rs9826454</t>
        </is>
      </c>
      <c r="F2783" t="n">
        <v>0.0511763067999999</v>
      </c>
      <c r="G2783" t="n">
        <v>0.0598244796573317</v>
      </c>
      <c r="H2783" t="n">
        <v>0.024577943170023</v>
      </c>
      <c r="I2783" t="n">
        <v>0.02491328688836</v>
      </c>
      <c r="J2783" t="n">
        <v>0.3153253173871729</v>
      </c>
      <c r="K2783" t="n">
        <v>0.25471478493662</v>
      </c>
      <c r="L2783" t="b">
        <v>0</v>
      </c>
      <c r="M2783" t="b">
        <v>0</v>
      </c>
      <c r="N2783" t="inlineStr">
        <is>
          <t>alt</t>
        </is>
      </c>
      <c r="O2783" t="n">
        <v>100</v>
      </c>
      <c r="P2783" t="n">
        <v>0.003998</v>
      </c>
      <c r="Q2783" t="n">
        <v>-70</v>
      </c>
      <c r="R2783" t="n">
        <v>0.01251</v>
      </c>
      <c r="S2783">
        <f>IMAGE("https://mitra.stanford.edu/kundaje/oak/projects/neuro-variants/variant_position/credible/roussos_2024/variant_figures/roussos_2024.adolescence.GLU/rs9826454_count_position.png",4,220,900)</f>
        <v/>
      </c>
      <c r="T2783">
        <f>IMAGE("https://mitra.stanford.edu/kundaje/oak/projects/neuro-variants/variant_position/credible/roussos_2024/variant_figures/roussos_2024.adolescence.GLU/rs9826454_profile_position.png",4,220,900)</f>
        <v/>
      </c>
    </row>
    <row r="2784">
      <c r="A2784" t="inlineStr">
        <is>
          <t>chr3</t>
        </is>
      </c>
      <c r="B2784" t="n">
        <v>136234634</v>
      </c>
      <c r="C2784" t="inlineStr">
        <is>
          <t>C</t>
        </is>
      </c>
      <c r="D2784" t="inlineStr">
        <is>
          <t>T</t>
        </is>
      </c>
      <c r="E2784" t="inlineStr">
        <is>
          <t>rs661739</t>
        </is>
      </c>
      <c r="F2784" t="n">
        <v>-0.0334956936</v>
      </c>
      <c r="G2784" t="n">
        <v>0.1563546728931024</v>
      </c>
      <c r="H2784" t="n">
        <v>0.009176399869197599</v>
      </c>
      <c r="I2784" t="n">
        <v>0.6206620388983797</v>
      </c>
      <c r="J2784" t="n">
        <v>0.221061505597588</v>
      </c>
      <c r="K2784" t="n">
        <v>0.3741551737996894</v>
      </c>
      <c r="L2784" t="b">
        <v>0</v>
      </c>
      <c r="M2784" t="b">
        <v>0</v>
      </c>
      <c r="N2784" t="inlineStr">
        <is>
          <t>ref</t>
        </is>
      </c>
      <c r="O2784" t="n">
        <v>75</v>
      </c>
      <c r="P2784" t="n">
        <v>0.00515</v>
      </c>
      <c r="Q2784" t="n">
        <v>50</v>
      </c>
      <c r="R2784" t="n">
        <v>0.02454</v>
      </c>
      <c r="S2784">
        <f>IMAGE("https://mitra.stanford.edu/kundaje/oak/projects/neuro-variants/variant_position/credible/roussos_2024/variant_figures/roussos_2024.adolescence.GLU/rs661739_count_position.png",4,220,900)</f>
        <v/>
      </c>
      <c r="T2784">
        <f>IMAGE("https://mitra.stanford.edu/kundaje/oak/projects/neuro-variants/variant_position/credible/roussos_2024/variant_figures/roussos_2024.adolescence.GLU/rs661739_profile_position.png",4,220,900)</f>
        <v/>
      </c>
    </row>
    <row r="2785">
      <c r="A2785" t="inlineStr">
        <is>
          <t>chr3</t>
        </is>
      </c>
      <c r="B2785" t="n">
        <v>136286083</v>
      </c>
      <c r="C2785" t="inlineStr">
        <is>
          <t>C</t>
        </is>
      </c>
      <c r="D2785" t="inlineStr">
        <is>
          <t>T</t>
        </is>
      </c>
      <c r="E2785" t="inlineStr">
        <is>
          <t>rs1153877</t>
        </is>
      </c>
      <c r="F2785" t="n">
        <v>-0.00621935628</v>
      </c>
      <c r="G2785" t="n">
        <v>0.6660242865662351</v>
      </c>
      <c r="H2785" t="n">
        <v>0.0163525288958997</v>
      </c>
      <c r="I2785" t="n">
        <v>0.1186192097070504</v>
      </c>
      <c r="J2785" t="n">
        <v>0.0457737674232519</v>
      </c>
      <c r="K2785" t="n">
        <v>0.7153875142998738</v>
      </c>
      <c r="L2785" t="b">
        <v>0</v>
      </c>
      <c r="M2785" t="b">
        <v>0</v>
      </c>
      <c r="N2785" t="inlineStr">
        <is>
          <t>ref</t>
        </is>
      </c>
      <c r="O2785" t="n">
        <v>80</v>
      </c>
      <c r="P2785" t="n">
        <v>0.001756</v>
      </c>
      <c r="Q2785" t="n">
        <v>-100</v>
      </c>
      <c r="R2785" t="n">
        <v>0.074</v>
      </c>
      <c r="S2785">
        <f>IMAGE("https://mitra.stanford.edu/kundaje/oak/projects/neuro-variants/variant_position/credible/roussos_2024/variant_figures/roussos_2024.adolescence.GLU/rs1153877_count_position.png",4,220,900)</f>
        <v/>
      </c>
      <c r="T2785">
        <f>IMAGE("https://mitra.stanford.edu/kundaje/oak/projects/neuro-variants/variant_position/credible/roussos_2024/variant_figures/roussos_2024.adolescence.GLU/rs1153877_profile_position.png",4,220,900)</f>
        <v/>
      </c>
    </row>
    <row r="2786">
      <c r="A2786" t="inlineStr">
        <is>
          <t>chr3</t>
        </is>
      </c>
      <c r="B2786" t="n">
        <v>136302583</v>
      </c>
      <c r="C2786" t="inlineStr">
        <is>
          <t>C</t>
        </is>
      </c>
      <c r="D2786" t="inlineStr">
        <is>
          <t>T</t>
        </is>
      </c>
      <c r="E2786" t="inlineStr">
        <is>
          <t>rs146516051</t>
        </is>
      </c>
      <c r="F2786" t="n">
        <v>0.0012770775</v>
      </c>
      <c r="G2786" t="n">
        <v>0.7774457324000843</v>
      </c>
      <c r="H2786" t="n">
        <v>0.0231840691931955</v>
      </c>
      <c r="I2786" t="n">
        <v>0.030805672892016</v>
      </c>
      <c r="J2786" t="n">
        <v>0.2401526030392009</v>
      </c>
      <c r="K2786" t="n">
        <v>0.3296871330492049</v>
      </c>
      <c r="L2786" t="b">
        <v>0</v>
      </c>
      <c r="M2786" t="b">
        <v>0</v>
      </c>
      <c r="N2786" t="inlineStr">
        <is>
          <t>alt</t>
        </is>
      </c>
      <c r="O2786" t="n">
        <v>-95</v>
      </c>
      <c r="P2786" t="n">
        <v>0.007507</v>
      </c>
      <c r="Q2786" t="n">
        <v>100</v>
      </c>
      <c r="R2786" t="n">
        <v>0.0948</v>
      </c>
      <c r="S2786">
        <f>IMAGE("https://mitra.stanford.edu/kundaje/oak/projects/neuro-variants/variant_position/credible/roussos_2024/variant_figures/roussos_2024.adolescence.GLU/rs146516051_count_position.png",4,220,900)</f>
        <v/>
      </c>
      <c r="T2786">
        <f>IMAGE("https://mitra.stanford.edu/kundaje/oak/projects/neuro-variants/variant_position/credible/roussos_2024/variant_figures/roussos_2024.adolescence.GLU/rs146516051_profile_position.png",4,220,900)</f>
        <v/>
      </c>
    </row>
    <row r="2787">
      <c r="A2787" t="inlineStr">
        <is>
          <t>chr3</t>
        </is>
      </c>
      <c r="B2787" t="n">
        <v>136349853</v>
      </c>
      <c r="C2787" t="inlineStr">
        <is>
          <t>A</t>
        </is>
      </c>
      <c r="D2787" t="inlineStr">
        <is>
          <t>T</t>
        </is>
      </c>
      <c r="E2787" t="inlineStr">
        <is>
          <t>rs480162</t>
        </is>
      </c>
      <c r="F2787" t="n">
        <v>-0.005436826746</v>
      </c>
      <c r="G2787" t="n">
        <v>0.7131168332578591</v>
      </c>
      <c r="H2787" t="n">
        <v>0.0224215937859727</v>
      </c>
      <c r="I2787" t="n">
        <v>0.0327600850568723</v>
      </c>
      <c r="J2787" t="n">
        <v>0.1179787241642911</v>
      </c>
      <c r="K2787" t="n">
        <v>0.5392308506395425</v>
      </c>
      <c r="L2787" t="b">
        <v>0</v>
      </c>
      <c r="M2787" t="b">
        <v>0</v>
      </c>
      <c r="N2787" t="inlineStr">
        <is>
          <t>ref</t>
        </is>
      </c>
      <c r="O2787" t="n">
        <v>25</v>
      </c>
      <c r="P2787" t="n">
        <v>0.00621</v>
      </c>
      <c r="Q2787" t="n">
        <v>100</v>
      </c>
      <c r="R2787" t="n">
        <v>0.03824</v>
      </c>
      <c r="S2787">
        <f>IMAGE("https://mitra.stanford.edu/kundaje/oak/projects/neuro-variants/variant_position/credible/roussos_2024/variant_figures/roussos_2024.adolescence.GLU/rs480162_count_position.png",4,220,900)</f>
        <v/>
      </c>
      <c r="T2787">
        <f>IMAGE("https://mitra.stanford.edu/kundaje/oak/projects/neuro-variants/variant_position/credible/roussos_2024/variant_figures/roussos_2024.adolescence.GLU/rs480162_profile_position.png",4,220,900)</f>
        <v/>
      </c>
    </row>
    <row r="2788">
      <c r="A2788" t="inlineStr">
        <is>
          <t>chr3</t>
        </is>
      </c>
      <c r="B2788" t="n">
        <v>136443779</v>
      </c>
      <c r="C2788" t="inlineStr">
        <is>
          <t>A</t>
        </is>
      </c>
      <c r="D2788" t="inlineStr">
        <is>
          <t>C</t>
        </is>
      </c>
      <c r="E2788" t="inlineStr">
        <is>
          <t>rs35418151</t>
        </is>
      </c>
      <c r="F2788" t="n">
        <v>0.00823127676</v>
      </c>
      <c r="G2788" t="n">
        <v>0.6093758336829787</v>
      </c>
      <c r="H2788" t="n">
        <v>0.0150972104960148</v>
      </c>
      <c r="I2788" t="n">
        <v>0.1724292074468779</v>
      </c>
      <c r="J2788" t="n">
        <v>0.0311293053561094</v>
      </c>
      <c r="K2788" t="n">
        <v>0.7644759160675867</v>
      </c>
      <c r="L2788" t="b">
        <v>0</v>
      </c>
      <c r="M2788" t="b">
        <v>0</v>
      </c>
      <c r="N2788" t="inlineStr">
        <is>
          <t>alt</t>
        </is>
      </c>
      <c r="O2788" t="n">
        <v>100</v>
      </c>
      <c r="P2788" t="n">
        <v>0.004154</v>
      </c>
      <c r="Q2788" t="n">
        <v>35</v>
      </c>
      <c r="R2788" t="n">
        <v>0.05222</v>
      </c>
      <c r="S2788">
        <f>IMAGE("https://mitra.stanford.edu/kundaje/oak/projects/neuro-variants/variant_position/credible/roussos_2024/variant_figures/roussos_2024.adolescence.GLU/rs35418151_count_position.png",4,220,900)</f>
        <v/>
      </c>
      <c r="T2788">
        <f>IMAGE("https://mitra.stanford.edu/kundaje/oak/projects/neuro-variants/variant_position/credible/roussos_2024/variant_figures/roussos_2024.adolescence.GLU/rs35418151_profile_position.png",4,220,900)</f>
        <v/>
      </c>
    </row>
    <row r="2789">
      <c r="A2789" t="inlineStr">
        <is>
          <t>chr3</t>
        </is>
      </c>
      <c r="B2789" t="n">
        <v>136446853</v>
      </c>
      <c r="C2789" t="inlineStr">
        <is>
          <t>G</t>
        </is>
      </c>
      <c r="D2789" t="inlineStr">
        <is>
          <t>A</t>
        </is>
      </c>
      <c r="E2789" t="inlineStr">
        <is>
          <t>rs10804640</t>
        </is>
      </c>
      <c r="F2789" t="n">
        <v>0.048465098</v>
      </c>
      <c r="G2789" t="n">
        <v>0.0665782987739529</v>
      </c>
      <c r="H2789" t="n">
        <v>0.0117320088153396</v>
      </c>
      <c r="I2789" t="n">
        <v>0.3628048445255135</v>
      </c>
      <c r="J2789" t="n">
        <v>0.1500167891920469</v>
      </c>
      <c r="K2789" t="n">
        <v>0.4748941634275471</v>
      </c>
      <c r="L2789" t="b">
        <v>0</v>
      </c>
      <c r="M2789" t="b">
        <v>0</v>
      </c>
      <c r="N2789" t="inlineStr">
        <is>
          <t>alt</t>
        </is>
      </c>
      <c r="O2789" t="n">
        <v>-100</v>
      </c>
      <c r="P2789" t="n">
        <v>0.003777</v>
      </c>
      <c r="Q2789" t="n">
        <v>-55</v>
      </c>
      <c r="R2789" t="n">
        <v>0.0434</v>
      </c>
      <c r="S2789">
        <f>IMAGE("https://mitra.stanford.edu/kundaje/oak/projects/neuro-variants/variant_position/credible/roussos_2024/variant_figures/roussos_2024.adolescence.GLU/rs10804640_count_position.png",4,220,900)</f>
        <v/>
      </c>
      <c r="T2789">
        <f>IMAGE("https://mitra.stanford.edu/kundaje/oak/projects/neuro-variants/variant_position/credible/roussos_2024/variant_figures/roussos_2024.adolescence.GLU/rs10804640_profile_position.png",4,220,900)</f>
        <v/>
      </c>
    </row>
    <row r="2790">
      <c r="A2790" t="inlineStr">
        <is>
          <t>chr3</t>
        </is>
      </c>
      <c r="B2790" t="n">
        <v>136476946</v>
      </c>
      <c r="C2790" t="inlineStr">
        <is>
          <t>A</t>
        </is>
      </c>
      <c r="D2790" t="inlineStr">
        <is>
          <t>T</t>
        </is>
      </c>
      <c r="E2790" t="inlineStr">
        <is>
          <t>rs1394094</t>
        </is>
      </c>
      <c r="F2790" t="n">
        <v>0.001454149112</v>
      </c>
      <c r="G2790" t="n">
        <v>0.89585511353988</v>
      </c>
      <c r="H2790" t="n">
        <v>0.0168826070865881</v>
      </c>
      <c r="I2790" t="n">
        <v>0.1159093481471892</v>
      </c>
      <c r="J2790" t="n">
        <v>0.0143415421765936</v>
      </c>
      <c r="K2790" t="n">
        <v>0.8488560258955916</v>
      </c>
      <c r="L2790" t="b">
        <v>0</v>
      </c>
      <c r="M2790" t="b">
        <v>0</v>
      </c>
      <c r="N2790" t="inlineStr">
        <is>
          <t>alt</t>
        </is>
      </c>
      <c r="O2790" t="n">
        <v>-40</v>
      </c>
      <c r="P2790" t="n">
        <v>0.002289</v>
      </c>
      <c r="Q2790" t="n">
        <v>-90</v>
      </c>
      <c r="R2790" t="n">
        <v>0.05057</v>
      </c>
      <c r="S2790">
        <f>IMAGE("https://mitra.stanford.edu/kundaje/oak/projects/neuro-variants/variant_position/credible/roussos_2024/variant_figures/roussos_2024.adolescence.GLU/rs1394094_count_position.png",4,220,900)</f>
        <v/>
      </c>
      <c r="T2790">
        <f>IMAGE("https://mitra.stanford.edu/kundaje/oak/projects/neuro-variants/variant_position/credible/roussos_2024/variant_figures/roussos_2024.adolescence.GLU/rs1394094_profile_position.png",4,220,900)</f>
        <v/>
      </c>
    </row>
    <row r="2791">
      <c r="A2791" t="inlineStr">
        <is>
          <t>chr3</t>
        </is>
      </c>
      <c r="B2791" t="n">
        <v>136494468</v>
      </c>
      <c r="C2791" t="inlineStr">
        <is>
          <t>T</t>
        </is>
      </c>
      <c r="D2791" t="inlineStr">
        <is>
          <t>C</t>
        </is>
      </c>
      <c r="E2791" t="inlineStr">
        <is>
          <t>rs73226190</t>
        </is>
      </c>
      <c r="F2791" t="n">
        <v>0.079289819</v>
      </c>
      <c r="G2791" t="n">
        <v>0.0154189021452323</v>
      </c>
      <c r="H2791" t="n">
        <v>0.0167734551251812</v>
      </c>
      <c r="I2791" t="n">
        <v>0.1286370892157164</v>
      </c>
      <c r="J2791" t="n">
        <v>0.008193125718898801</v>
      </c>
      <c r="K2791" t="n">
        <v>0.8904987726112374</v>
      </c>
      <c r="L2791" t="b">
        <v>1</v>
      </c>
      <c r="M2791" t="b">
        <v>0</v>
      </c>
      <c r="N2791" t="inlineStr">
        <is>
          <t>alt</t>
        </is>
      </c>
      <c r="O2791" t="n">
        <v>-100</v>
      </c>
      <c r="P2791" t="n">
        <v>0.0415</v>
      </c>
      <c r="Q2791" t="n">
        <v>20</v>
      </c>
      <c r="R2791" t="n">
        <v>0.01076</v>
      </c>
      <c r="S2791">
        <f>IMAGE("https://mitra.stanford.edu/kundaje/oak/projects/neuro-variants/variant_position/credible/roussos_2024/variant_figures/roussos_2024.adolescence.GLU/rs73226190_count_position.png",4,220,900)</f>
        <v/>
      </c>
      <c r="T2791">
        <f>IMAGE("https://mitra.stanford.edu/kundaje/oak/projects/neuro-variants/variant_position/credible/roussos_2024/variant_figures/roussos_2024.adolescence.GLU/rs73226190_profile_position.png",4,220,900)</f>
        <v/>
      </c>
    </row>
    <row r="2792">
      <c r="A2792" t="inlineStr">
        <is>
          <t>chr3</t>
        </is>
      </c>
      <c r="B2792" t="n">
        <v>136526973</v>
      </c>
      <c r="C2792" t="inlineStr">
        <is>
          <t>G</t>
        </is>
      </c>
      <c r="D2792" t="inlineStr">
        <is>
          <t>A</t>
        </is>
      </c>
      <c r="E2792" t="inlineStr">
        <is>
          <t>rs1070228</t>
        </is>
      </c>
      <c r="F2792" t="n">
        <v>-0.00611225468</v>
      </c>
      <c r="G2792" t="n">
        <v>0.6854773181567946</v>
      </c>
      <c r="H2792" t="n">
        <v>0.0085615007560475</v>
      </c>
      <c r="I2792" t="n">
        <v>0.6828031440813913</v>
      </c>
      <c r="J2792" t="n">
        <v>0.1110672925105914</v>
      </c>
      <c r="K2792" t="n">
        <v>0.5542187175872475</v>
      </c>
      <c r="L2792" t="b">
        <v>0</v>
      </c>
      <c r="M2792" t="b">
        <v>0</v>
      </c>
      <c r="N2792" t="inlineStr">
        <is>
          <t>ref</t>
        </is>
      </c>
      <c r="O2792" t="n">
        <v>-75</v>
      </c>
      <c r="P2792" t="n">
        <v>0.007860000000000001</v>
      </c>
      <c r="Q2792" t="n">
        <v>-90</v>
      </c>
      <c r="R2792" t="n">
        <v>0.05328</v>
      </c>
      <c r="S2792">
        <f>IMAGE("https://mitra.stanford.edu/kundaje/oak/projects/neuro-variants/variant_position/credible/roussos_2024/variant_figures/roussos_2024.adolescence.GLU/rs1070228_count_position.png",4,220,900)</f>
        <v/>
      </c>
      <c r="T2792">
        <f>IMAGE("https://mitra.stanford.edu/kundaje/oak/projects/neuro-variants/variant_position/credible/roussos_2024/variant_figures/roussos_2024.adolescence.GLU/rs1070228_profile_position.png",4,220,900)</f>
        <v/>
      </c>
    </row>
    <row r="2793">
      <c r="A2793" t="inlineStr">
        <is>
          <t>chr3</t>
        </is>
      </c>
      <c r="B2793" t="n">
        <v>136789166</v>
      </c>
      <c r="C2793" t="inlineStr">
        <is>
          <t>C</t>
        </is>
      </c>
      <c r="D2793" t="inlineStr">
        <is>
          <t>A</t>
        </is>
      </c>
      <c r="E2793" t="inlineStr">
        <is>
          <t>rs1280622</t>
        </is>
      </c>
      <c r="F2793" t="n">
        <v>-0.0471058194</v>
      </c>
      <c r="G2793" t="n">
        <v>0.0723100517594142</v>
      </c>
      <c r="H2793" t="n">
        <v>0.008844967682945799</v>
      </c>
      <c r="I2793" t="n">
        <v>0.6758577918062737</v>
      </c>
      <c r="J2793" t="n">
        <v>0.115922583963821</v>
      </c>
      <c r="K2793" t="n">
        <v>0.5449293045151451</v>
      </c>
      <c r="L2793" t="b">
        <v>0</v>
      </c>
      <c r="M2793" t="b">
        <v>0</v>
      </c>
      <c r="N2793" t="inlineStr">
        <is>
          <t>ref</t>
        </is>
      </c>
      <c r="O2793" t="n">
        <v>-75</v>
      </c>
      <c r="P2793" t="n">
        <v>0.01358</v>
      </c>
      <c r="Q2793" t="n">
        <v>-5</v>
      </c>
      <c r="R2793" t="n">
        <v>0.01007</v>
      </c>
      <c r="S2793">
        <f>IMAGE("https://mitra.stanford.edu/kundaje/oak/projects/neuro-variants/variant_position/credible/roussos_2024/variant_figures/roussos_2024.adolescence.GLU/rs1280622_count_position.png",4,220,900)</f>
        <v/>
      </c>
      <c r="T2793">
        <f>IMAGE("https://mitra.stanford.edu/kundaje/oak/projects/neuro-variants/variant_position/credible/roussos_2024/variant_figures/roussos_2024.adolescence.GLU/rs1280622_profile_position.png",4,220,900)</f>
        <v/>
      </c>
    </row>
    <row r="2794">
      <c r="A2794" t="inlineStr">
        <is>
          <t>chr3</t>
        </is>
      </c>
      <c r="B2794" t="n">
        <v>136791759</v>
      </c>
      <c r="C2794" t="inlineStr">
        <is>
          <t>G</t>
        </is>
      </c>
      <c r="D2794" t="inlineStr">
        <is>
          <t>T</t>
        </is>
      </c>
      <c r="E2794" t="inlineStr">
        <is>
          <t>rs56695781</t>
        </is>
      </c>
      <c r="F2794" t="n">
        <v>-0.0640615154</v>
      </c>
      <c r="G2794" t="n">
        <v>0.0376688262277542</v>
      </c>
      <c r="H2794" t="n">
        <v>0.0185012065110539</v>
      </c>
      <c r="I2794" t="n">
        <v>0.0742091222208231</v>
      </c>
      <c r="J2794" t="n">
        <v>0.2758628573061563</v>
      </c>
      <c r="K2794" t="n">
        <v>0.3016779281853197</v>
      </c>
      <c r="L2794" t="b">
        <v>0</v>
      </c>
      <c r="M2794" t="b">
        <v>0</v>
      </c>
      <c r="N2794" t="inlineStr">
        <is>
          <t>ref</t>
        </is>
      </c>
      <c r="O2794" t="n">
        <v>100</v>
      </c>
      <c r="P2794" t="n">
        <v>0.02892</v>
      </c>
      <c r="Q2794" t="n">
        <v>-30</v>
      </c>
      <c r="R2794" t="n">
        <v>0.0536</v>
      </c>
      <c r="S2794">
        <f>IMAGE("https://mitra.stanford.edu/kundaje/oak/projects/neuro-variants/variant_position/credible/roussos_2024/variant_figures/roussos_2024.adolescence.GLU/rs56695781_count_position.png",4,220,900)</f>
        <v/>
      </c>
      <c r="T2794">
        <f>IMAGE("https://mitra.stanford.edu/kundaje/oak/projects/neuro-variants/variant_position/credible/roussos_2024/variant_figures/roussos_2024.adolescence.GLU/rs56695781_profile_position.png",4,220,900)</f>
        <v/>
      </c>
    </row>
    <row r="2795">
      <c r="A2795" t="inlineStr">
        <is>
          <t>chr3</t>
        </is>
      </c>
      <c r="B2795" t="n">
        <v>136794440</v>
      </c>
      <c r="C2795" t="inlineStr">
        <is>
          <t>T</t>
        </is>
      </c>
      <c r="D2795" t="inlineStr">
        <is>
          <t>C</t>
        </is>
      </c>
      <c r="E2795" t="inlineStr">
        <is>
          <t>rs4420814</t>
        </is>
      </c>
      <c r="F2795" t="n">
        <v>0.0189259492</v>
      </c>
      <c r="G2795" t="n">
        <v>0.3055758017847981</v>
      </c>
      <c r="H2795" t="n">
        <v>0.0112520766092569</v>
      </c>
      <c r="I2795" t="n">
        <v>0.4048005183201149</v>
      </c>
      <c r="J2795" t="n">
        <v>0.0900000714433704</v>
      </c>
      <c r="K2795" t="n">
        <v>0.5960818550048377</v>
      </c>
      <c r="L2795" t="b">
        <v>0</v>
      </c>
      <c r="M2795" t="b">
        <v>0</v>
      </c>
      <c r="N2795" t="inlineStr">
        <is>
          <t>alt</t>
        </is>
      </c>
      <c r="O2795" t="n">
        <v>-20</v>
      </c>
      <c r="P2795" t="n">
        <v>0.003906</v>
      </c>
      <c r="Q2795" t="n">
        <v>-20</v>
      </c>
      <c r="R2795" t="n">
        <v>0.03534</v>
      </c>
      <c r="S2795">
        <f>IMAGE("https://mitra.stanford.edu/kundaje/oak/projects/neuro-variants/variant_position/credible/roussos_2024/variant_figures/roussos_2024.adolescence.GLU/rs4420814_count_position.png",4,220,900)</f>
        <v/>
      </c>
      <c r="T2795">
        <f>IMAGE("https://mitra.stanford.edu/kundaje/oak/projects/neuro-variants/variant_position/credible/roussos_2024/variant_figures/roussos_2024.adolescence.GLU/rs4420814_profile_position.png",4,220,900)</f>
        <v/>
      </c>
    </row>
    <row r="2796">
      <c r="A2796" t="inlineStr">
        <is>
          <t>chr3</t>
        </is>
      </c>
      <c r="B2796" t="n">
        <v>142964032</v>
      </c>
      <c r="C2796" t="inlineStr">
        <is>
          <t>G</t>
        </is>
      </c>
      <c r="D2796" t="inlineStr">
        <is>
          <t>T</t>
        </is>
      </c>
      <c r="E2796" t="inlineStr">
        <is>
          <t>rs149346914</t>
        </is>
      </c>
      <c r="F2796" t="n">
        <v>-0.0210870528</v>
      </c>
      <c r="G2796" t="n">
        <v>0.2862080409996793</v>
      </c>
      <c r="H2796" t="n">
        <v>0.0227587934656767</v>
      </c>
      <c r="I2796" t="n">
        <v>0.0325970380107554</v>
      </c>
      <c r="J2796" t="n">
        <v>0.8769573697408749</v>
      </c>
      <c r="K2796" t="n">
        <v>0.0045867943437419</v>
      </c>
      <c r="L2796" t="b">
        <v>0</v>
      </c>
      <c r="M2796" t="b">
        <v>0</v>
      </c>
      <c r="N2796" t="inlineStr">
        <is>
          <t>ref</t>
        </is>
      </c>
      <c r="O2796" t="n">
        <v>-35</v>
      </c>
      <c r="P2796" t="n">
        <v>0.00679</v>
      </c>
      <c r="Q2796" t="n">
        <v>-15</v>
      </c>
      <c r="R2796" t="n">
        <v>0.008240000000000001</v>
      </c>
      <c r="S2796">
        <f>IMAGE("https://mitra.stanford.edu/kundaje/oak/projects/neuro-variants/variant_position/credible/roussos_2024/variant_figures/roussos_2024.adolescence.GLU/rs149346914_count_position.png",4,220,900)</f>
        <v/>
      </c>
      <c r="T2796">
        <f>IMAGE("https://mitra.stanford.edu/kundaje/oak/projects/neuro-variants/variant_position/credible/roussos_2024/variant_figures/roussos_2024.adolescence.GLU/rs149346914_profile_position.png",4,220,900)</f>
        <v/>
      </c>
    </row>
    <row r="2797">
      <c r="A2797" t="inlineStr">
        <is>
          <t>chr3</t>
        </is>
      </c>
      <c r="B2797" t="n">
        <v>143003051</v>
      </c>
      <c r="C2797" t="inlineStr">
        <is>
          <t>G</t>
        </is>
      </c>
      <c r="D2797" t="inlineStr">
        <is>
          <t>T</t>
        </is>
      </c>
      <c r="E2797" t="inlineStr">
        <is>
          <t>rs4683442</t>
        </is>
      </c>
      <c r="F2797" t="n">
        <v>0.007526412344</v>
      </c>
      <c r="G2797" t="n">
        <v>0.6185247732001683</v>
      </c>
      <c r="H2797" t="n">
        <v>0.033197300559799</v>
      </c>
      <c r="I2797" t="n">
        <v>0.0056969751471397</v>
      </c>
      <c r="J2797" t="n">
        <v>0.2798936922648262</v>
      </c>
      <c r="K2797" t="n">
        <v>0.2935840159440542</v>
      </c>
      <c r="L2797" t="b">
        <v>1</v>
      </c>
      <c r="M2797" t="b">
        <v>1</v>
      </c>
      <c r="N2797" t="inlineStr">
        <is>
          <t>alt</t>
        </is>
      </c>
      <c r="O2797" t="n">
        <v>55</v>
      </c>
      <c r="P2797" t="n">
        <v>0.003624</v>
      </c>
      <c r="Q2797" t="n">
        <v>-100</v>
      </c>
      <c r="R2797" t="n">
        <v>0.09923999999999999</v>
      </c>
      <c r="S2797">
        <f>IMAGE("https://mitra.stanford.edu/kundaje/oak/projects/neuro-variants/variant_position/credible/roussos_2024/variant_figures/roussos_2024.adolescence.GLU/rs4683442_count_position.png",4,220,900)</f>
        <v/>
      </c>
      <c r="T2797">
        <f>IMAGE("https://mitra.stanford.edu/kundaje/oak/projects/neuro-variants/variant_position/credible/roussos_2024/variant_figures/roussos_2024.adolescence.GLU/rs4683442_profile_position.png",4,220,900)</f>
        <v/>
      </c>
    </row>
    <row r="2798">
      <c r="A2798" t="inlineStr">
        <is>
          <t>chr3</t>
        </is>
      </c>
      <c r="B2798" t="n">
        <v>143030201</v>
      </c>
      <c r="C2798" t="inlineStr">
        <is>
          <t>G</t>
        </is>
      </c>
      <c r="D2798" t="inlineStr">
        <is>
          <t>A</t>
        </is>
      </c>
      <c r="E2798" t="inlineStr">
        <is>
          <t>rs3886152</t>
        </is>
      </c>
      <c r="F2798" t="n">
        <v>-0.0126140813</v>
      </c>
      <c r="G2798" t="n">
        <v>0.4452904688755933</v>
      </c>
      <c r="H2798" t="n">
        <v>0.0099319565261211</v>
      </c>
      <c r="I2798" t="n">
        <v>0.5395383815863645</v>
      </c>
      <c r="J2798" t="n">
        <v>0.0592751355637953</v>
      </c>
      <c r="K2798" t="n">
        <v>0.6727274068314916</v>
      </c>
      <c r="L2798" t="b">
        <v>0</v>
      </c>
      <c r="M2798" t="b">
        <v>0</v>
      </c>
      <c r="N2798" t="inlineStr">
        <is>
          <t>ref</t>
        </is>
      </c>
      <c r="O2798" t="n">
        <v>-90</v>
      </c>
      <c r="P2798" t="n">
        <v>0.007385</v>
      </c>
      <c r="Q2798" t="n">
        <v>95</v>
      </c>
      <c r="R2798" t="n">
        <v>0.05475</v>
      </c>
      <c r="S2798">
        <f>IMAGE("https://mitra.stanford.edu/kundaje/oak/projects/neuro-variants/variant_position/credible/roussos_2024/variant_figures/roussos_2024.adolescence.GLU/rs3886152_count_position.png",4,220,900)</f>
        <v/>
      </c>
      <c r="T2798">
        <f>IMAGE("https://mitra.stanford.edu/kundaje/oak/projects/neuro-variants/variant_position/credible/roussos_2024/variant_figures/roussos_2024.adolescence.GLU/rs3886152_profile_position.png",4,220,900)</f>
        <v/>
      </c>
    </row>
    <row r="2799">
      <c r="A2799" t="inlineStr">
        <is>
          <t>chr3</t>
        </is>
      </c>
      <c r="B2799" t="n">
        <v>143073506</v>
      </c>
      <c r="C2799" t="inlineStr">
        <is>
          <t>T</t>
        </is>
      </c>
      <c r="D2799" t="inlineStr">
        <is>
          <t>C</t>
        </is>
      </c>
      <c r="E2799" t="inlineStr">
        <is>
          <t>rs4683725</t>
        </is>
      </c>
      <c r="F2799" t="n">
        <v>0.044846457</v>
      </c>
      <c r="G2799" t="n">
        <v>0.0806721239265447</v>
      </c>
      <c r="H2799" t="n">
        <v>0.0121209719804833</v>
      </c>
      <c r="I2799" t="n">
        <v>0.3174067330744255</v>
      </c>
      <c r="J2799" t="n">
        <v>0.422984761129091</v>
      </c>
      <c r="K2799" t="n">
        <v>0.1475923822926525</v>
      </c>
      <c r="L2799" t="b">
        <v>0</v>
      </c>
      <c r="M2799" t="b">
        <v>0</v>
      </c>
      <c r="N2799" t="inlineStr">
        <is>
          <t>alt</t>
        </is>
      </c>
      <c r="O2799" t="n">
        <v>-95</v>
      </c>
      <c r="P2799" t="n">
        <v>0.005096</v>
      </c>
      <c r="Q2799" t="n">
        <v>25</v>
      </c>
      <c r="R2799" t="n">
        <v>0.01575</v>
      </c>
      <c r="S2799">
        <f>IMAGE("https://mitra.stanford.edu/kundaje/oak/projects/neuro-variants/variant_position/credible/roussos_2024/variant_figures/roussos_2024.adolescence.GLU/rs4683725_count_position.png",4,220,900)</f>
        <v/>
      </c>
      <c r="T2799">
        <f>IMAGE("https://mitra.stanford.edu/kundaje/oak/projects/neuro-variants/variant_position/credible/roussos_2024/variant_figures/roussos_2024.adolescence.GLU/rs4683725_profile_position.png",4,220,900)</f>
        <v/>
      </c>
    </row>
    <row r="2800">
      <c r="A2800" t="inlineStr">
        <is>
          <t>chr3</t>
        </is>
      </c>
      <c r="B2800" t="n">
        <v>143073800</v>
      </c>
      <c r="C2800" t="inlineStr">
        <is>
          <t>A</t>
        </is>
      </c>
      <c r="D2800" t="inlineStr">
        <is>
          <t>G</t>
        </is>
      </c>
      <c r="E2800" t="inlineStr">
        <is>
          <t>rs9289654</t>
        </is>
      </c>
      <c r="F2800" t="n">
        <v>0.0453784553999999</v>
      </c>
      <c r="G2800" t="n">
        <v>0.0797237841293043</v>
      </c>
      <c r="H2800" t="n">
        <v>0.0212437700522549</v>
      </c>
      <c r="I2800" t="n">
        <v>0.0465740409309938</v>
      </c>
      <c r="J2800" t="n">
        <v>0.4451650699073379</v>
      </c>
      <c r="K2800" t="n">
        <v>0.1296324901222605</v>
      </c>
      <c r="L2800" t="b">
        <v>0</v>
      </c>
      <c r="M2800" t="b">
        <v>0</v>
      </c>
      <c r="N2800" t="inlineStr">
        <is>
          <t>alt</t>
        </is>
      </c>
      <c r="O2800" t="n">
        <v>40</v>
      </c>
      <c r="P2800" t="n">
        <v>0.00238</v>
      </c>
      <c r="Q2800" t="n">
        <v>55</v>
      </c>
      <c r="R2800" t="n">
        <v>0.0337</v>
      </c>
      <c r="S2800">
        <f>IMAGE("https://mitra.stanford.edu/kundaje/oak/projects/neuro-variants/variant_position/credible/roussos_2024/variant_figures/roussos_2024.adolescence.GLU/rs9289654_count_position.png",4,220,900)</f>
        <v/>
      </c>
      <c r="T2800">
        <f>IMAGE("https://mitra.stanford.edu/kundaje/oak/projects/neuro-variants/variant_position/credible/roussos_2024/variant_figures/roussos_2024.adolescence.GLU/rs9289654_profile_position.png",4,220,900)</f>
        <v/>
      </c>
    </row>
    <row r="2801">
      <c r="A2801" t="inlineStr">
        <is>
          <t>chr3</t>
        </is>
      </c>
      <c r="B2801" t="n">
        <v>143081405</v>
      </c>
      <c r="C2801" t="inlineStr">
        <is>
          <t>G</t>
        </is>
      </c>
      <c r="D2801" t="inlineStr">
        <is>
          <t>C</t>
        </is>
      </c>
      <c r="E2801" t="inlineStr">
        <is>
          <t>rs750869</t>
        </is>
      </c>
      <c r="F2801" t="n">
        <v>-0.01450566966</v>
      </c>
      <c r="G2801" t="n">
        <v>0.3680599209917214</v>
      </c>
      <c r="H2801" t="n">
        <v>0.0116780945525319</v>
      </c>
      <c r="I2801" t="n">
        <v>0.3889586114329235</v>
      </c>
      <c r="J2801" t="n">
        <v>0.1599074093919454</v>
      </c>
      <c r="K2801" t="n">
        <v>0.4600674138194961</v>
      </c>
      <c r="L2801" t="b">
        <v>0</v>
      </c>
      <c r="M2801" t="b">
        <v>0</v>
      </c>
      <c r="N2801" t="inlineStr">
        <is>
          <t>ref</t>
        </is>
      </c>
      <c r="O2801" t="n">
        <v>-45</v>
      </c>
      <c r="P2801" t="n">
        <v>0.007454</v>
      </c>
      <c r="Q2801" t="n">
        <v>5</v>
      </c>
      <c r="R2801" t="n">
        <v>0.008316</v>
      </c>
      <c r="S2801">
        <f>IMAGE("https://mitra.stanford.edu/kundaje/oak/projects/neuro-variants/variant_position/credible/roussos_2024/variant_figures/roussos_2024.adolescence.GLU/rs750869_count_position.png",4,220,900)</f>
        <v/>
      </c>
      <c r="T2801">
        <f>IMAGE("https://mitra.stanford.edu/kundaje/oak/projects/neuro-variants/variant_position/credible/roussos_2024/variant_figures/roussos_2024.adolescence.GLU/rs750869_profile_position.png",4,220,900)</f>
        <v/>
      </c>
    </row>
    <row r="2802">
      <c r="A2802" t="inlineStr">
        <is>
          <t>chr3</t>
        </is>
      </c>
      <c r="B2802" t="n">
        <v>143081550</v>
      </c>
      <c r="C2802" t="inlineStr">
        <is>
          <t>A</t>
        </is>
      </c>
      <c r="D2802" t="inlineStr">
        <is>
          <t>G</t>
        </is>
      </c>
      <c r="E2802" t="inlineStr">
        <is>
          <t>rs10804685</t>
        </is>
      </c>
      <c r="F2802" t="n">
        <v>0.0199441722</v>
      </c>
      <c r="G2802" t="n">
        <v>0.2850614714179625</v>
      </c>
      <c r="H2802" t="n">
        <v>0.0101194373207119</v>
      </c>
      <c r="I2802" t="n">
        <v>0.535460005939414</v>
      </c>
      <c r="J2802" t="n">
        <v>0.2129541119231841</v>
      </c>
      <c r="K2802" t="n">
        <v>0.3780641603531644</v>
      </c>
      <c r="L2802" t="b">
        <v>0</v>
      </c>
      <c r="M2802" t="b">
        <v>0</v>
      </c>
      <c r="N2802" t="inlineStr">
        <is>
          <t>alt</t>
        </is>
      </c>
      <c r="O2802" t="n">
        <v>100</v>
      </c>
      <c r="P2802" t="n">
        <v>0.01952</v>
      </c>
      <c r="Q2802" t="n">
        <v>-35</v>
      </c>
      <c r="R2802" t="n">
        <v>0.0644</v>
      </c>
      <c r="S2802">
        <f>IMAGE("https://mitra.stanford.edu/kundaje/oak/projects/neuro-variants/variant_position/credible/roussos_2024/variant_figures/roussos_2024.adolescence.GLU/rs10804685_count_position.png",4,220,900)</f>
        <v/>
      </c>
      <c r="T2802">
        <f>IMAGE("https://mitra.stanford.edu/kundaje/oak/projects/neuro-variants/variant_position/credible/roussos_2024/variant_figures/roussos_2024.adolescence.GLU/rs10804685_profile_position.png",4,220,900)</f>
        <v/>
      </c>
    </row>
    <row r="2803">
      <c r="A2803" t="inlineStr">
        <is>
          <t>chr3</t>
        </is>
      </c>
      <c r="B2803" t="n">
        <v>143097702</v>
      </c>
      <c r="C2803" t="inlineStr">
        <is>
          <t>G</t>
        </is>
      </c>
      <c r="D2803" t="inlineStr">
        <is>
          <t>C</t>
        </is>
      </c>
      <c r="E2803" t="inlineStr">
        <is>
          <t>rs8179934</t>
        </is>
      </c>
      <c r="F2803" t="n">
        <v>-0.0060471466</v>
      </c>
      <c r="G2803" t="n">
        <v>0.5921060678327639</v>
      </c>
      <c r="H2803" t="n">
        <v>0.007948059098340499</v>
      </c>
      <c r="I2803" t="n">
        <v>0.7535468725825928</v>
      </c>
      <c r="J2803" t="n">
        <v>0.0976030749226624</v>
      </c>
      <c r="K2803" t="n">
        <v>0.5893282917289916</v>
      </c>
      <c r="L2803" t="b">
        <v>0</v>
      </c>
      <c r="M2803" t="b">
        <v>0</v>
      </c>
      <c r="N2803" t="inlineStr">
        <is>
          <t>ref</t>
        </is>
      </c>
      <c r="O2803" t="n">
        <v>75</v>
      </c>
      <c r="P2803" t="n">
        <v>0.008835000000000001</v>
      </c>
      <c r="Q2803" t="n">
        <v>-100</v>
      </c>
      <c r="R2803" t="n">
        <v>0.1907</v>
      </c>
      <c r="S2803">
        <f>IMAGE("https://mitra.stanford.edu/kundaje/oak/projects/neuro-variants/variant_position/credible/roussos_2024/variant_figures/roussos_2024.adolescence.GLU/rs8179934_count_position.png",4,220,900)</f>
        <v/>
      </c>
      <c r="T2803">
        <f>IMAGE("https://mitra.stanford.edu/kundaje/oak/projects/neuro-variants/variant_position/credible/roussos_2024/variant_figures/roussos_2024.adolescence.GLU/rs8179934_profile_position.png",4,220,900)</f>
        <v/>
      </c>
    </row>
    <row r="2804">
      <c r="A2804" t="inlineStr">
        <is>
          <t>chr3</t>
        </is>
      </c>
      <c r="B2804" t="n">
        <v>161757749</v>
      </c>
      <c r="C2804" t="inlineStr">
        <is>
          <t>C</t>
        </is>
      </c>
      <c r="D2804" t="inlineStr">
        <is>
          <t>A</t>
        </is>
      </c>
      <c r="E2804" t="inlineStr">
        <is>
          <t>rs9832859</t>
        </is>
      </c>
      <c r="F2804" t="n">
        <v>-0.00111870786</v>
      </c>
      <c r="G2804" t="n">
        <v>0.7365034571649448</v>
      </c>
      <c r="H2804" t="n">
        <v>0.0252239730045691</v>
      </c>
      <c r="I2804" t="n">
        <v>0.018408124693399</v>
      </c>
      <c r="J2804" t="n">
        <v>0.0697101542462366</v>
      </c>
      <c r="K2804" t="n">
        <v>0.6389782786635398</v>
      </c>
      <c r="L2804" t="b">
        <v>1</v>
      </c>
      <c r="M2804" t="b">
        <v>0</v>
      </c>
      <c r="N2804" t="inlineStr">
        <is>
          <t>ref</t>
        </is>
      </c>
      <c r="O2804" t="n">
        <v>35</v>
      </c>
      <c r="P2804" t="n">
        <v>0.02356</v>
      </c>
      <c r="Q2804" t="n">
        <v>-5</v>
      </c>
      <c r="R2804" t="n">
        <v>0.002075</v>
      </c>
      <c r="S2804">
        <f>IMAGE("https://mitra.stanford.edu/kundaje/oak/projects/neuro-variants/variant_position/credible/roussos_2024/variant_figures/roussos_2024.adolescence.GLU/rs9832859_count_position.png",4,220,900)</f>
        <v/>
      </c>
      <c r="T2804">
        <f>IMAGE("https://mitra.stanford.edu/kundaje/oak/projects/neuro-variants/variant_position/credible/roussos_2024/variant_figures/roussos_2024.adolescence.GLU/rs9832859_profile_position.png",4,220,900)</f>
        <v/>
      </c>
    </row>
    <row r="2805">
      <c r="A2805" t="inlineStr">
        <is>
          <t>chr3</t>
        </is>
      </c>
      <c r="B2805" t="n">
        <v>161760357</v>
      </c>
      <c r="C2805" t="inlineStr">
        <is>
          <t>G</t>
        </is>
      </c>
      <c r="D2805" t="inlineStr">
        <is>
          <t>A</t>
        </is>
      </c>
      <c r="E2805" t="inlineStr">
        <is>
          <t>rs514816</t>
        </is>
      </c>
      <c r="F2805" t="n">
        <v>-0.0347378516</v>
      </c>
      <c r="G2805" t="n">
        <v>0.1480346737252065</v>
      </c>
      <c r="H2805" t="n">
        <v>0.0164680506597966</v>
      </c>
      <c r="I2805" t="n">
        <v>0.1194751916671516</v>
      </c>
      <c r="J2805" t="n">
        <v>0.0521050789092025</v>
      </c>
      <c r="K2805" t="n">
        <v>0.6954791888111752</v>
      </c>
      <c r="L2805" t="b">
        <v>0</v>
      </c>
      <c r="M2805" t="b">
        <v>0</v>
      </c>
      <c r="N2805" t="inlineStr">
        <is>
          <t>ref</t>
        </is>
      </c>
      <c r="O2805" t="n">
        <v>-50</v>
      </c>
      <c r="P2805" t="n">
        <v>0.005024</v>
      </c>
      <c r="Q2805" t="n">
        <v>70</v>
      </c>
      <c r="R2805" t="n">
        <v>0.0326</v>
      </c>
      <c r="S2805">
        <f>IMAGE("https://mitra.stanford.edu/kundaje/oak/projects/neuro-variants/variant_position/credible/roussos_2024/variant_figures/roussos_2024.adolescence.GLU/rs514816_count_position.png",4,220,900)</f>
        <v/>
      </c>
      <c r="T2805">
        <f>IMAGE("https://mitra.stanford.edu/kundaje/oak/projects/neuro-variants/variant_position/credible/roussos_2024/variant_figures/roussos_2024.adolescence.GLU/rs514816_profile_position.png",4,220,900)</f>
        <v/>
      </c>
    </row>
    <row r="2806">
      <c r="A2806" t="inlineStr">
        <is>
          <t>chr3</t>
        </is>
      </c>
      <c r="B2806" t="n">
        <v>161767619</v>
      </c>
      <c r="C2806" t="inlineStr">
        <is>
          <t>G</t>
        </is>
      </c>
      <c r="D2806" t="inlineStr">
        <is>
          <t>A</t>
        </is>
      </c>
      <c r="E2806" t="inlineStr">
        <is>
          <t>rs308693</t>
        </is>
      </c>
      <c r="F2806" t="n">
        <v>-0.08204766199999999</v>
      </c>
      <c r="G2806" t="n">
        <v>0.0172585926050464</v>
      </c>
      <c r="H2806" t="n">
        <v>0.0144890021201169</v>
      </c>
      <c r="I2806" t="n">
        <v>0.1965386624327932</v>
      </c>
      <c r="J2806" t="n">
        <v>0.0394167363239527</v>
      </c>
      <c r="K2806" t="n">
        <v>0.7341221866463211</v>
      </c>
      <c r="L2806" t="b">
        <v>1</v>
      </c>
      <c r="M2806" t="b">
        <v>0</v>
      </c>
      <c r="N2806" t="inlineStr">
        <is>
          <t>ref</t>
        </is>
      </c>
      <c r="O2806" t="n">
        <v>-55</v>
      </c>
      <c r="P2806" t="n">
        <v>0.0872</v>
      </c>
      <c r="Q2806" t="n">
        <v>-55</v>
      </c>
      <c r="R2806" t="n">
        <v>0.0851</v>
      </c>
      <c r="S2806">
        <f>IMAGE("https://mitra.stanford.edu/kundaje/oak/projects/neuro-variants/variant_position/credible/roussos_2024/variant_figures/roussos_2024.adolescence.GLU/rs308693_count_position.png",4,220,900)</f>
        <v/>
      </c>
      <c r="T2806">
        <f>IMAGE("https://mitra.stanford.edu/kundaje/oak/projects/neuro-variants/variant_position/credible/roussos_2024/variant_figures/roussos_2024.adolescence.GLU/rs308693_profile_position.png",4,220,900)</f>
        <v/>
      </c>
    </row>
    <row r="2807">
      <c r="A2807" t="inlineStr">
        <is>
          <t>chr3</t>
        </is>
      </c>
      <c r="B2807" t="n">
        <v>161770560</v>
      </c>
      <c r="C2807" t="inlineStr">
        <is>
          <t>A</t>
        </is>
      </c>
      <c r="D2807" t="inlineStr">
        <is>
          <t>T</t>
        </is>
      </c>
      <c r="E2807" t="inlineStr">
        <is>
          <t>rs308698</t>
        </is>
      </c>
      <c r="F2807" t="n">
        <v>0.0172774782</v>
      </c>
      <c r="G2807" t="n">
        <v>0.3426957002361635</v>
      </c>
      <c r="H2807" t="n">
        <v>0.0164520573736533</v>
      </c>
      <c r="I2807" t="n">
        <v>0.1258854315054805</v>
      </c>
      <c r="J2807" t="n">
        <v>0.1309356938222917</v>
      </c>
      <c r="K2807" t="n">
        <v>0.507908706410068</v>
      </c>
      <c r="L2807" t="b">
        <v>0</v>
      </c>
      <c r="M2807" t="b">
        <v>0</v>
      </c>
      <c r="N2807" t="inlineStr">
        <is>
          <t>alt</t>
        </is>
      </c>
      <c r="O2807" t="n">
        <v>0</v>
      </c>
      <c r="P2807" t="n">
        <v>0</v>
      </c>
      <c r="Q2807" t="n">
        <v>90</v>
      </c>
      <c r="R2807" t="n">
        <v>0.01611</v>
      </c>
      <c r="S2807">
        <f>IMAGE("https://mitra.stanford.edu/kundaje/oak/projects/neuro-variants/variant_position/credible/roussos_2024/variant_figures/roussos_2024.adolescence.GLU/rs308698_count_position.png",4,220,900)</f>
        <v/>
      </c>
      <c r="T2807">
        <f>IMAGE("https://mitra.stanford.edu/kundaje/oak/projects/neuro-variants/variant_position/credible/roussos_2024/variant_figures/roussos_2024.adolescence.GLU/rs308698_profile_position.png",4,220,900)</f>
        <v/>
      </c>
    </row>
    <row r="2808">
      <c r="A2808" t="inlineStr">
        <is>
          <t>chr3</t>
        </is>
      </c>
      <c r="B2808" t="n">
        <v>161770581</v>
      </c>
      <c r="C2808" t="inlineStr">
        <is>
          <t>G</t>
        </is>
      </c>
      <c r="D2808" t="inlineStr">
        <is>
          <t>A</t>
        </is>
      </c>
      <c r="E2808" t="inlineStr">
        <is>
          <t>rs308699</t>
        </is>
      </c>
      <c r="F2808" t="n">
        <v>-0.0198811499999999</v>
      </c>
      <c r="G2808" t="n">
        <v>0.3085056570981291</v>
      </c>
      <c r="H2808" t="n">
        <v>0.0095054129594015</v>
      </c>
      <c r="I2808" t="n">
        <v>0.5836845174409441</v>
      </c>
      <c r="J2808" t="n">
        <v>0.1238342228032949</v>
      </c>
      <c r="K2808" t="n">
        <v>0.5216035484431504</v>
      </c>
      <c r="L2808" t="b">
        <v>0</v>
      </c>
      <c r="M2808" t="b">
        <v>0</v>
      </c>
      <c r="N2808" t="inlineStr">
        <is>
          <t>ref</t>
        </is>
      </c>
      <c r="O2808" t="n">
        <v>-55</v>
      </c>
      <c r="P2808" t="n">
        <v>0.007263</v>
      </c>
      <c r="Q2808" t="n">
        <v>70</v>
      </c>
      <c r="R2808" t="n">
        <v>0.01932</v>
      </c>
      <c r="S2808">
        <f>IMAGE("https://mitra.stanford.edu/kundaje/oak/projects/neuro-variants/variant_position/credible/roussos_2024/variant_figures/roussos_2024.adolescence.GLU/rs308699_count_position.png",4,220,900)</f>
        <v/>
      </c>
      <c r="T2808">
        <f>IMAGE("https://mitra.stanford.edu/kundaje/oak/projects/neuro-variants/variant_position/credible/roussos_2024/variant_figures/roussos_2024.adolescence.GLU/rs308699_profile_position.png",4,220,900)</f>
        <v/>
      </c>
    </row>
    <row r="2809">
      <c r="A2809" t="inlineStr">
        <is>
          <t>chr3</t>
        </is>
      </c>
      <c r="B2809" t="n">
        <v>161964926</v>
      </c>
      <c r="C2809" t="inlineStr">
        <is>
          <t>A</t>
        </is>
      </c>
      <c r="D2809" t="inlineStr">
        <is>
          <t>G</t>
        </is>
      </c>
      <c r="E2809" t="inlineStr">
        <is>
          <t>rs9865618</t>
        </is>
      </c>
      <c r="F2809" t="n">
        <v>-0.0459343776</v>
      </c>
      <c r="G2809" t="n">
        <v>0.08865869922013191</v>
      </c>
      <c r="H2809" t="n">
        <v>0.0272890941770776</v>
      </c>
      <c r="I2809" t="n">
        <v>0.0203225419733558</v>
      </c>
      <c r="J2809" t="n">
        <v>0.0598095319744803</v>
      </c>
      <c r="K2809" t="n">
        <v>0.66510388068883</v>
      </c>
      <c r="L2809" t="b">
        <v>0</v>
      </c>
      <c r="M2809" t="b">
        <v>0</v>
      </c>
      <c r="N2809" t="inlineStr">
        <is>
          <t>ref</t>
        </is>
      </c>
      <c r="O2809" t="n">
        <v>0</v>
      </c>
      <c r="P2809" t="n">
        <v>0</v>
      </c>
      <c r="Q2809" t="n">
        <v>10</v>
      </c>
      <c r="R2809" t="n">
        <v>0.02002</v>
      </c>
      <c r="S2809">
        <f>IMAGE("https://mitra.stanford.edu/kundaje/oak/projects/neuro-variants/variant_position/credible/roussos_2024/variant_figures/roussos_2024.adolescence.GLU/rs9865618_count_position.png",4,220,900)</f>
        <v/>
      </c>
      <c r="T2809">
        <f>IMAGE("https://mitra.stanford.edu/kundaje/oak/projects/neuro-variants/variant_position/credible/roussos_2024/variant_figures/roussos_2024.adolescence.GLU/rs9865618_profile_position.png",4,220,900)</f>
        <v/>
      </c>
    </row>
    <row r="2810">
      <c r="A2810" t="inlineStr">
        <is>
          <t>chr3</t>
        </is>
      </c>
      <c r="B2810" t="n">
        <v>161988675</v>
      </c>
      <c r="C2810" t="inlineStr">
        <is>
          <t>C</t>
        </is>
      </c>
      <c r="D2810" t="inlineStr">
        <is>
          <t>A</t>
        </is>
      </c>
      <c r="E2810" t="inlineStr">
        <is>
          <t>rs4586823</t>
        </is>
      </c>
      <c r="F2810" t="n">
        <v>-0.002155413728</v>
      </c>
      <c r="G2810" t="n">
        <v>0.8080737485894069</v>
      </c>
      <c r="H2810" t="n">
        <v>0.0140331673901555</v>
      </c>
      <c r="I2810" t="n">
        <v>0.1987090228636273</v>
      </c>
      <c r="J2810" t="n">
        <v>0.1033828435890291</v>
      </c>
      <c r="K2810" t="n">
        <v>0.5646494323661368</v>
      </c>
      <c r="L2810" t="b">
        <v>0</v>
      </c>
      <c r="M2810" t="b">
        <v>0</v>
      </c>
      <c r="N2810" t="inlineStr">
        <is>
          <t>ref</t>
        </is>
      </c>
      <c r="O2810" t="n">
        <v>-100</v>
      </c>
      <c r="P2810" t="n">
        <v>0.02612</v>
      </c>
      <c r="Q2810" t="n">
        <v>-65</v>
      </c>
      <c r="R2810" t="n">
        <v>0.06444999999999999</v>
      </c>
      <c r="S2810">
        <f>IMAGE("https://mitra.stanford.edu/kundaje/oak/projects/neuro-variants/variant_position/credible/roussos_2024/variant_figures/roussos_2024.adolescence.GLU/rs4586823_count_position.png",4,220,900)</f>
        <v/>
      </c>
      <c r="T2810">
        <f>IMAGE("https://mitra.stanford.edu/kundaje/oak/projects/neuro-variants/variant_position/credible/roussos_2024/variant_figures/roussos_2024.adolescence.GLU/rs4586823_profile_position.png",4,220,900)</f>
        <v/>
      </c>
    </row>
    <row r="2811">
      <c r="A2811" t="inlineStr">
        <is>
          <t>chr3</t>
        </is>
      </c>
      <c r="B2811" t="n">
        <v>162001353</v>
      </c>
      <c r="C2811" t="inlineStr">
        <is>
          <t>G</t>
        </is>
      </c>
      <c r="D2811" t="inlineStr">
        <is>
          <t>A</t>
        </is>
      </c>
      <c r="E2811" t="inlineStr">
        <is>
          <t>rs7615033</t>
        </is>
      </c>
      <c r="F2811" t="n">
        <v>-0.0470334278</v>
      </c>
      <c r="G2811" t="n">
        <v>0.07871201139635681</v>
      </c>
      <c r="H2811" t="n">
        <v>0.011443644843888</v>
      </c>
      <c r="I2811" t="n">
        <v>0.3664939370715962</v>
      </c>
      <c r="J2811" t="n">
        <v>0.0730837101971122</v>
      </c>
      <c r="K2811" t="n">
        <v>0.633145157754354</v>
      </c>
      <c r="L2811" t="b">
        <v>0</v>
      </c>
      <c r="M2811" t="b">
        <v>0</v>
      </c>
      <c r="N2811" t="inlineStr">
        <is>
          <t>ref</t>
        </is>
      </c>
      <c r="O2811" t="n">
        <v>100</v>
      </c>
      <c r="P2811" t="n">
        <v>0.02307</v>
      </c>
      <c r="Q2811" t="n">
        <v>-30</v>
      </c>
      <c r="R2811" t="n">
        <v>0.02869</v>
      </c>
      <c r="S2811">
        <f>IMAGE("https://mitra.stanford.edu/kundaje/oak/projects/neuro-variants/variant_position/credible/roussos_2024/variant_figures/roussos_2024.adolescence.GLU/rs7615033_count_position.png",4,220,900)</f>
        <v/>
      </c>
      <c r="T2811">
        <f>IMAGE("https://mitra.stanford.edu/kundaje/oak/projects/neuro-variants/variant_position/credible/roussos_2024/variant_figures/roussos_2024.adolescence.GLU/rs7615033_profile_position.png",4,220,900)</f>
        <v/>
      </c>
    </row>
    <row r="2812">
      <c r="A2812" t="inlineStr">
        <is>
          <t>chr3</t>
        </is>
      </c>
      <c r="B2812" t="n">
        <v>162001354</v>
      </c>
      <c r="C2812" t="inlineStr">
        <is>
          <t>T</t>
        </is>
      </c>
      <c r="D2812" t="inlineStr">
        <is>
          <t>A</t>
        </is>
      </c>
      <c r="E2812" t="inlineStr">
        <is>
          <t>rs7626556</t>
        </is>
      </c>
      <c r="F2812" t="n">
        <v>0.0055514121999999</v>
      </c>
      <c r="G2812" t="n">
        <v>0.6162507276748727</v>
      </c>
      <c r="H2812" t="n">
        <v>0.0102000773213689</v>
      </c>
      <c r="I2812" t="n">
        <v>0.4875791036185121</v>
      </c>
      <c r="J2812" t="n">
        <v>0.0752655907295082</v>
      </c>
      <c r="K2812" t="n">
        <v>0.6271257770558897</v>
      </c>
      <c r="L2812" t="b">
        <v>0</v>
      </c>
      <c r="M2812" t="b">
        <v>0</v>
      </c>
      <c r="N2812" t="inlineStr">
        <is>
          <t>alt</t>
        </is>
      </c>
      <c r="O2812" t="n">
        <v>100</v>
      </c>
      <c r="P2812" t="n">
        <v>0.0212</v>
      </c>
      <c r="Q2812" t="n">
        <v>-100</v>
      </c>
      <c r="R2812" t="n">
        <v>0.0396</v>
      </c>
      <c r="S2812">
        <f>IMAGE("https://mitra.stanford.edu/kundaje/oak/projects/neuro-variants/variant_position/credible/roussos_2024/variant_figures/roussos_2024.adolescence.GLU/rs7626556_count_position.png",4,220,900)</f>
        <v/>
      </c>
      <c r="T2812">
        <f>IMAGE("https://mitra.stanford.edu/kundaje/oak/projects/neuro-variants/variant_position/credible/roussos_2024/variant_figures/roussos_2024.adolescence.GLU/rs7626556_profile_position.png",4,220,900)</f>
        <v/>
      </c>
    </row>
    <row r="2813">
      <c r="A2813" t="inlineStr">
        <is>
          <t>chr3</t>
        </is>
      </c>
      <c r="B2813" t="n">
        <v>162017708</v>
      </c>
      <c r="C2813" t="inlineStr">
        <is>
          <t>A</t>
        </is>
      </c>
      <c r="D2813" t="inlineStr">
        <is>
          <t>G</t>
        </is>
      </c>
      <c r="E2813" t="inlineStr">
        <is>
          <t>rs1912454</t>
        </is>
      </c>
      <c r="F2813" t="n">
        <v>0.0084915741</v>
      </c>
      <c r="G2813" t="n">
        <v>0.561142518078998</v>
      </c>
      <c r="H2813" t="n">
        <v>0.0116560338406781</v>
      </c>
      <c r="I2813" t="n">
        <v>0.3530722857579641</v>
      </c>
      <c r="J2813" t="n">
        <v>0.0438805181073221</v>
      </c>
      <c r="K2813" t="n">
        <v>0.7213306220789181</v>
      </c>
      <c r="L2813" t="b">
        <v>0</v>
      </c>
      <c r="M2813" t="b">
        <v>0</v>
      </c>
      <c r="N2813" t="inlineStr">
        <is>
          <t>alt</t>
        </is>
      </c>
      <c r="O2813" t="n">
        <v>5</v>
      </c>
      <c r="P2813" t="n">
        <v>0.001123</v>
      </c>
      <c r="Q2813" t="n">
        <v>-100</v>
      </c>
      <c r="R2813" t="n">
        <v>0.1072</v>
      </c>
      <c r="S2813">
        <f>IMAGE("https://mitra.stanford.edu/kundaje/oak/projects/neuro-variants/variant_position/credible/roussos_2024/variant_figures/roussos_2024.adolescence.GLU/rs1912454_count_position.png",4,220,900)</f>
        <v/>
      </c>
      <c r="T2813">
        <f>IMAGE("https://mitra.stanford.edu/kundaje/oak/projects/neuro-variants/variant_position/credible/roussos_2024/variant_figures/roussos_2024.adolescence.GLU/rs1912454_profile_position.png",4,220,900)</f>
        <v/>
      </c>
    </row>
    <row r="2814">
      <c r="A2814" t="inlineStr">
        <is>
          <t>chr3</t>
        </is>
      </c>
      <c r="B2814" t="n">
        <v>162030893</v>
      </c>
      <c r="C2814" t="inlineStr">
        <is>
          <t>T</t>
        </is>
      </c>
      <c r="D2814" t="inlineStr">
        <is>
          <t>G</t>
        </is>
      </c>
      <c r="E2814" t="inlineStr">
        <is>
          <t>rs28532919</t>
        </is>
      </c>
      <c r="F2814" t="n">
        <v>-0.00868082498</v>
      </c>
      <c r="G2814" t="n">
        <v>0.5430500435098942</v>
      </c>
      <c r="H2814" t="n">
        <v>0.0169287203066761</v>
      </c>
      <c r="I2814" t="n">
        <v>0.1142178150026198</v>
      </c>
      <c r="J2814" t="n">
        <v>0.2176565145637309</v>
      </c>
      <c r="K2814" t="n">
        <v>0.3744918039023832</v>
      </c>
      <c r="L2814" t="b">
        <v>0</v>
      </c>
      <c r="M2814" t="b">
        <v>0</v>
      </c>
      <c r="N2814" t="inlineStr">
        <is>
          <t>ref</t>
        </is>
      </c>
      <c r="O2814" t="n">
        <v>-90</v>
      </c>
      <c r="P2814" t="n">
        <v>0.01889</v>
      </c>
      <c r="Q2814" t="n">
        <v>100</v>
      </c>
      <c r="R2814" t="n">
        <v>0.1415</v>
      </c>
      <c r="S2814">
        <f>IMAGE("https://mitra.stanford.edu/kundaje/oak/projects/neuro-variants/variant_position/credible/roussos_2024/variant_figures/roussos_2024.adolescence.GLU/rs28532919_count_position.png",4,220,900)</f>
        <v/>
      </c>
      <c r="T2814">
        <f>IMAGE("https://mitra.stanford.edu/kundaje/oak/projects/neuro-variants/variant_position/credible/roussos_2024/variant_figures/roussos_2024.adolescence.GLU/rs28532919_profile_position.png",4,220,900)</f>
        <v/>
      </c>
    </row>
    <row r="2815">
      <c r="A2815" t="inlineStr">
        <is>
          <t>chr3</t>
        </is>
      </c>
      <c r="B2815" t="n">
        <v>162032242</v>
      </c>
      <c r="C2815" t="inlineStr">
        <is>
          <t>T</t>
        </is>
      </c>
      <c r="D2815" t="inlineStr">
        <is>
          <t>G</t>
        </is>
      </c>
      <c r="E2815" t="inlineStr">
        <is>
          <t>rs62280491</t>
        </is>
      </c>
      <c r="F2815" t="n">
        <v>0.0177137921999999</v>
      </c>
      <c r="G2815" t="n">
        <v>0.3105907662179022</v>
      </c>
      <c r="H2815" t="n">
        <v>0.009790026283135101</v>
      </c>
      <c r="I2815" t="n">
        <v>0.5463814557801203</v>
      </c>
      <c r="J2815" t="n">
        <v>0.0515864000400082</v>
      </c>
      <c r="K2815" t="n">
        <v>0.6916645518104017</v>
      </c>
      <c r="L2815" t="b">
        <v>0</v>
      </c>
      <c r="M2815" t="b">
        <v>0</v>
      </c>
      <c r="N2815" t="inlineStr">
        <is>
          <t>alt</t>
        </is>
      </c>
      <c r="O2815" t="n">
        <v>-80</v>
      </c>
      <c r="P2815" t="n">
        <v>0.006683</v>
      </c>
      <c r="Q2815" t="n">
        <v>30</v>
      </c>
      <c r="R2815" t="n">
        <v>0.0299</v>
      </c>
      <c r="S2815">
        <f>IMAGE("https://mitra.stanford.edu/kundaje/oak/projects/neuro-variants/variant_position/credible/roussos_2024/variant_figures/roussos_2024.adolescence.GLU/rs62280491_count_position.png",4,220,900)</f>
        <v/>
      </c>
      <c r="T2815">
        <f>IMAGE("https://mitra.stanford.edu/kundaje/oak/projects/neuro-variants/variant_position/credible/roussos_2024/variant_figures/roussos_2024.adolescence.GLU/rs62280491_profile_position.png",4,220,900)</f>
        <v/>
      </c>
    </row>
    <row r="2816">
      <c r="A2816" t="inlineStr">
        <is>
          <t>chr3</t>
        </is>
      </c>
      <c r="B2816" t="n">
        <v>162033487</v>
      </c>
      <c r="C2816" t="inlineStr">
        <is>
          <t>A</t>
        </is>
      </c>
      <c r="D2816" t="inlineStr">
        <is>
          <t>G</t>
        </is>
      </c>
      <c r="E2816" t="inlineStr">
        <is>
          <t>rs56315604</t>
        </is>
      </c>
      <c r="F2816" t="n">
        <v>0.0169067112</v>
      </c>
      <c r="G2816" t="n">
        <v>0.3296620701213706</v>
      </c>
      <c r="H2816" t="n">
        <v>0.0075842315683102</v>
      </c>
      <c r="I2816" t="n">
        <v>0.8160239081467446</v>
      </c>
      <c r="J2816" t="n">
        <v>0.0554329111030141</v>
      </c>
      <c r="K2816" t="n">
        <v>0.6943890021763452</v>
      </c>
      <c r="L2816" t="b">
        <v>0</v>
      </c>
      <c r="M2816" t="b">
        <v>0</v>
      </c>
      <c r="N2816" t="inlineStr">
        <is>
          <t>alt</t>
        </is>
      </c>
      <c r="O2816" t="n">
        <v>100</v>
      </c>
      <c r="P2816" t="n">
        <v>0.01235</v>
      </c>
      <c r="Q2816" t="n">
        <v>-35</v>
      </c>
      <c r="R2816" t="n">
        <v>0.0578</v>
      </c>
      <c r="S2816">
        <f>IMAGE("https://mitra.stanford.edu/kundaje/oak/projects/neuro-variants/variant_position/credible/roussos_2024/variant_figures/roussos_2024.adolescence.GLU/rs56315604_count_position.png",4,220,900)</f>
        <v/>
      </c>
      <c r="T2816">
        <f>IMAGE("https://mitra.stanford.edu/kundaje/oak/projects/neuro-variants/variant_position/credible/roussos_2024/variant_figures/roussos_2024.adolescence.GLU/rs56315604_profile_position.png",4,220,900)</f>
        <v/>
      </c>
    </row>
    <row r="2817">
      <c r="A2817" t="inlineStr">
        <is>
          <t>chr3</t>
        </is>
      </c>
      <c r="B2817" t="n">
        <v>162040151</v>
      </c>
      <c r="C2817" t="inlineStr">
        <is>
          <t>G</t>
        </is>
      </c>
      <c r="D2817" t="inlineStr">
        <is>
          <t>T</t>
        </is>
      </c>
      <c r="E2817" t="inlineStr">
        <is>
          <t>rs1397242</t>
        </is>
      </c>
      <c r="F2817" t="n">
        <v>-0.0164516346</v>
      </c>
      <c r="G2817" t="n">
        <v>0.3598548022272136</v>
      </c>
      <c r="H2817" t="n">
        <v>0.0106256018730611</v>
      </c>
      <c r="I2817" t="n">
        <v>0.4601309327876247</v>
      </c>
      <c r="J2817" t="n">
        <v>0.0041537175557793</v>
      </c>
      <c r="K2817" t="n">
        <v>0.92899705966129</v>
      </c>
      <c r="L2817" t="b">
        <v>0</v>
      </c>
      <c r="M2817" t="b">
        <v>0</v>
      </c>
      <c r="N2817" t="inlineStr">
        <is>
          <t>ref</t>
        </is>
      </c>
      <c r="O2817" t="n">
        <v>-30</v>
      </c>
      <c r="P2817" t="n">
        <v>0.005592</v>
      </c>
      <c r="Q2817" t="n">
        <v>-30</v>
      </c>
      <c r="R2817" t="n">
        <v>0.02713</v>
      </c>
      <c r="S2817">
        <f>IMAGE("https://mitra.stanford.edu/kundaje/oak/projects/neuro-variants/variant_position/credible/roussos_2024/variant_figures/roussos_2024.adolescence.GLU/rs1397242_count_position.png",4,220,900)</f>
        <v/>
      </c>
      <c r="T2817">
        <f>IMAGE("https://mitra.stanford.edu/kundaje/oak/projects/neuro-variants/variant_position/credible/roussos_2024/variant_figures/roussos_2024.adolescence.GLU/rs1397242_profile_position.png",4,220,900)</f>
        <v/>
      </c>
    </row>
    <row r="2818">
      <c r="A2818" t="inlineStr">
        <is>
          <t>chr3</t>
        </is>
      </c>
      <c r="B2818" t="n">
        <v>162043735</v>
      </c>
      <c r="C2818" t="inlineStr">
        <is>
          <t>A</t>
        </is>
      </c>
      <c r="D2818" t="inlineStr">
        <is>
          <t>C</t>
        </is>
      </c>
      <c r="E2818" t="inlineStr">
        <is>
          <t>rs13100661</t>
        </is>
      </c>
      <c r="F2818" t="n">
        <v>-0.0227764974</v>
      </c>
      <c r="G2818" t="n">
        <v>0.2664419168360281</v>
      </c>
      <c r="H2818" t="n">
        <v>0.0384514993837666</v>
      </c>
      <c r="I2818" t="n">
        <v>0.0032626648894352</v>
      </c>
      <c r="J2818" t="n">
        <v>0.0190267984082416</v>
      </c>
      <c r="K2818" t="n">
        <v>0.8217937332235017</v>
      </c>
      <c r="L2818" t="b">
        <v>1</v>
      </c>
      <c r="M2818" t="b">
        <v>0</v>
      </c>
      <c r="N2818" t="inlineStr">
        <is>
          <t>ref</t>
        </is>
      </c>
      <c r="O2818" t="n">
        <v>55</v>
      </c>
      <c r="P2818" t="n">
        <v>0.008569999999999999</v>
      </c>
      <c r="Q2818" t="n">
        <v>-90</v>
      </c>
      <c r="R2818" t="n">
        <v>0.06125</v>
      </c>
      <c r="S2818">
        <f>IMAGE("https://mitra.stanford.edu/kundaje/oak/projects/neuro-variants/variant_position/credible/roussos_2024/variant_figures/roussos_2024.adolescence.GLU/rs13100661_count_position.png",4,220,900)</f>
        <v/>
      </c>
      <c r="T2818">
        <f>IMAGE("https://mitra.stanford.edu/kundaje/oak/projects/neuro-variants/variant_position/credible/roussos_2024/variant_figures/roussos_2024.adolescence.GLU/rs13100661_profile_position.png",4,220,900)</f>
        <v/>
      </c>
    </row>
    <row r="2819">
      <c r="A2819" t="inlineStr">
        <is>
          <t>chr3</t>
        </is>
      </c>
      <c r="B2819" t="n">
        <v>162044696</v>
      </c>
      <c r="C2819" t="inlineStr">
        <is>
          <t>T</t>
        </is>
      </c>
      <c r="D2819" t="inlineStr">
        <is>
          <t>C</t>
        </is>
      </c>
      <c r="E2819" t="inlineStr">
        <is>
          <t>rs6791872</t>
        </is>
      </c>
      <c r="F2819" t="n">
        <v>0.0282270804</v>
      </c>
      <c r="G2819" t="n">
        <v>0.1528887262671402</v>
      </c>
      <c r="H2819" t="n">
        <v>0.0125172068170933</v>
      </c>
      <c r="I2819" t="n">
        <v>0.3025913432839024</v>
      </c>
      <c r="J2819" t="n">
        <v>0.2981731930185538</v>
      </c>
      <c r="K2819" t="n">
        <v>0.2724529404340997</v>
      </c>
      <c r="L2819" t="b">
        <v>0</v>
      </c>
      <c r="M2819" t="b">
        <v>0</v>
      </c>
      <c r="N2819" t="inlineStr">
        <is>
          <t>alt</t>
        </is>
      </c>
      <c r="O2819" t="n">
        <v>100</v>
      </c>
      <c r="P2819" t="n">
        <v>0.002375</v>
      </c>
      <c r="Q2819" t="n">
        <v>-60</v>
      </c>
      <c r="R2819" t="n">
        <v>0.01196</v>
      </c>
      <c r="S2819">
        <f>IMAGE("https://mitra.stanford.edu/kundaje/oak/projects/neuro-variants/variant_position/credible/roussos_2024/variant_figures/roussos_2024.adolescence.GLU/rs6791872_count_position.png",4,220,900)</f>
        <v/>
      </c>
      <c r="T2819">
        <f>IMAGE("https://mitra.stanford.edu/kundaje/oak/projects/neuro-variants/variant_position/credible/roussos_2024/variant_figures/roussos_2024.adolescence.GLU/rs6791872_profile_position.png",4,220,900)</f>
        <v/>
      </c>
    </row>
    <row r="2820">
      <c r="A2820" t="inlineStr">
        <is>
          <t>chr3</t>
        </is>
      </c>
      <c r="B2820" t="n">
        <v>162044770</v>
      </c>
      <c r="C2820" t="inlineStr">
        <is>
          <t>G</t>
        </is>
      </c>
      <c r="D2820" t="inlineStr">
        <is>
          <t>A</t>
        </is>
      </c>
      <c r="E2820" t="inlineStr">
        <is>
          <t>rs6779000</t>
        </is>
      </c>
      <c r="F2820" t="n">
        <v>0.0122140371</v>
      </c>
      <c r="G2820" t="n">
        <v>0.443339555533788</v>
      </c>
      <c r="H2820" t="n">
        <v>0.0133080898380011</v>
      </c>
      <c r="I2820" t="n">
        <v>0.2547560693236639</v>
      </c>
      <c r="J2820" t="n">
        <v>0.2942652406569932</v>
      </c>
      <c r="K2820" t="n">
        <v>0.2780795705255147</v>
      </c>
      <c r="L2820" t="b">
        <v>0</v>
      </c>
      <c r="M2820" t="b">
        <v>0</v>
      </c>
      <c r="N2820" t="inlineStr">
        <is>
          <t>alt</t>
        </is>
      </c>
      <c r="O2820" t="n">
        <v>40</v>
      </c>
      <c r="P2820" t="n">
        <v>0.010376</v>
      </c>
      <c r="Q2820" t="n">
        <v>-90</v>
      </c>
      <c r="R2820" t="n">
        <v>0.1116</v>
      </c>
      <c r="S2820">
        <f>IMAGE("https://mitra.stanford.edu/kundaje/oak/projects/neuro-variants/variant_position/credible/roussos_2024/variant_figures/roussos_2024.adolescence.GLU/rs6779000_count_position.png",4,220,900)</f>
        <v/>
      </c>
      <c r="T2820">
        <f>IMAGE("https://mitra.stanford.edu/kundaje/oak/projects/neuro-variants/variant_position/credible/roussos_2024/variant_figures/roussos_2024.adolescence.GLU/rs6779000_profile_position.png",4,220,900)</f>
        <v/>
      </c>
    </row>
    <row r="2821">
      <c r="A2821" t="inlineStr">
        <is>
          <t>chr3</t>
        </is>
      </c>
      <c r="B2821" t="n">
        <v>162046589</v>
      </c>
      <c r="C2821" t="inlineStr">
        <is>
          <t>A</t>
        </is>
      </c>
      <c r="D2821" t="inlineStr">
        <is>
          <t>C</t>
        </is>
      </c>
      <c r="E2821" t="inlineStr">
        <is>
          <t>rs35298688</t>
        </is>
      </c>
      <c r="F2821" t="n">
        <v>-0.00380025972</v>
      </c>
      <c r="G2821" t="n">
        <v>0.8099876543714862</v>
      </c>
      <c r="H2821" t="n">
        <v>0.0182223272491773</v>
      </c>
      <c r="I2821" t="n">
        <v>0.0793376042304394</v>
      </c>
      <c r="J2821" t="n">
        <v>0.1615163140936336</v>
      </c>
      <c r="K2821" t="n">
        <v>0.4577013691357479</v>
      </c>
      <c r="L2821" t="b">
        <v>0</v>
      </c>
      <c r="M2821" t="b">
        <v>0</v>
      </c>
      <c r="N2821" t="inlineStr">
        <is>
          <t>ref</t>
        </is>
      </c>
      <c r="O2821" t="n">
        <v>100</v>
      </c>
      <c r="P2821" t="n">
        <v>0.00244</v>
      </c>
      <c r="Q2821" t="n">
        <v>-100</v>
      </c>
      <c r="R2821" t="n">
        <v>0.0829</v>
      </c>
      <c r="S2821">
        <f>IMAGE("https://mitra.stanford.edu/kundaje/oak/projects/neuro-variants/variant_position/credible/roussos_2024/variant_figures/roussos_2024.adolescence.GLU/rs35298688_count_position.png",4,220,900)</f>
        <v/>
      </c>
      <c r="T2821">
        <f>IMAGE("https://mitra.stanford.edu/kundaje/oak/projects/neuro-variants/variant_position/credible/roussos_2024/variant_figures/roussos_2024.adolescence.GLU/rs35298688_profile_position.png",4,220,900)</f>
        <v/>
      </c>
    </row>
    <row r="2822">
      <c r="A2822" t="inlineStr">
        <is>
          <t>chr3</t>
        </is>
      </c>
      <c r="B2822" t="n">
        <v>162051464</v>
      </c>
      <c r="C2822" t="inlineStr">
        <is>
          <t>C</t>
        </is>
      </c>
      <c r="D2822" t="inlineStr">
        <is>
          <t>G</t>
        </is>
      </c>
      <c r="E2822" t="inlineStr">
        <is>
          <t>rs6800277</t>
        </is>
      </c>
      <c r="F2822" t="n">
        <v>0.0654273864</v>
      </c>
      <c r="G2822" t="n">
        <v>0.030139998547977</v>
      </c>
      <c r="H2822" t="n">
        <v>0.0132782581530196</v>
      </c>
      <c r="I2822" t="n">
        <v>0.2437877310476802</v>
      </c>
      <c r="J2822" t="n">
        <v>0.2520936479699366</v>
      </c>
      <c r="K2822" t="n">
        <v>0.3294243818219882</v>
      </c>
      <c r="L2822" t="b">
        <v>0</v>
      </c>
      <c r="M2822" t="b">
        <v>0</v>
      </c>
      <c r="N2822" t="inlineStr">
        <is>
          <t>alt</t>
        </is>
      </c>
      <c r="O2822" t="n">
        <v>100</v>
      </c>
      <c r="P2822" t="n">
        <v>0.005646</v>
      </c>
      <c r="Q2822" t="n">
        <v>60</v>
      </c>
      <c r="R2822" t="n">
        <v>0.03088</v>
      </c>
      <c r="S2822">
        <f>IMAGE("https://mitra.stanford.edu/kundaje/oak/projects/neuro-variants/variant_position/credible/roussos_2024/variant_figures/roussos_2024.adolescence.GLU/rs6800277_count_position.png",4,220,900)</f>
        <v/>
      </c>
      <c r="T2822">
        <f>IMAGE("https://mitra.stanford.edu/kundaje/oak/projects/neuro-variants/variant_position/credible/roussos_2024/variant_figures/roussos_2024.adolescence.GLU/rs6800277_profile_position.png",4,220,900)</f>
        <v/>
      </c>
    </row>
    <row r="2823">
      <c r="A2823" t="inlineStr">
        <is>
          <t>chr3</t>
        </is>
      </c>
      <c r="B2823" t="n">
        <v>162052502</v>
      </c>
      <c r="C2823" t="inlineStr">
        <is>
          <t>G</t>
        </is>
      </c>
      <c r="D2823" t="inlineStr">
        <is>
          <t>A</t>
        </is>
      </c>
      <c r="E2823" t="inlineStr">
        <is>
          <t>rs12637049</t>
        </is>
      </c>
      <c r="F2823" t="n">
        <v>-0.08377856</v>
      </c>
      <c r="G2823" t="n">
        <v>0.0142402065953484</v>
      </c>
      <c r="H2823" t="n">
        <v>0.0135591694606429</v>
      </c>
      <c r="I2823" t="n">
        <v>0.2192533159429623</v>
      </c>
      <c r="J2823" t="n">
        <v>0.2182795007537275</v>
      </c>
      <c r="K2823" t="n">
        <v>0.3757315368516691</v>
      </c>
      <c r="L2823" t="b">
        <v>1</v>
      </c>
      <c r="M2823" t="b">
        <v>0</v>
      </c>
      <c r="N2823" t="inlineStr">
        <is>
          <t>ref</t>
        </is>
      </c>
      <c r="O2823" t="n">
        <v>65</v>
      </c>
      <c r="P2823" t="n">
        <v>0.01195</v>
      </c>
      <c r="Q2823" t="n">
        <v>-80</v>
      </c>
      <c r="R2823" t="n">
        <v>0.02844</v>
      </c>
      <c r="S2823">
        <f>IMAGE("https://mitra.stanford.edu/kundaje/oak/projects/neuro-variants/variant_position/credible/roussos_2024/variant_figures/roussos_2024.adolescence.GLU/rs12637049_count_position.png",4,220,900)</f>
        <v/>
      </c>
      <c r="T2823">
        <f>IMAGE("https://mitra.stanford.edu/kundaje/oak/projects/neuro-variants/variant_position/credible/roussos_2024/variant_figures/roussos_2024.adolescence.GLU/rs12637049_profile_position.png",4,220,900)</f>
        <v/>
      </c>
    </row>
    <row r="2824">
      <c r="A2824" t="inlineStr">
        <is>
          <t>chr3</t>
        </is>
      </c>
      <c r="B2824" t="n">
        <v>162053790</v>
      </c>
      <c r="C2824" t="inlineStr">
        <is>
          <t>A</t>
        </is>
      </c>
      <c r="D2824" t="inlineStr">
        <is>
          <t>T</t>
        </is>
      </c>
      <c r="E2824" t="inlineStr">
        <is>
          <t>rs61342226</t>
        </is>
      </c>
      <c r="F2824" t="n">
        <v>0.00496665838</v>
      </c>
      <c r="G2824" t="n">
        <v>0.7327328424574401</v>
      </c>
      <c r="H2824" t="n">
        <v>0.0104612401842009</v>
      </c>
      <c r="I2824" t="n">
        <v>0.4872704349649334</v>
      </c>
      <c r="J2824" t="n">
        <v>0.01885676318666</v>
      </c>
      <c r="K2824" t="n">
        <v>0.8226705268501175</v>
      </c>
      <c r="L2824" t="b">
        <v>0</v>
      </c>
      <c r="M2824" t="b">
        <v>0</v>
      </c>
      <c r="N2824" t="inlineStr">
        <is>
          <t>alt</t>
        </is>
      </c>
      <c r="O2824" t="n">
        <v>90</v>
      </c>
      <c r="P2824" t="n">
        <v>0.0052</v>
      </c>
      <c r="Q2824" t="n">
        <v>90</v>
      </c>
      <c r="R2824" t="n">
        <v>0.04077</v>
      </c>
      <c r="S2824">
        <f>IMAGE("https://mitra.stanford.edu/kundaje/oak/projects/neuro-variants/variant_position/credible/roussos_2024/variant_figures/roussos_2024.adolescence.GLU/rs61342226_count_position.png",4,220,900)</f>
        <v/>
      </c>
      <c r="T2824">
        <f>IMAGE("https://mitra.stanford.edu/kundaje/oak/projects/neuro-variants/variant_position/credible/roussos_2024/variant_figures/roussos_2024.adolescence.GLU/rs61342226_profile_position.png",4,220,900)</f>
        <v/>
      </c>
    </row>
    <row r="2825">
      <c r="A2825" t="inlineStr">
        <is>
          <t>chr3</t>
        </is>
      </c>
      <c r="B2825" t="n">
        <v>162053854</v>
      </c>
      <c r="C2825" t="inlineStr">
        <is>
          <t>C</t>
        </is>
      </c>
      <c r="D2825" t="inlineStr">
        <is>
          <t>T</t>
        </is>
      </c>
      <c r="E2825" t="inlineStr">
        <is>
          <t>rs34809784</t>
        </is>
      </c>
      <c r="F2825" t="n">
        <v>-0.00790788932</v>
      </c>
      <c r="G2825" t="n">
        <v>0.5750586919467949</v>
      </c>
      <c r="H2825" t="n">
        <v>0.0099822889626516</v>
      </c>
      <c r="I2825" t="n">
        <v>0.5237292903915608</v>
      </c>
      <c r="J2825" t="n">
        <v>0.0215644669252916</v>
      </c>
      <c r="K2825" t="n">
        <v>0.8085126038745167</v>
      </c>
      <c r="L2825" t="b">
        <v>0</v>
      </c>
      <c r="M2825" t="b">
        <v>0</v>
      </c>
      <c r="N2825" t="inlineStr">
        <is>
          <t>ref</t>
        </is>
      </c>
      <c r="O2825" t="n">
        <v>75</v>
      </c>
      <c r="P2825" t="n">
        <v>0.008095</v>
      </c>
      <c r="Q2825" t="n">
        <v>75</v>
      </c>
      <c r="R2825" t="n">
        <v>0.03452</v>
      </c>
      <c r="S2825">
        <f>IMAGE("https://mitra.stanford.edu/kundaje/oak/projects/neuro-variants/variant_position/credible/roussos_2024/variant_figures/roussos_2024.adolescence.GLU/rs34809784_count_position.png",4,220,900)</f>
        <v/>
      </c>
      <c r="T2825">
        <f>IMAGE("https://mitra.stanford.edu/kundaje/oak/projects/neuro-variants/variant_position/credible/roussos_2024/variant_figures/roussos_2024.adolescence.GLU/rs34809784_profile_position.png",4,220,900)</f>
        <v/>
      </c>
    </row>
    <row r="2826">
      <c r="A2826" t="inlineStr">
        <is>
          <t>chr3</t>
        </is>
      </c>
      <c r="B2826" t="n">
        <v>162055731</v>
      </c>
      <c r="C2826" t="inlineStr">
        <is>
          <t>A</t>
        </is>
      </c>
      <c r="D2826" t="inlineStr">
        <is>
          <t>C</t>
        </is>
      </c>
      <c r="E2826" t="inlineStr">
        <is>
          <t>rs13098556</t>
        </is>
      </c>
      <c r="F2826" t="n">
        <v>-0.00190059158</v>
      </c>
      <c r="G2826" t="n">
        <v>0.8654579045606695</v>
      </c>
      <c r="H2826" t="n">
        <v>0.0228114132991704</v>
      </c>
      <c r="I2826" t="n">
        <v>0.0288089778997268</v>
      </c>
      <c r="J2826" t="n">
        <v>0.001706067685449</v>
      </c>
      <c r="K2826" t="n">
        <v>0.957427727894157</v>
      </c>
      <c r="L2826" t="b">
        <v>0</v>
      </c>
      <c r="M2826" t="b">
        <v>0</v>
      </c>
      <c r="N2826" t="inlineStr">
        <is>
          <t>ref</t>
        </is>
      </c>
      <c r="O2826" t="n">
        <v>100</v>
      </c>
      <c r="P2826" t="n">
        <v>0.04736</v>
      </c>
      <c r="Q2826" t="n">
        <v>45</v>
      </c>
      <c r="R2826" t="n">
        <v>0.06836</v>
      </c>
      <c r="S2826">
        <f>IMAGE("https://mitra.stanford.edu/kundaje/oak/projects/neuro-variants/variant_position/credible/roussos_2024/variant_figures/roussos_2024.adolescence.GLU/rs13098556_count_position.png",4,220,900)</f>
        <v/>
      </c>
      <c r="T2826">
        <f>IMAGE("https://mitra.stanford.edu/kundaje/oak/projects/neuro-variants/variant_position/credible/roussos_2024/variant_figures/roussos_2024.adolescence.GLU/rs13098556_profile_position.png",4,220,900)</f>
        <v/>
      </c>
    </row>
    <row r="2827">
      <c r="A2827" t="inlineStr">
        <is>
          <t>chr3</t>
        </is>
      </c>
      <c r="B2827" t="n">
        <v>162058404</v>
      </c>
      <c r="C2827" t="inlineStr">
        <is>
          <t>T</t>
        </is>
      </c>
      <c r="D2827" t="inlineStr">
        <is>
          <t>A</t>
        </is>
      </c>
      <c r="E2827" t="inlineStr">
        <is>
          <t>rs12629678</t>
        </is>
      </c>
      <c r="F2827" t="n">
        <v>-0.013607078</v>
      </c>
      <c r="G2827" t="n">
        <v>0.4241040258404908</v>
      </c>
      <c r="H2827" t="n">
        <v>0.0145220261469515</v>
      </c>
      <c r="I2827" t="n">
        <v>0.1815441204633467</v>
      </c>
      <c r="J2827" t="n">
        <v>0.0192497017239284</v>
      </c>
      <c r="K2827" t="n">
        <v>0.8213144921199542</v>
      </c>
      <c r="L2827" t="b">
        <v>0</v>
      </c>
      <c r="M2827" t="b">
        <v>0</v>
      </c>
      <c r="N2827" t="inlineStr">
        <is>
          <t>ref</t>
        </is>
      </c>
      <c r="O2827" t="n">
        <v>-55</v>
      </c>
      <c r="P2827" t="n">
        <v>0.015175</v>
      </c>
      <c r="Q2827" t="n">
        <v>-50</v>
      </c>
      <c r="R2827" t="n">
        <v>0.0226</v>
      </c>
      <c r="S2827">
        <f>IMAGE("https://mitra.stanford.edu/kundaje/oak/projects/neuro-variants/variant_position/credible/roussos_2024/variant_figures/roussos_2024.adolescence.GLU/rs12629678_count_position.png",4,220,900)</f>
        <v/>
      </c>
      <c r="T2827">
        <f>IMAGE("https://mitra.stanford.edu/kundaje/oak/projects/neuro-variants/variant_position/credible/roussos_2024/variant_figures/roussos_2024.adolescence.GLU/rs12629678_profile_position.png",4,220,900)</f>
        <v/>
      </c>
    </row>
    <row r="2828">
      <c r="A2828" t="inlineStr">
        <is>
          <t>chr3</t>
        </is>
      </c>
      <c r="B2828" t="n">
        <v>162059288</v>
      </c>
      <c r="C2828" t="inlineStr">
        <is>
          <t>G</t>
        </is>
      </c>
      <c r="D2828" t="inlineStr">
        <is>
          <t>A</t>
        </is>
      </c>
      <c r="E2828" t="inlineStr">
        <is>
          <t>rs13090291</t>
        </is>
      </c>
      <c r="F2828" t="n">
        <v>-0.1128183818</v>
      </c>
      <c r="G2828" t="n">
        <v>0.0055219238428964</v>
      </c>
      <c r="H2828" t="n">
        <v>0.0213490324224845</v>
      </c>
      <c r="I2828" t="n">
        <v>0.0413617680944991</v>
      </c>
      <c r="J2828" t="n">
        <v>0.1821591615406048</v>
      </c>
      <c r="K2828" t="n">
        <v>0.432240965046054</v>
      </c>
      <c r="L2828" t="b">
        <v>1</v>
      </c>
      <c r="M2828" t="b">
        <v>1</v>
      </c>
      <c r="N2828" t="inlineStr">
        <is>
          <t>ref</t>
        </is>
      </c>
      <c r="O2828" t="n">
        <v>-100</v>
      </c>
      <c r="P2828" t="n">
        <v>0.006226</v>
      </c>
      <c r="Q2828" t="n">
        <v>80</v>
      </c>
      <c r="R2828" t="n">
        <v>0.04816</v>
      </c>
      <c r="S2828">
        <f>IMAGE("https://mitra.stanford.edu/kundaje/oak/projects/neuro-variants/variant_position/credible/roussos_2024/variant_figures/roussos_2024.adolescence.GLU/rs13090291_count_position.png",4,220,900)</f>
        <v/>
      </c>
      <c r="T2828">
        <f>IMAGE("https://mitra.stanford.edu/kundaje/oak/projects/neuro-variants/variant_position/credible/roussos_2024/variant_figures/roussos_2024.adolescence.GLU/rs13090291_profile_position.png",4,220,900)</f>
        <v/>
      </c>
    </row>
    <row r="2829">
      <c r="A2829" t="inlineStr">
        <is>
          <t>chr3</t>
        </is>
      </c>
      <c r="B2829" t="n">
        <v>162059363</v>
      </c>
      <c r="C2829" t="inlineStr">
        <is>
          <t>G</t>
        </is>
      </c>
      <c r="D2829" t="inlineStr">
        <is>
          <t>A</t>
        </is>
      </c>
      <c r="E2829" t="inlineStr">
        <is>
          <t>rs1119975</t>
        </is>
      </c>
      <c r="F2829" t="n">
        <v>0.0278664318</v>
      </c>
      <c r="G2829" t="n">
        <v>0.1894807136087092</v>
      </c>
      <c r="H2829" t="n">
        <v>0.0118698695682488</v>
      </c>
      <c r="I2829" t="n">
        <v>0.3734200940018927</v>
      </c>
      <c r="J2829" t="n">
        <v>0.2034678611998199</v>
      </c>
      <c r="K2829" t="n">
        <v>0.3992527880304689</v>
      </c>
      <c r="L2829" t="b">
        <v>0</v>
      </c>
      <c r="M2829" t="b">
        <v>0</v>
      </c>
      <c r="N2829" t="inlineStr">
        <is>
          <t>alt</t>
        </is>
      </c>
      <c r="O2829" t="n">
        <v>-100</v>
      </c>
      <c r="P2829" t="n">
        <v>0.003815</v>
      </c>
      <c r="Q2829" t="n">
        <v>5</v>
      </c>
      <c r="R2829" t="n">
        <v>0.009639999999999999</v>
      </c>
      <c r="S2829">
        <f>IMAGE("https://mitra.stanford.edu/kundaje/oak/projects/neuro-variants/variant_position/credible/roussos_2024/variant_figures/roussos_2024.adolescence.GLU/rs1119975_count_position.png",4,220,900)</f>
        <v/>
      </c>
      <c r="T2829">
        <f>IMAGE("https://mitra.stanford.edu/kundaje/oak/projects/neuro-variants/variant_position/credible/roussos_2024/variant_figures/roussos_2024.adolescence.GLU/rs1119975_profile_position.png",4,220,900)</f>
        <v/>
      </c>
    </row>
    <row r="2830">
      <c r="A2830" t="inlineStr">
        <is>
          <t>chr3</t>
        </is>
      </c>
      <c r="B2830" t="n">
        <v>162061881</v>
      </c>
      <c r="C2830" t="inlineStr">
        <is>
          <t>A</t>
        </is>
      </c>
      <c r="D2830" t="inlineStr">
        <is>
          <t>G</t>
        </is>
      </c>
      <c r="E2830" t="inlineStr">
        <is>
          <t>rs35626895</t>
        </is>
      </c>
      <c r="F2830" t="n">
        <v>0.0276895486</v>
      </c>
      <c r="G2830" t="n">
        <v>0.1910903748181839</v>
      </c>
      <c r="H2830" t="n">
        <v>0.0105455166836424</v>
      </c>
      <c r="I2830" t="n">
        <v>0.453690962259878</v>
      </c>
      <c r="J2830" t="n">
        <v>0.0548756528137971</v>
      </c>
      <c r="K2830" t="n">
        <v>0.683025057073938</v>
      </c>
      <c r="L2830" t="b">
        <v>0</v>
      </c>
      <c r="M2830" t="b">
        <v>0</v>
      </c>
      <c r="N2830" t="inlineStr">
        <is>
          <t>alt</t>
        </is>
      </c>
      <c r="O2830" t="n">
        <v>-100</v>
      </c>
      <c r="P2830" t="n">
        <v>0.05188</v>
      </c>
      <c r="Q2830" t="n">
        <v>95</v>
      </c>
      <c r="R2830" t="n">
        <v>0.03214</v>
      </c>
      <c r="S2830">
        <f>IMAGE("https://mitra.stanford.edu/kundaje/oak/projects/neuro-variants/variant_position/credible/roussos_2024/variant_figures/roussos_2024.adolescence.GLU/rs35626895_count_position.png",4,220,900)</f>
        <v/>
      </c>
      <c r="T2830">
        <f>IMAGE("https://mitra.stanford.edu/kundaje/oak/projects/neuro-variants/variant_position/credible/roussos_2024/variant_figures/roussos_2024.adolescence.GLU/rs35626895_profile_position.png",4,220,900)</f>
        <v/>
      </c>
    </row>
    <row r="2831">
      <c r="A2831" t="inlineStr">
        <is>
          <t>chr3</t>
        </is>
      </c>
      <c r="B2831" t="n">
        <v>162062409</v>
      </c>
      <c r="C2831" t="inlineStr">
        <is>
          <t>C</t>
        </is>
      </c>
      <c r="D2831" t="inlineStr">
        <is>
          <t>T</t>
        </is>
      </c>
      <c r="E2831" t="inlineStr">
        <is>
          <t>rs871932</t>
        </is>
      </c>
      <c r="F2831" t="n">
        <v>-0.00338977932</v>
      </c>
      <c r="G2831" t="n">
        <v>0.7832572036753673</v>
      </c>
      <c r="H2831" t="n">
        <v>0.0135156401761055</v>
      </c>
      <c r="I2831" t="n">
        <v>0.238061582327621</v>
      </c>
      <c r="J2831" t="n">
        <v>0.0581749076594437</v>
      </c>
      <c r="K2831" t="n">
        <v>0.6707968729314562</v>
      </c>
      <c r="L2831" t="b">
        <v>0</v>
      </c>
      <c r="M2831" t="b">
        <v>0</v>
      </c>
      <c r="N2831" t="inlineStr">
        <is>
          <t>ref</t>
        </is>
      </c>
      <c r="O2831" t="n">
        <v>-70</v>
      </c>
      <c r="P2831" t="n">
        <v>0.0015335</v>
      </c>
      <c r="Q2831" t="n">
        <v>80</v>
      </c>
      <c r="R2831" t="n">
        <v>0.065</v>
      </c>
      <c r="S2831">
        <f>IMAGE("https://mitra.stanford.edu/kundaje/oak/projects/neuro-variants/variant_position/credible/roussos_2024/variant_figures/roussos_2024.adolescence.GLU/rs871932_count_position.png",4,220,900)</f>
        <v/>
      </c>
      <c r="T2831">
        <f>IMAGE("https://mitra.stanford.edu/kundaje/oak/projects/neuro-variants/variant_position/credible/roussos_2024/variant_figures/roussos_2024.adolescence.GLU/rs871932_profile_position.png",4,220,900)</f>
        <v/>
      </c>
    </row>
    <row r="2832">
      <c r="A2832" t="inlineStr">
        <is>
          <t>chr3</t>
        </is>
      </c>
      <c r="B2832" t="n">
        <v>162063361</v>
      </c>
      <c r="C2832" t="inlineStr">
        <is>
          <t>C</t>
        </is>
      </c>
      <c r="D2832" t="inlineStr">
        <is>
          <t>T</t>
        </is>
      </c>
      <c r="E2832" t="inlineStr">
        <is>
          <t>rs6804840</t>
        </is>
      </c>
      <c r="F2832" t="n">
        <v>-0.0441275336</v>
      </c>
      <c r="G2832" t="n">
        <v>0.0949671760744238</v>
      </c>
      <c r="H2832" t="n">
        <v>0.013510682723094</v>
      </c>
      <c r="I2832" t="n">
        <v>0.2557011102986897</v>
      </c>
      <c r="J2832" t="n">
        <v>0.0932321695208292</v>
      </c>
      <c r="K2832" t="n">
        <v>0.5878302090672822</v>
      </c>
      <c r="L2832" t="b">
        <v>0</v>
      </c>
      <c r="M2832" t="b">
        <v>0</v>
      </c>
      <c r="N2832" t="inlineStr">
        <is>
          <t>ref</t>
        </is>
      </c>
      <c r="O2832" t="n">
        <v>-100</v>
      </c>
      <c r="P2832" t="n">
        <v>0.0008698</v>
      </c>
      <c r="Q2832" t="n">
        <v>-40</v>
      </c>
      <c r="R2832" t="n">
        <v>0.01428</v>
      </c>
      <c r="S2832">
        <f>IMAGE("https://mitra.stanford.edu/kundaje/oak/projects/neuro-variants/variant_position/credible/roussos_2024/variant_figures/roussos_2024.adolescence.GLU/rs6804840_count_position.png",4,220,900)</f>
        <v/>
      </c>
      <c r="T2832">
        <f>IMAGE("https://mitra.stanford.edu/kundaje/oak/projects/neuro-variants/variant_position/credible/roussos_2024/variant_figures/roussos_2024.adolescence.GLU/rs6804840_profile_position.png",4,220,900)</f>
        <v/>
      </c>
    </row>
    <row r="2833">
      <c r="A2833" t="inlineStr">
        <is>
          <t>chr3</t>
        </is>
      </c>
      <c r="B2833" t="n">
        <v>162065913</v>
      </c>
      <c r="C2833" t="inlineStr">
        <is>
          <t>A</t>
        </is>
      </c>
      <c r="D2833" t="inlineStr">
        <is>
          <t>G</t>
        </is>
      </c>
      <c r="E2833" t="inlineStr">
        <is>
          <t>rs35797074</t>
        </is>
      </c>
      <c r="F2833" t="n">
        <v>-0.0030184911</v>
      </c>
      <c r="G2833" t="n">
        <v>0.7014924520232126</v>
      </c>
      <c r="H2833" t="n">
        <v>0.0088154165913707</v>
      </c>
      <c r="I2833" t="n">
        <v>0.6925118827509528</v>
      </c>
      <c r="J2833" t="n">
        <v>0.001993270034507</v>
      </c>
      <c r="K2833" t="n">
        <v>0.9590339672639124</v>
      </c>
      <c r="L2833" t="b">
        <v>0</v>
      </c>
      <c r="M2833" t="b">
        <v>0</v>
      </c>
      <c r="N2833" t="inlineStr">
        <is>
          <t>ref</t>
        </is>
      </c>
      <c r="O2833" t="n">
        <v>-95</v>
      </c>
      <c r="P2833" t="n">
        <v>0.006065</v>
      </c>
      <c r="Q2833" t="n">
        <v>-65</v>
      </c>
      <c r="R2833" t="n">
        <v>0.02145</v>
      </c>
      <c r="S2833">
        <f>IMAGE("https://mitra.stanford.edu/kundaje/oak/projects/neuro-variants/variant_position/credible/roussos_2024/variant_figures/roussos_2024.adolescence.GLU/rs35797074_count_position.png",4,220,900)</f>
        <v/>
      </c>
      <c r="T2833">
        <f>IMAGE("https://mitra.stanford.edu/kundaje/oak/projects/neuro-variants/variant_position/credible/roussos_2024/variant_figures/roussos_2024.adolescence.GLU/rs35797074_profile_position.png",4,220,900)</f>
        <v/>
      </c>
    </row>
    <row r="2834">
      <c r="A2834" t="inlineStr">
        <is>
          <t>chr3</t>
        </is>
      </c>
      <c r="B2834" t="n">
        <v>162072290</v>
      </c>
      <c r="C2834" t="inlineStr">
        <is>
          <t>A</t>
        </is>
      </c>
      <c r="D2834" t="inlineStr">
        <is>
          <t>T</t>
        </is>
      </c>
      <c r="E2834" t="inlineStr">
        <is>
          <t>rs12638648</t>
        </is>
      </c>
      <c r="F2834" t="n">
        <v>-0.0203060334</v>
      </c>
      <c r="G2834" t="n">
        <v>0.311366938482112</v>
      </c>
      <c r="H2834" t="n">
        <v>0.0131074314736963</v>
      </c>
      <c r="I2834" t="n">
        <v>0.2599043890026365</v>
      </c>
      <c r="J2834" t="n">
        <v>0.1126347600574404</v>
      </c>
      <c r="K2834" t="n">
        <v>0.5477139118907172</v>
      </c>
      <c r="L2834" t="b">
        <v>0</v>
      </c>
      <c r="M2834" t="b">
        <v>0</v>
      </c>
      <c r="N2834" t="inlineStr">
        <is>
          <t>ref</t>
        </is>
      </c>
      <c r="O2834" t="n">
        <v>85</v>
      </c>
      <c r="P2834" t="n">
        <v>0.006622</v>
      </c>
      <c r="Q2834" t="n">
        <v>-100</v>
      </c>
      <c r="R2834" t="n">
        <v>0.02502</v>
      </c>
      <c r="S2834">
        <f>IMAGE("https://mitra.stanford.edu/kundaje/oak/projects/neuro-variants/variant_position/credible/roussos_2024/variant_figures/roussos_2024.adolescence.GLU/rs12638648_count_position.png",4,220,900)</f>
        <v/>
      </c>
      <c r="T2834">
        <f>IMAGE("https://mitra.stanford.edu/kundaje/oak/projects/neuro-variants/variant_position/credible/roussos_2024/variant_figures/roussos_2024.adolescence.GLU/rs12638648_profile_position.png",4,220,900)</f>
        <v/>
      </c>
    </row>
    <row r="2835">
      <c r="A2835" t="inlineStr">
        <is>
          <t>chr3</t>
        </is>
      </c>
      <c r="B2835" t="n">
        <v>162077857</v>
      </c>
      <c r="C2835" t="inlineStr">
        <is>
          <t>C</t>
        </is>
      </c>
      <c r="D2835" t="inlineStr">
        <is>
          <t>A</t>
        </is>
      </c>
      <c r="E2835" t="inlineStr">
        <is>
          <t>rs6789240</t>
        </is>
      </c>
      <c r="F2835" t="n">
        <v>0.0163835167</v>
      </c>
      <c r="G2835" t="n">
        <v>0.3609966107038966</v>
      </c>
      <c r="H2835" t="n">
        <v>0.0339389519185002</v>
      </c>
      <c r="I2835" t="n">
        <v>0.0050426404583365</v>
      </c>
      <c r="J2835" t="n">
        <v>0.0166248722949753</v>
      </c>
      <c r="K2835" t="n">
        <v>0.8486080585788658</v>
      </c>
      <c r="L2835" t="b">
        <v>1</v>
      </c>
      <c r="M2835" t="b">
        <v>0</v>
      </c>
      <c r="N2835" t="inlineStr">
        <is>
          <t>alt</t>
        </is>
      </c>
      <c r="O2835" t="n">
        <v>-100</v>
      </c>
      <c r="P2835" t="n">
        <v>0.006393</v>
      </c>
      <c r="Q2835" t="n">
        <v>-10</v>
      </c>
      <c r="R2835" t="n">
        <v>0.02979</v>
      </c>
      <c r="S2835">
        <f>IMAGE("https://mitra.stanford.edu/kundaje/oak/projects/neuro-variants/variant_position/credible/roussos_2024/variant_figures/roussos_2024.adolescence.GLU/rs6789240_count_position.png",4,220,900)</f>
        <v/>
      </c>
      <c r="T2835">
        <f>IMAGE("https://mitra.stanford.edu/kundaje/oak/projects/neuro-variants/variant_position/credible/roussos_2024/variant_figures/roussos_2024.adolescence.GLU/rs6789240_profile_position.png",4,220,900)</f>
        <v/>
      </c>
    </row>
    <row r="2836">
      <c r="A2836" t="inlineStr">
        <is>
          <t>chr3</t>
        </is>
      </c>
      <c r="B2836" t="n">
        <v>162106620</v>
      </c>
      <c r="C2836" t="inlineStr">
        <is>
          <t>G</t>
        </is>
      </c>
      <c r="D2836" t="inlineStr">
        <is>
          <t>A</t>
        </is>
      </c>
      <c r="E2836" t="inlineStr">
        <is>
          <t>rs13088846</t>
        </is>
      </c>
      <c r="F2836" t="n">
        <v>-0.0052796788599999</v>
      </c>
      <c r="G2836" t="n">
        <v>0.642206690255536</v>
      </c>
      <c r="H2836" t="n">
        <v>0.0188991707875671</v>
      </c>
      <c r="I2836" t="n">
        <v>0.07095354546001111</v>
      </c>
      <c r="J2836" t="n">
        <v>0.0075329889762878</v>
      </c>
      <c r="K2836" t="n">
        <v>0.8994306238194665</v>
      </c>
      <c r="L2836" t="b">
        <v>0</v>
      </c>
      <c r="M2836" t="b">
        <v>0</v>
      </c>
      <c r="N2836" t="inlineStr">
        <is>
          <t>ref</t>
        </is>
      </c>
      <c r="O2836" t="n">
        <v>-60</v>
      </c>
      <c r="P2836" t="n">
        <v>0.00614</v>
      </c>
      <c r="Q2836" t="n">
        <v>-65</v>
      </c>
      <c r="R2836" t="n">
        <v>0.06444999999999999</v>
      </c>
      <c r="S2836">
        <f>IMAGE("https://mitra.stanford.edu/kundaje/oak/projects/neuro-variants/variant_position/credible/roussos_2024/variant_figures/roussos_2024.adolescence.GLU/rs13088846_count_position.png",4,220,900)</f>
        <v/>
      </c>
      <c r="T2836">
        <f>IMAGE("https://mitra.stanford.edu/kundaje/oak/projects/neuro-variants/variant_position/credible/roussos_2024/variant_figures/roussos_2024.adolescence.GLU/rs13088846_profile_position.png",4,220,900)</f>
        <v/>
      </c>
    </row>
    <row r="2837">
      <c r="A2837" t="inlineStr">
        <is>
          <t>chr3</t>
        </is>
      </c>
      <c r="B2837" t="n">
        <v>177012411</v>
      </c>
      <c r="C2837" t="inlineStr">
        <is>
          <t>G</t>
        </is>
      </c>
      <c r="D2837" t="inlineStr">
        <is>
          <t>A</t>
        </is>
      </c>
      <c r="E2837" t="inlineStr">
        <is>
          <t>rs6792256</t>
        </is>
      </c>
      <c r="F2837" t="n">
        <v>-0.0063975227999999</v>
      </c>
      <c r="G2837" t="n">
        <v>0.6566439165586584</v>
      </c>
      <c r="H2837" t="n">
        <v>0.0137151685108463</v>
      </c>
      <c r="I2837" t="n">
        <v>0.2246659757983434</v>
      </c>
      <c r="J2837" t="n">
        <v>0.0529781168956426</v>
      </c>
      <c r="K2837" t="n">
        <v>0.6920450037863977</v>
      </c>
      <c r="L2837" t="b">
        <v>0</v>
      </c>
      <c r="M2837" t="b">
        <v>0</v>
      </c>
      <c r="N2837" t="inlineStr">
        <is>
          <t>ref</t>
        </is>
      </c>
      <c r="O2837" t="n">
        <v>-80</v>
      </c>
      <c r="P2837" t="n">
        <v>0.0137</v>
      </c>
      <c r="Q2837" t="n">
        <v>75</v>
      </c>
      <c r="R2837" t="n">
        <v>0.04242</v>
      </c>
      <c r="S2837">
        <f>IMAGE("https://mitra.stanford.edu/kundaje/oak/projects/neuro-variants/variant_position/credible/roussos_2024/variant_figures/roussos_2024.adolescence.GLU/rs6792256_count_position.png",4,220,900)</f>
        <v/>
      </c>
      <c r="T2837">
        <f>IMAGE("https://mitra.stanford.edu/kundaje/oak/projects/neuro-variants/variant_position/credible/roussos_2024/variant_figures/roussos_2024.adolescence.GLU/rs6792256_profile_position.png",4,220,900)</f>
        <v/>
      </c>
    </row>
    <row r="2838">
      <c r="A2838" t="inlineStr">
        <is>
          <t>chr3</t>
        </is>
      </c>
      <c r="B2838" t="n">
        <v>177020270</v>
      </c>
      <c r="C2838" t="inlineStr">
        <is>
          <t>T</t>
        </is>
      </c>
      <c r="D2838" t="inlineStr">
        <is>
          <t>G</t>
        </is>
      </c>
      <c r="E2838" t="inlineStr">
        <is>
          <t>rs7612699</t>
        </is>
      </c>
      <c r="F2838" t="n">
        <v>-0.0117641042</v>
      </c>
      <c r="G2838" t="n">
        <v>0.4720597988447156</v>
      </c>
      <c r="H2838" t="n">
        <v>0.0130688378039442</v>
      </c>
      <c r="I2838" t="n">
        <v>0.2516474195538256</v>
      </c>
      <c r="J2838" t="n">
        <v>0.0068128398025304</v>
      </c>
      <c r="K2838" t="n">
        <v>0.9050626538243158</v>
      </c>
      <c r="L2838" t="b">
        <v>0</v>
      </c>
      <c r="M2838" t="b">
        <v>0</v>
      </c>
      <c r="N2838" t="inlineStr">
        <is>
          <t>ref</t>
        </is>
      </c>
      <c r="O2838" t="n">
        <v>5</v>
      </c>
      <c r="P2838" t="n">
        <v>0.0006866</v>
      </c>
      <c r="Q2838" t="n">
        <v>-45</v>
      </c>
      <c r="R2838" t="n">
        <v>0.0359</v>
      </c>
      <c r="S2838">
        <f>IMAGE("https://mitra.stanford.edu/kundaje/oak/projects/neuro-variants/variant_position/credible/roussos_2024/variant_figures/roussos_2024.adolescence.GLU/rs7612699_count_position.png",4,220,900)</f>
        <v/>
      </c>
      <c r="T2838">
        <f>IMAGE("https://mitra.stanford.edu/kundaje/oak/projects/neuro-variants/variant_position/credible/roussos_2024/variant_figures/roussos_2024.adolescence.GLU/rs7612699_profile_position.png",4,220,900)</f>
        <v/>
      </c>
    </row>
    <row r="2839">
      <c r="A2839" t="inlineStr">
        <is>
          <t>chr3</t>
        </is>
      </c>
      <c r="B2839" t="n">
        <v>177021010</v>
      </c>
      <c r="C2839" t="inlineStr">
        <is>
          <t>T</t>
        </is>
      </c>
      <c r="D2839" t="inlineStr">
        <is>
          <t>C</t>
        </is>
      </c>
      <c r="E2839" t="inlineStr">
        <is>
          <t>rs6983</t>
        </is>
      </c>
      <c r="F2839" t="n">
        <v>0.0248443036</v>
      </c>
      <c r="G2839" t="n">
        <v>0.2147007544346642</v>
      </c>
      <c r="H2839" t="n">
        <v>0.0077134381647633</v>
      </c>
      <c r="I2839" t="n">
        <v>0.8352364203878401</v>
      </c>
      <c r="J2839" t="n">
        <v>0.0385594158790034</v>
      </c>
      <c r="K2839" t="n">
        <v>0.7385269978430934</v>
      </c>
      <c r="L2839" t="b">
        <v>0</v>
      </c>
      <c r="M2839" t="b">
        <v>0</v>
      </c>
      <c r="N2839" t="inlineStr">
        <is>
          <t>alt</t>
        </is>
      </c>
      <c r="O2839" t="n">
        <v>-55</v>
      </c>
      <c r="P2839" t="n">
        <v>0.001072</v>
      </c>
      <c r="Q2839" t="n">
        <v>100</v>
      </c>
      <c r="R2839" t="n">
        <v>0.03925</v>
      </c>
      <c r="S2839">
        <f>IMAGE("https://mitra.stanford.edu/kundaje/oak/projects/neuro-variants/variant_position/credible/roussos_2024/variant_figures/roussos_2024.adolescence.GLU/rs6983_count_position.png",4,220,900)</f>
        <v/>
      </c>
      <c r="T2839">
        <f>IMAGE("https://mitra.stanford.edu/kundaje/oak/projects/neuro-variants/variant_position/credible/roussos_2024/variant_figures/roussos_2024.adolescence.GLU/rs6983_profile_position.png",4,220,900)</f>
        <v/>
      </c>
    </row>
    <row r="2840">
      <c r="A2840" t="inlineStr">
        <is>
          <t>chr3</t>
        </is>
      </c>
      <c r="B2840" t="n">
        <v>177049320</v>
      </c>
      <c r="C2840" t="inlineStr">
        <is>
          <t>G</t>
        </is>
      </c>
      <c r="D2840" t="inlineStr">
        <is>
          <t>A</t>
        </is>
      </c>
      <c r="E2840" t="inlineStr">
        <is>
          <t>rs9825834</t>
        </is>
      </c>
      <c r="F2840" t="n">
        <v>-0.0417292866</v>
      </c>
      <c r="G2840" t="n">
        <v>0.1061719255782543</v>
      </c>
      <c r="H2840" t="n">
        <v>0.0126923992777362</v>
      </c>
      <c r="I2840" t="n">
        <v>0.2929651195426533</v>
      </c>
      <c r="J2840" t="n">
        <v>0.0981103228525908</v>
      </c>
      <c r="K2840" t="n">
        <v>0.5746305300728384</v>
      </c>
      <c r="L2840" t="b">
        <v>0</v>
      </c>
      <c r="M2840" t="b">
        <v>0</v>
      </c>
      <c r="N2840" t="inlineStr">
        <is>
          <t>ref</t>
        </is>
      </c>
      <c r="O2840" t="n">
        <v>-100</v>
      </c>
      <c r="P2840" t="n">
        <v>0.03522</v>
      </c>
      <c r="Q2840" t="n">
        <v>-100</v>
      </c>
      <c r="R2840" t="n">
        <v>0.06510000000000001</v>
      </c>
      <c r="S2840">
        <f>IMAGE("https://mitra.stanford.edu/kundaje/oak/projects/neuro-variants/variant_position/credible/roussos_2024/variant_figures/roussos_2024.adolescence.GLU/rs9825834_count_position.png",4,220,900)</f>
        <v/>
      </c>
      <c r="T2840">
        <f>IMAGE("https://mitra.stanford.edu/kundaje/oak/projects/neuro-variants/variant_position/credible/roussos_2024/variant_figures/roussos_2024.adolescence.GLU/rs9825834_profile_position.png",4,220,900)</f>
        <v/>
      </c>
    </row>
    <row r="2841">
      <c r="A2841" t="inlineStr">
        <is>
          <t>chr3</t>
        </is>
      </c>
      <c r="B2841" t="n">
        <v>177051099</v>
      </c>
      <c r="C2841" t="inlineStr">
        <is>
          <t>G</t>
        </is>
      </c>
      <c r="D2841" t="inlineStr">
        <is>
          <t>A</t>
        </is>
      </c>
      <c r="E2841" t="inlineStr">
        <is>
          <t>rs28649009</t>
        </is>
      </c>
      <c r="F2841" t="n">
        <v>-0.0057248677399999</v>
      </c>
      <c r="G2841" t="n">
        <v>0.7103305326409344</v>
      </c>
      <c r="H2841" t="n">
        <v>0.0149505166738528</v>
      </c>
      <c r="I2841" t="n">
        <v>0.159287766297925</v>
      </c>
      <c r="J2841" t="n">
        <v>0.2666609511970336</v>
      </c>
      <c r="K2841" t="n">
        <v>0.2998250331061927</v>
      </c>
      <c r="L2841" t="b">
        <v>0</v>
      </c>
      <c r="M2841" t="b">
        <v>0</v>
      </c>
      <c r="N2841" t="inlineStr">
        <is>
          <t>ref</t>
        </is>
      </c>
      <c r="O2841" t="n">
        <v>-65</v>
      </c>
      <c r="P2841" t="n">
        <v>0.05252</v>
      </c>
      <c r="Q2841" t="n">
        <v>-45</v>
      </c>
      <c r="R2841" t="n">
        <v>0.3523</v>
      </c>
      <c r="S2841">
        <f>IMAGE("https://mitra.stanford.edu/kundaje/oak/projects/neuro-variants/variant_position/credible/roussos_2024/variant_figures/roussos_2024.adolescence.GLU/rs28649009_count_position.png",4,220,900)</f>
        <v/>
      </c>
      <c r="T2841">
        <f>IMAGE("https://mitra.stanford.edu/kundaje/oak/projects/neuro-variants/variant_position/credible/roussos_2024/variant_figures/roussos_2024.adolescence.GLU/rs28649009_profile_position.png",4,220,900)</f>
        <v/>
      </c>
    </row>
    <row r="2842">
      <c r="A2842" t="inlineStr">
        <is>
          <t>chr3</t>
        </is>
      </c>
      <c r="B2842" t="n">
        <v>177076829</v>
      </c>
      <c r="C2842" t="inlineStr">
        <is>
          <t>C</t>
        </is>
      </c>
      <c r="D2842" t="inlineStr">
        <is>
          <t>A</t>
        </is>
      </c>
      <c r="E2842" t="inlineStr">
        <is>
          <t>rs9838212</t>
        </is>
      </c>
      <c r="F2842" t="n">
        <v>-0.0140195228</v>
      </c>
      <c r="G2842" t="n">
        <v>0.4134467391679721</v>
      </c>
      <c r="H2842" t="n">
        <v>0.0202761330043507</v>
      </c>
      <c r="I2842" t="n">
        <v>0.055604440702144</v>
      </c>
      <c r="J2842" t="n">
        <v>0.0146387465975094</v>
      </c>
      <c r="K2842" t="n">
        <v>0.8568476047582301</v>
      </c>
      <c r="L2842" t="b">
        <v>0</v>
      </c>
      <c r="M2842" t="b">
        <v>0</v>
      </c>
      <c r="N2842" t="inlineStr">
        <is>
          <t>ref</t>
        </is>
      </c>
      <c r="O2842" t="n">
        <v>-90</v>
      </c>
      <c r="P2842" t="n">
        <v>0.00346</v>
      </c>
      <c r="Q2842" t="n">
        <v>95</v>
      </c>
      <c r="R2842" t="n">
        <v>0.0706</v>
      </c>
      <c r="S2842">
        <f>IMAGE("https://mitra.stanford.edu/kundaje/oak/projects/neuro-variants/variant_position/credible/roussos_2024/variant_figures/roussos_2024.adolescence.GLU/rs9838212_count_position.png",4,220,900)</f>
        <v/>
      </c>
      <c r="T2842">
        <f>IMAGE("https://mitra.stanford.edu/kundaje/oak/projects/neuro-variants/variant_position/credible/roussos_2024/variant_figures/roussos_2024.adolescence.GLU/rs9838212_profile_position.png",4,220,900)</f>
        <v/>
      </c>
    </row>
    <row r="2843">
      <c r="A2843" t="inlineStr">
        <is>
          <t>chr3</t>
        </is>
      </c>
      <c r="B2843" t="n">
        <v>177130159</v>
      </c>
      <c r="C2843" t="inlineStr">
        <is>
          <t>G</t>
        </is>
      </c>
      <c r="D2843" t="inlineStr">
        <is>
          <t>A</t>
        </is>
      </c>
      <c r="E2843" t="inlineStr">
        <is>
          <t>rs9854353</t>
        </is>
      </c>
      <c r="F2843" t="n">
        <v>-0.00052704606</v>
      </c>
      <c r="G2843" t="n">
        <v>0.7358574970561336</v>
      </c>
      <c r="H2843" t="n">
        <v>0.0320222226890486</v>
      </c>
      <c r="I2843" t="n">
        <v>0.0071728545256813</v>
      </c>
      <c r="J2843" t="n">
        <v>0.1370898257496195</v>
      </c>
      <c r="K2843" t="n">
        <v>0.4990824377819148</v>
      </c>
      <c r="L2843" t="b">
        <v>1</v>
      </c>
      <c r="M2843" t="b">
        <v>1</v>
      </c>
      <c r="N2843" t="inlineStr">
        <is>
          <t>ref</t>
        </is>
      </c>
      <c r="O2843" t="n">
        <v>-65</v>
      </c>
      <c r="P2843" t="n">
        <v>0.006134</v>
      </c>
      <c r="Q2843" t="n">
        <v>-65</v>
      </c>
      <c r="R2843" t="n">
        <v>0.09576</v>
      </c>
      <c r="S2843">
        <f>IMAGE("https://mitra.stanford.edu/kundaje/oak/projects/neuro-variants/variant_position/credible/roussos_2024/variant_figures/roussos_2024.adolescence.GLU/rs9854353_count_position.png",4,220,900)</f>
        <v/>
      </c>
      <c r="T2843">
        <f>IMAGE("https://mitra.stanford.edu/kundaje/oak/projects/neuro-variants/variant_position/credible/roussos_2024/variant_figures/roussos_2024.adolescence.GLU/rs9854353_profile_position.png",4,220,900)</f>
        <v/>
      </c>
    </row>
    <row r="2844">
      <c r="A2844" t="inlineStr">
        <is>
          <t>chr3</t>
        </is>
      </c>
      <c r="B2844" t="n">
        <v>180864866</v>
      </c>
      <c r="C2844" t="inlineStr">
        <is>
          <t>G</t>
        </is>
      </c>
      <c r="D2844" t="inlineStr">
        <is>
          <t>A</t>
        </is>
      </c>
      <c r="E2844" t="inlineStr">
        <is>
          <t>rs3866226</t>
        </is>
      </c>
      <c r="F2844" t="n">
        <v>-0.004318098094</v>
      </c>
      <c r="G2844" t="n">
        <v>0.7767288310192459</v>
      </c>
      <c r="H2844" t="n">
        <v>0.0219818790338034</v>
      </c>
      <c r="I2844" t="n">
        <v>0.0351580319067694</v>
      </c>
      <c r="J2844" t="n">
        <v>0.002314765201363</v>
      </c>
      <c r="K2844" t="n">
        <v>0.9491928282590368</v>
      </c>
      <c r="L2844" t="b">
        <v>0</v>
      </c>
      <c r="M2844" t="b">
        <v>0</v>
      </c>
      <c r="N2844" t="inlineStr">
        <is>
          <t>ref</t>
        </is>
      </c>
      <c r="O2844" t="n">
        <v>-25</v>
      </c>
      <c r="P2844" t="n">
        <v>0.002998</v>
      </c>
      <c r="Q2844" t="n">
        <v>-70</v>
      </c>
      <c r="R2844" t="n">
        <v>0.01492</v>
      </c>
      <c r="S2844">
        <f>IMAGE("https://mitra.stanford.edu/kundaje/oak/projects/neuro-variants/variant_position/credible/roussos_2024/variant_figures/roussos_2024.adolescence.GLU/rs3866226_count_position.png",4,220,900)</f>
        <v/>
      </c>
      <c r="T2844">
        <f>IMAGE("https://mitra.stanford.edu/kundaje/oak/projects/neuro-variants/variant_position/credible/roussos_2024/variant_figures/roussos_2024.adolescence.GLU/rs3866226_profile_position.png",4,220,900)</f>
        <v/>
      </c>
    </row>
    <row r="2845">
      <c r="A2845" t="inlineStr">
        <is>
          <t>chr3</t>
        </is>
      </c>
      <c r="B2845" t="n">
        <v>180871053</v>
      </c>
      <c r="C2845" t="inlineStr">
        <is>
          <t>G</t>
        </is>
      </c>
      <c r="D2845" t="inlineStr">
        <is>
          <t>T</t>
        </is>
      </c>
      <c r="E2845" t="inlineStr">
        <is>
          <t>rs875250</t>
        </is>
      </c>
      <c r="F2845" t="n">
        <v>-0.09081147519999989</v>
      </c>
      <c r="G2845" t="n">
        <v>0.0152630804356461</v>
      </c>
      <c r="H2845" t="n">
        <v>0.0224616399432442</v>
      </c>
      <c r="I2845" t="n">
        <v>0.0346018678508812</v>
      </c>
      <c r="J2845" t="n">
        <v>0.3654528438033592</v>
      </c>
      <c r="K2845" t="n">
        <v>0.2003411794685754</v>
      </c>
      <c r="L2845" t="b">
        <v>1</v>
      </c>
      <c r="M2845" t="b">
        <v>0</v>
      </c>
      <c r="N2845" t="inlineStr">
        <is>
          <t>ref</t>
        </is>
      </c>
      <c r="O2845" t="n">
        <v>65</v>
      </c>
      <c r="P2845" t="n">
        <v>0.002777</v>
      </c>
      <c r="Q2845" t="n">
        <v>0</v>
      </c>
      <c r="R2845" t="n">
        <v>0</v>
      </c>
      <c r="S2845">
        <f>IMAGE("https://mitra.stanford.edu/kundaje/oak/projects/neuro-variants/variant_position/credible/roussos_2024/variant_figures/roussos_2024.adolescence.GLU/rs875250_count_position.png",4,220,900)</f>
        <v/>
      </c>
      <c r="T2845">
        <f>IMAGE("https://mitra.stanford.edu/kundaje/oak/projects/neuro-variants/variant_position/credible/roussos_2024/variant_figures/roussos_2024.adolescence.GLU/rs875250_profile_position.png",4,220,900)</f>
        <v/>
      </c>
    </row>
    <row r="2846">
      <c r="A2846" t="inlineStr">
        <is>
          <t>chr3</t>
        </is>
      </c>
      <c r="B2846" t="n">
        <v>180889457</v>
      </c>
      <c r="C2846" t="inlineStr">
        <is>
          <t>T</t>
        </is>
      </c>
      <c r="D2846" t="inlineStr">
        <is>
          <t>C</t>
        </is>
      </c>
      <c r="E2846" t="inlineStr">
        <is>
          <t>rs62291400</t>
        </is>
      </c>
      <c r="F2846" t="n">
        <v>0.03870686678</v>
      </c>
      <c r="G2846" t="n">
        <v>0.1157673503422861</v>
      </c>
      <c r="H2846" t="n">
        <v>0.0131097141647552</v>
      </c>
      <c r="I2846" t="n">
        <v>0.2638743172316169</v>
      </c>
      <c r="J2846" t="n">
        <v>0.1499653499653499</v>
      </c>
      <c r="K2846" t="n">
        <v>0.4789641668688824</v>
      </c>
      <c r="L2846" t="b">
        <v>0</v>
      </c>
      <c r="M2846" t="b">
        <v>0</v>
      </c>
      <c r="N2846" t="inlineStr">
        <is>
          <t>alt</t>
        </is>
      </c>
      <c r="O2846" t="n">
        <v>100</v>
      </c>
      <c r="P2846" t="n">
        <v>0.01284</v>
      </c>
      <c r="Q2846" t="n">
        <v>-80</v>
      </c>
      <c r="R2846" t="n">
        <v>0.009155</v>
      </c>
      <c r="S2846">
        <f>IMAGE("https://mitra.stanford.edu/kundaje/oak/projects/neuro-variants/variant_position/credible/roussos_2024/variant_figures/roussos_2024.adolescence.GLU/rs62291400_count_position.png",4,220,900)</f>
        <v/>
      </c>
      <c r="T2846">
        <f>IMAGE("https://mitra.stanford.edu/kundaje/oak/projects/neuro-variants/variant_position/credible/roussos_2024/variant_figures/roussos_2024.adolescence.GLU/rs62291400_profile_position.png",4,220,900)</f>
        <v/>
      </c>
    </row>
    <row r="2847">
      <c r="A2847" t="inlineStr">
        <is>
          <t>chr3</t>
        </is>
      </c>
      <c r="B2847" t="n">
        <v>180891133</v>
      </c>
      <c r="C2847" t="inlineStr">
        <is>
          <t>A</t>
        </is>
      </c>
      <c r="D2847" t="inlineStr">
        <is>
          <t>T</t>
        </is>
      </c>
      <c r="E2847" t="inlineStr">
        <is>
          <t>rs62291403</t>
        </is>
      </c>
      <c r="F2847" t="n">
        <v>0.0937267824</v>
      </c>
      <c r="G2847" t="n">
        <v>0.0142163804201178</v>
      </c>
      <c r="H2847" t="n">
        <v>0.0230792814660732</v>
      </c>
      <c r="I2847" t="n">
        <v>0.035390823841738</v>
      </c>
      <c r="J2847" t="n">
        <v>0.1000250051796443</v>
      </c>
      <c r="K2847" t="n">
        <v>0.5745451844823248</v>
      </c>
      <c r="L2847" t="b">
        <v>1</v>
      </c>
      <c r="M2847" t="b">
        <v>0</v>
      </c>
      <c r="N2847" t="inlineStr">
        <is>
          <t>alt</t>
        </is>
      </c>
      <c r="O2847" t="n">
        <v>50</v>
      </c>
      <c r="P2847" t="n">
        <v>0.00961</v>
      </c>
      <c r="Q2847" t="n">
        <v>-35</v>
      </c>
      <c r="R2847" t="n">
        <v>0.0313</v>
      </c>
      <c r="S2847">
        <f>IMAGE("https://mitra.stanford.edu/kundaje/oak/projects/neuro-variants/variant_position/credible/roussos_2024/variant_figures/roussos_2024.adolescence.GLU/rs62291403_count_position.png",4,220,900)</f>
        <v/>
      </c>
      <c r="T2847">
        <f>IMAGE("https://mitra.stanford.edu/kundaje/oak/projects/neuro-variants/variant_position/credible/roussos_2024/variant_figures/roussos_2024.adolescence.GLU/rs62291403_profile_position.png",4,220,900)</f>
        <v/>
      </c>
    </row>
    <row r="2848">
      <c r="A2848" t="inlineStr">
        <is>
          <t>chr3</t>
        </is>
      </c>
      <c r="B2848" t="n">
        <v>180895330</v>
      </c>
      <c r="C2848" t="inlineStr">
        <is>
          <t>T</t>
        </is>
      </c>
      <c r="D2848" t="inlineStr">
        <is>
          <t>C</t>
        </is>
      </c>
      <c r="E2848" t="inlineStr">
        <is>
          <t>rs13098541</t>
        </is>
      </c>
      <c r="F2848" t="n">
        <v>0.0552059948</v>
      </c>
      <c r="G2848" t="n">
        <v>0.0447317746996957</v>
      </c>
      <c r="H2848" t="n">
        <v>0.0144732798111895</v>
      </c>
      <c r="I2848" t="n">
        <v>0.1845158704197435</v>
      </c>
      <c r="J2848" t="n">
        <v>0.2376363675332747</v>
      </c>
      <c r="K2848" t="n">
        <v>0.3505758411108963</v>
      </c>
      <c r="L2848" t="b">
        <v>0</v>
      </c>
      <c r="M2848" t="b">
        <v>0</v>
      </c>
      <c r="N2848" t="inlineStr">
        <is>
          <t>alt</t>
        </is>
      </c>
      <c r="O2848" t="n">
        <v>-100</v>
      </c>
      <c r="P2848" t="n">
        <v>0.005703</v>
      </c>
      <c r="Q2848" t="n">
        <v>85</v>
      </c>
      <c r="R2848" t="n">
        <v>0.04285</v>
      </c>
      <c r="S2848">
        <f>IMAGE("https://mitra.stanford.edu/kundaje/oak/projects/neuro-variants/variant_position/credible/roussos_2024/variant_figures/roussos_2024.adolescence.GLU/rs13098541_count_position.png",4,220,900)</f>
        <v/>
      </c>
      <c r="T2848">
        <f>IMAGE("https://mitra.stanford.edu/kundaje/oak/projects/neuro-variants/variant_position/credible/roussos_2024/variant_figures/roussos_2024.adolescence.GLU/rs13098541_profile_position.png",4,220,900)</f>
        <v/>
      </c>
    </row>
    <row r="2849">
      <c r="A2849" t="inlineStr">
        <is>
          <t>chr3</t>
        </is>
      </c>
      <c r="B2849" t="n">
        <v>180898828</v>
      </c>
      <c r="C2849" t="inlineStr">
        <is>
          <t>G</t>
        </is>
      </c>
      <c r="D2849" t="inlineStr">
        <is>
          <t>A</t>
        </is>
      </c>
      <c r="E2849" t="inlineStr">
        <is>
          <t>rs35709455</t>
        </is>
      </c>
      <c r="F2849" t="n">
        <v>-0.0541551179999999</v>
      </c>
      <c r="G2849" t="n">
        <v>0.0577187412178618</v>
      </c>
      <c r="H2849" t="n">
        <v>0.0145640562313696</v>
      </c>
      <c r="I2849" t="n">
        <v>0.1798617665875119</v>
      </c>
      <c r="J2849" t="n">
        <v>0.4646548213558523</v>
      </c>
      <c r="K2849" t="n">
        <v>0.1127523701576747</v>
      </c>
      <c r="L2849" t="b">
        <v>0</v>
      </c>
      <c r="M2849" t="b">
        <v>0</v>
      </c>
      <c r="N2849" t="inlineStr">
        <is>
          <t>ref</t>
        </is>
      </c>
      <c r="O2849" t="n">
        <v>-50</v>
      </c>
      <c r="P2849" t="n">
        <v>0.001953</v>
      </c>
      <c r="Q2849" t="n">
        <v>-25</v>
      </c>
      <c r="R2849" t="n">
        <v>0.03125</v>
      </c>
      <c r="S2849">
        <f>IMAGE("https://mitra.stanford.edu/kundaje/oak/projects/neuro-variants/variant_position/credible/roussos_2024/variant_figures/roussos_2024.adolescence.GLU/rs35709455_count_position.png",4,220,900)</f>
        <v/>
      </c>
      <c r="T2849">
        <f>IMAGE("https://mitra.stanford.edu/kundaje/oak/projects/neuro-variants/variant_position/credible/roussos_2024/variant_figures/roussos_2024.adolescence.GLU/rs35709455_profile_position.png",4,220,900)</f>
        <v/>
      </c>
    </row>
    <row r="2850">
      <c r="A2850" t="inlineStr">
        <is>
          <t>chr3</t>
        </is>
      </c>
      <c r="B2850" t="n">
        <v>180902050</v>
      </c>
      <c r="C2850" t="inlineStr">
        <is>
          <t>T</t>
        </is>
      </c>
      <c r="D2850" t="inlineStr">
        <is>
          <t>C</t>
        </is>
      </c>
      <c r="E2850" t="inlineStr">
        <is>
          <t>rs7635754</t>
        </is>
      </c>
      <c r="F2850" t="n">
        <v>0.055828815</v>
      </c>
      <c r="G2850" t="n">
        <v>0.0467390858770939</v>
      </c>
      <c r="H2850" t="n">
        <v>0.0106113902102949</v>
      </c>
      <c r="I2850" t="n">
        <v>0.4702316197876747</v>
      </c>
      <c r="J2850" t="n">
        <v>0.0559773095855569</v>
      </c>
      <c r="K2850" t="n">
        <v>0.6880507760082454</v>
      </c>
      <c r="L2850" t="b">
        <v>0</v>
      </c>
      <c r="M2850" t="b">
        <v>0</v>
      </c>
      <c r="N2850" t="inlineStr">
        <is>
          <t>alt</t>
        </is>
      </c>
      <c r="O2850" t="n">
        <v>-65</v>
      </c>
      <c r="P2850" t="n">
        <v>0.00663</v>
      </c>
      <c r="Q2850" t="n">
        <v>-35</v>
      </c>
      <c r="R2850" t="n">
        <v>0.02344</v>
      </c>
      <c r="S2850">
        <f>IMAGE("https://mitra.stanford.edu/kundaje/oak/projects/neuro-variants/variant_position/credible/roussos_2024/variant_figures/roussos_2024.adolescence.GLU/rs7635754_count_position.png",4,220,900)</f>
        <v/>
      </c>
      <c r="T2850">
        <f>IMAGE("https://mitra.stanford.edu/kundaje/oak/projects/neuro-variants/variant_position/credible/roussos_2024/variant_figures/roussos_2024.adolescence.GLU/rs7635754_profile_position.png",4,220,900)</f>
        <v/>
      </c>
    </row>
    <row r="2851">
      <c r="A2851" t="inlineStr">
        <is>
          <t>chr3</t>
        </is>
      </c>
      <c r="B2851" t="n">
        <v>180909664</v>
      </c>
      <c r="C2851" t="inlineStr">
        <is>
          <t>C</t>
        </is>
      </c>
      <c r="D2851" t="inlineStr">
        <is>
          <t>A</t>
        </is>
      </c>
      <c r="E2851" t="inlineStr">
        <is>
          <t>rs4854998</t>
        </is>
      </c>
      <c r="F2851" t="n">
        <v>0.0267846609999999</v>
      </c>
      <c r="G2851" t="n">
        <v>0.1967814615297954</v>
      </c>
      <c r="H2851" t="n">
        <v>0.0234797664114152</v>
      </c>
      <c r="I2851" t="n">
        <v>0.0297929836586898</v>
      </c>
      <c r="J2851" t="n">
        <v>0.1306270584621099</v>
      </c>
      <c r="K2851" t="n">
        <v>0.5162232129326647</v>
      </c>
      <c r="L2851" t="b">
        <v>0</v>
      </c>
      <c r="M2851" t="b">
        <v>0</v>
      </c>
      <c r="N2851" t="inlineStr">
        <is>
          <t>alt</t>
        </is>
      </c>
      <c r="O2851" t="n">
        <v>100</v>
      </c>
      <c r="P2851" t="n">
        <v>0.00592</v>
      </c>
      <c r="Q2851" t="n">
        <v>95</v>
      </c>
      <c r="R2851" t="n">
        <v>0.012146</v>
      </c>
      <c r="S2851">
        <f>IMAGE("https://mitra.stanford.edu/kundaje/oak/projects/neuro-variants/variant_position/credible/roussos_2024/variant_figures/roussos_2024.adolescence.GLU/rs4854998_count_position.png",4,220,900)</f>
        <v/>
      </c>
      <c r="T2851">
        <f>IMAGE("https://mitra.stanford.edu/kundaje/oak/projects/neuro-variants/variant_position/credible/roussos_2024/variant_figures/roussos_2024.adolescence.GLU/rs4854998_profile_position.png",4,220,900)</f>
        <v/>
      </c>
    </row>
    <row r="2852">
      <c r="A2852" t="inlineStr">
        <is>
          <t>chr3</t>
        </is>
      </c>
      <c r="B2852" t="n">
        <v>180937019</v>
      </c>
      <c r="C2852" t="inlineStr">
        <is>
          <t>A</t>
        </is>
      </c>
      <c r="D2852" t="inlineStr">
        <is>
          <t>G</t>
        </is>
      </c>
      <c r="E2852" t="inlineStr">
        <is>
          <t>rs10490806</t>
        </is>
      </c>
      <c r="F2852" t="n">
        <v>-0.0118893124</v>
      </c>
      <c r="G2852" t="n">
        <v>0.5205912907059952</v>
      </c>
      <c r="H2852" t="n">
        <v>0.008094287477423599</v>
      </c>
      <c r="I2852" t="n">
        <v>0.7359271614452919</v>
      </c>
      <c r="J2852" t="n">
        <v>0.0585135492351986</v>
      </c>
      <c r="K2852" t="n">
        <v>0.6696652218953001</v>
      </c>
      <c r="L2852" t="b">
        <v>0</v>
      </c>
      <c r="M2852" t="b">
        <v>0</v>
      </c>
      <c r="N2852" t="inlineStr">
        <is>
          <t>ref</t>
        </is>
      </c>
      <c r="O2852" t="n">
        <v>40</v>
      </c>
      <c r="P2852" t="n">
        <v>0.01303</v>
      </c>
      <c r="Q2852" t="n">
        <v>-100</v>
      </c>
      <c r="R2852" t="n">
        <v>0.03644</v>
      </c>
      <c r="S2852">
        <f>IMAGE("https://mitra.stanford.edu/kundaje/oak/projects/neuro-variants/variant_position/credible/roussos_2024/variant_figures/roussos_2024.adolescence.GLU/rs10490806_count_position.png",4,220,900)</f>
        <v/>
      </c>
      <c r="T2852">
        <f>IMAGE("https://mitra.stanford.edu/kundaje/oak/projects/neuro-variants/variant_position/credible/roussos_2024/variant_figures/roussos_2024.adolescence.GLU/rs10490806_profile_position.png",4,220,900)</f>
        <v/>
      </c>
    </row>
    <row r="2853">
      <c r="A2853" t="inlineStr">
        <is>
          <t>chr3</t>
        </is>
      </c>
      <c r="B2853" t="n">
        <v>180944499</v>
      </c>
      <c r="C2853" t="inlineStr">
        <is>
          <t>A</t>
        </is>
      </c>
      <c r="D2853" t="inlineStr">
        <is>
          <t>T</t>
        </is>
      </c>
      <c r="E2853" t="inlineStr">
        <is>
          <t>rs13083851</t>
        </is>
      </c>
      <c r="F2853" t="n">
        <v>-0.0011099094279999</v>
      </c>
      <c r="G2853" t="n">
        <v>0.9513819689310165</v>
      </c>
      <c r="H2853" t="n">
        <v>0.0201587935636371</v>
      </c>
      <c r="I2853" t="n">
        <v>0.0569203574504201</v>
      </c>
      <c r="J2853" t="n">
        <v>0.0498746168849261</v>
      </c>
      <c r="K2853" t="n">
        <v>0.7146625523356349</v>
      </c>
      <c r="L2853" t="b">
        <v>0</v>
      </c>
      <c r="M2853" t="b">
        <v>0</v>
      </c>
      <c r="N2853" t="inlineStr">
        <is>
          <t>ref</t>
        </is>
      </c>
      <c r="O2853" t="n">
        <v>40</v>
      </c>
      <c r="P2853" t="n">
        <v>0.004974</v>
      </c>
      <c r="Q2853" t="n">
        <v>100</v>
      </c>
      <c r="R2853" t="n">
        <v>0.04895</v>
      </c>
      <c r="S2853">
        <f>IMAGE("https://mitra.stanford.edu/kundaje/oak/projects/neuro-variants/variant_position/credible/roussos_2024/variant_figures/roussos_2024.adolescence.GLU/rs13083851_count_position.png",4,220,900)</f>
        <v/>
      </c>
      <c r="T2853">
        <f>IMAGE("https://mitra.stanford.edu/kundaje/oak/projects/neuro-variants/variant_position/credible/roussos_2024/variant_figures/roussos_2024.adolescence.GLU/rs13083851_profile_position.png",4,220,900)</f>
        <v/>
      </c>
    </row>
    <row r="2854">
      <c r="A2854" t="inlineStr">
        <is>
          <t>chr3</t>
        </is>
      </c>
      <c r="B2854" t="n">
        <v>180946374</v>
      </c>
      <c r="C2854" t="inlineStr">
        <is>
          <t>A</t>
        </is>
      </c>
      <c r="D2854" t="inlineStr">
        <is>
          <t>G</t>
        </is>
      </c>
      <c r="E2854" t="inlineStr">
        <is>
          <t>rs12186104</t>
        </is>
      </c>
      <c r="F2854" t="n">
        <v>-0.01579151086</v>
      </c>
      <c r="G2854" t="n">
        <v>0.4116492614990919</v>
      </c>
      <c r="H2854" t="n">
        <v>0.022543855652605</v>
      </c>
      <c r="I2854" t="n">
        <v>0.035065781188651</v>
      </c>
      <c r="J2854" t="n">
        <v>0.0609340506247722</v>
      </c>
      <c r="K2854" t="n">
        <v>0.6714681189181044</v>
      </c>
      <c r="L2854" t="b">
        <v>0</v>
      </c>
      <c r="M2854" t="b">
        <v>0</v>
      </c>
      <c r="N2854" t="inlineStr">
        <is>
          <t>ref</t>
        </is>
      </c>
      <c r="O2854" t="n">
        <v>-50</v>
      </c>
      <c r="P2854" t="n">
        <v>0.00119</v>
      </c>
      <c r="Q2854" t="n">
        <v>5</v>
      </c>
      <c r="R2854" t="n">
        <v>0.002106</v>
      </c>
      <c r="S2854">
        <f>IMAGE("https://mitra.stanford.edu/kundaje/oak/projects/neuro-variants/variant_position/credible/roussos_2024/variant_figures/roussos_2024.adolescence.GLU/rs12186104_count_position.png",4,220,900)</f>
        <v/>
      </c>
      <c r="T2854">
        <f>IMAGE("https://mitra.stanford.edu/kundaje/oak/projects/neuro-variants/variant_position/credible/roussos_2024/variant_figures/roussos_2024.adolescence.GLU/rs12186104_profile_position.png",4,220,900)</f>
        <v/>
      </c>
    </row>
    <row r="2855">
      <c r="A2855" t="inlineStr">
        <is>
          <t>chr3</t>
        </is>
      </c>
      <c r="B2855" t="n">
        <v>180993216</v>
      </c>
      <c r="C2855" t="inlineStr">
        <is>
          <t>T</t>
        </is>
      </c>
      <c r="D2855" t="inlineStr">
        <is>
          <t>C</t>
        </is>
      </c>
      <c r="E2855" t="inlineStr">
        <is>
          <t>rs6777005</t>
        </is>
      </c>
      <c r="F2855" t="n">
        <v>0.0062967538</v>
      </c>
      <c r="G2855" t="n">
        <v>0.64323786323768</v>
      </c>
      <c r="H2855" t="n">
        <v>0.0105292508449062</v>
      </c>
      <c r="I2855" t="n">
        <v>0.4754746723455869</v>
      </c>
      <c r="J2855" t="n">
        <v>0.1807317229997642</v>
      </c>
      <c r="K2855" t="n">
        <v>0.4342458154890172</v>
      </c>
      <c r="L2855" t="b">
        <v>0</v>
      </c>
      <c r="M2855" t="b">
        <v>0</v>
      </c>
      <c r="N2855" t="inlineStr">
        <is>
          <t>alt</t>
        </is>
      </c>
      <c r="O2855" t="n">
        <v>-100</v>
      </c>
      <c r="P2855" t="n">
        <v>0.009705</v>
      </c>
      <c r="Q2855" t="n">
        <v>0</v>
      </c>
      <c r="R2855" t="n">
        <v>0</v>
      </c>
      <c r="S2855">
        <f>IMAGE("https://mitra.stanford.edu/kundaje/oak/projects/neuro-variants/variant_position/credible/roussos_2024/variant_figures/roussos_2024.adolescence.GLU/rs6777005_count_position.png",4,220,900)</f>
        <v/>
      </c>
      <c r="T2855">
        <f>IMAGE("https://mitra.stanford.edu/kundaje/oak/projects/neuro-variants/variant_position/credible/roussos_2024/variant_figures/roussos_2024.adolescence.GLU/rs6777005_profile_position.png",4,220,900)</f>
        <v/>
      </c>
    </row>
    <row r="2856">
      <c r="A2856" t="inlineStr">
        <is>
          <t>chr3</t>
        </is>
      </c>
      <c r="B2856" t="n">
        <v>180994099</v>
      </c>
      <c r="C2856" t="inlineStr">
        <is>
          <t>A</t>
        </is>
      </c>
      <c r="D2856" t="inlineStr">
        <is>
          <t>G</t>
        </is>
      </c>
      <c r="E2856" t="inlineStr">
        <is>
          <t>rs62291437</t>
        </is>
      </c>
      <c r="F2856" t="n">
        <v>-0.0188790176</v>
      </c>
      <c r="G2856" t="n">
        <v>0.3232745894793792</v>
      </c>
      <c r="H2856" t="n">
        <v>0.0241687198381475</v>
      </c>
      <c r="I2856" t="n">
        <v>0.0249729640001893</v>
      </c>
      <c r="J2856" t="n">
        <v>0.1543333976323666</v>
      </c>
      <c r="K2856" t="n">
        <v>0.4773677213928</v>
      </c>
      <c r="L2856" t="b">
        <v>0</v>
      </c>
      <c r="M2856" t="b">
        <v>0</v>
      </c>
      <c r="N2856" t="inlineStr">
        <is>
          <t>ref</t>
        </is>
      </c>
      <c r="O2856" t="n">
        <v>-100</v>
      </c>
      <c r="P2856" t="n">
        <v>0.005756</v>
      </c>
      <c r="Q2856" t="n">
        <v>-5</v>
      </c>
      <c r="R2856" t="n">
        <v>0.01062</v>
      </c>
      <c r="S2856">
        <f>IMAGE("https://mitra.stanford.edu/kundaje/oak/projects/neuro-variants/variant_position/credible/roussos_2024/variant_figures/roussos_2024.adolescence.GLU/rs62291437_count_position.png",4,220,900)</f>
        <v/>
      </c>
      <c r="T2856">
        <f>IMAGE("https://mitra.stanford.edu/kundaje/oak/projects/neuro-variants/variant_position/credible/roussos_2024/variant_figures/roussos_2024.adolescence.GLU/rs62291437_profile_position.png",4,220,900)</f>
        <v/>
      </c>
    </row>
    <row r="2857">
      <c r="A2857" t="inlineStr">
        <is>
          <t>chr3</t>
        </is>
      </c>
      <c r="B2857" t="n">
        <v>181010627</v>
      </c>
      <c r="C2857" t="inlineStr">
        <is>
          <t>G</t>
        </is>
      </c>
      <c r="D2857" t="inlineStr">
        <is>
          <t>C</t>
        </is>
      </c>
      <c r="E2857" t="inlineStr">
        <is>
          <t>rs11705702</t>
        </is>
      </c>
      <c r="F2857" t="n">
        <v>0.0840870246</v>
      </c>
      <c r="G2857" t="n">
        <v>0.0125564342816317</v>
      </c>
      <c r="H2857" t="n">
        <v>0.0193670069590413</v>
      </c>
      <c r="I2857" t="n">
        <v>0.0634318920947425</v>
      </c>
      <c r="J2857" t="n">
        <v>0.1092154803495009</v>
      </c>
      <c r="K2857" t="n">
        <v>0.5667097001157482</v>
      </c>
      <c r="L2857" t="b">
        <v>1</v>
      </c>
      <c r="M2857" t="b">
        <v>0</v>
      </c>
      <c r="N2857" t="inlineStr">
        <is>
          <t>alt</t>
        </is>
      </c>
      <c r="O2857" t="n">
        <v>100</v>
      </c>
      <c r="P2857" t="n">
        <v>0.003807</v>
      </c>
      <c r="Q2857" t="n">
        <v>-25</v>
      </c>
      <c r="R2857" t="n">
        <v>0.00586</v>
      </c>
      <c r="S2857">
        <f>IMAGE("https://mitra.stanford.edu/kundaje/oak/projects/neuro-variants/variant_position/credible/roussos_2024/variant_figures/roussos_2024.adolescence.GLU/rs11705702_count_position.png",4,220,900)</f>
        <v/>
      </c>
      <c r="T2857">
        <f>IMAGE("https://mitra.stanford.edu/kundaje/oak/projects/neuro-variants/variant_position/credible/roussos_2024/variant_figures/roussos_2024.adolescence.GLU/rs11705702_profile_position.png",4,220,900)</f>
        <v/>
      </c>
    </row>
    <row r="2858">
      <c r="A2858" t="inlineStr">
        <is>
          <t>chr3</t>
        </is>
      </c>
      <c r="B2858" t="n">
        <v>181011360</v>
      </c>
      <c r="C2858" t="inlineStr">
        <is>
          <t>A</t>
        </is>
      </c>
      <c r="D2858" t="inlineStr">
        <is>
          <t>T</t>
        </is>
      </c>
      <c r="E2858" t="inlineStr">
        <is>
          <t>rs71312200</t>
        </is>
      </c>
      <c r="F2858" t="n">
        <v>-0.002721716062</v>
      </c>
      <c r="G2858" t="n">
        <v>0.8594378356296476</v>
      </c>
      <c r="H2858" t="n">
        <v>0.0161375942175155</v>
      </c>
      <c r="I2858" t="n">
        <v>0.1322434642239104</v>
      </c>
      <c r="J2858" t="n">
        <v>0.1048988719091811</v>
      </c>
      <c r="K2858" t="n">
        <v>0.5708705114557241</v>
      </c>
      <c r="L2858" t="b">
        <v>0</v>
      </c>
      <c r="M2858" t="b">
        <v>0</v>
      </c>
      <c r="N2858" t="inlineStr">
        <is>
          <t>ref</t>
        </is>
      </c>
      <c r="O2858" t="n">
        <v>10</v>
      </c>
      <c r="P2858" t="n">
        <v>0.001953</v>
      </c>
      <c r="Q2858" t="n">
        <v>-70</v>
      </c>
      <c r="R2858" t="n">
        <v>0.0579</v>
      </c>
      <c r="S2858">
        <f>IMAGE("https://mitra.stanford.edu/kundaje/oak/projects/neuro-variants/variant_position/credible/roussos_2024/variant_figures/roussos_2024.adolescence.GLU/rs71312200_count_position.png",4,220,900)</f>
        <v/>
      </c>
      <c r="T2858">
        <f>IMAGE("https://mitra.stanford.edu/kundaje/oak/projects/neuro-variants/variant_position/credible/roussos_2024/variant_figures/roussos_2024.adolescence.GLU/rs71312200_profile_position.png",4,220,900)</f>
        <v/>
      </c>
    </row>
    <row r="2859">
      <c r="A2859" t="inlineStr">
        <is>
          <t>chr3</t>
        </is>
      </c>
      <c r="B2859" t="n">
        <v>181019853</v>
      </c>
      <c r="C2859" t="inlineStr">
        <is>
          <t>T</t>
        </is>
      </c>
      <c r="D2859" t="inlineStr">
        <is>
          <t>G</t>
        </is>
      </c>
      <c r="E2859" t="inlineStr">
        <is>
          <t>rs34293605</t>
        </is>
      </c>
      <c r="F2859" t="n">
        <v>-0.008611369040000001</v>
      </c>
      <c r="G2859" t="n">
        <v>0.5662445893928071</v>
      </c>
      <c r="H2859" t="n">
        <v>0.0173381258503054</v>
      </c>
      <c r="I2859" t="n">
        <v>0.1066710237240564</v>
      </c>
      <c r="J2859" t="n">
        <v>0.1397403747919211</v>
      </c>
      <c r="K2859" t="n">
        <v>0.4911882768716155</v>
      </c>
      <c r="L2859" t="b">
        <v>0</v>
      </c>
      <c r="M2859" t="b">
        <v>0</v>
      </c>
      <c r="N2859" t="inlineStr">
        <is>
          <t>ref</t>
        </is>
      </c>
      <c r="O2859" t="n">
        <v>-50</v>
      </c>
      <c r="P2859" t="n">
        <v>0.008789999999999999</v>
      </c>
      <c r="Q2859" t="n">
        <v>-50</v>
      </c>
      <c r="R2859" t="n">
        <v>0.0893</v>
      </c>
      <c r="S2859">
        <f>IMAGE("https://mitra.stanford.edu/kundaje/oak/projects/neuro-variants/variant_position/credible/roussos_2024/variant_figures/roussos_2024.adolescence.GLU/rs34293605_count_position.png",4,220,900)</f>
        <v/>
      </c>
      <c r="T2859">
        <f>IMAGE("https://mitra.stanford.edu/kundaje/oak/projects/neuro-variants/variant_position/credible/roussos_2024/variant_figures/roussos_2024.adolescence.GLU/rs34293605_profile_position.png",4,220,900)</f>
        <v/>
      </c>
    </row>
    <row r="2860">
      <c r="A2860" t="inlineStr">
        <is>
          <t>chr3</t>
        </is>
      </c>
      <c r="B2860" t="n">
        <v>181033387</v>
      </c>
      <c r="C2860" t="inlineStr">
        <is>
          <t>C</t>
        </is>
      </c>
      <c r="D2860" t="inlineStr">
        <is>
          <t>T</t>
        </is>
      </c>
      <c r="E2860" t="inlineStr">
        <is>
          <t>rs62289571</t>
        </is>
      </c>
      <c r="F2860" t="n">
        <v>0.00538621712</v>
      </c>
      <c r="G2860" t="n">
        <v>0.5445420341199547</v>
      </c>
      <c r="H2860" t="n">
        <v>0.0101302051252428</v>
      </c>
      <c r="I2860" t="n">
        <v>0.5305597789255396</v>
      </c>
      <c r="J2860" t="n">
        <v>0.0416314808067384</v>
      </c>
      <c r="K2860" t="n">
        <v>0.7316152918088891</v>
      </c>
      <c r="L2860" t="b">
        <v>0</v>
      </c>
      <c r="M2860" t="b">
        <v>0</v>
      </c>
      <c r="N2860" t="inlineStr">
        <is>
          <t>alt</t>
        </is>
      </c>
      <c r="O2860" t="n">
        <v>-25</v>
      </c>
      <c r="P2860" t="n">
        <v>0.015076</v>
      </c>
      <c r="Q2860" t="n">
        <v>-85</v>
      </c>
      <c r="R2860" t="n">
        <v>0.003052</v>
      </c>
      <c r="S2860">
        <f>IMAGE("https://mitra.stanford.edu/kundaje/oak/projects/neuro-variants/variant_position/credible/roussos_2024/variant_figures/roussos_2024.adolescence.GLU/rs62289571_count_position.png",4,220,900)</f>
        <v/>
      </c>
      <c r="T2860">
        <f>IMAGE("https://mitra.stanford.edu/kundaje/oak/projects/neuro-variants/variant_position/credible/roussos_2024/variant_figures/roussos_2024.adolescence.GLU/rs62289571_profile_position.png",4,220,900)</f>
        <v/>
      </c>
    </row>
    <row r="2861">
      <c r="A2861" t="inlineStr">
        <is>
          <t>chr3</t>
        </is>
      </c>
      <c r="B2861" t="n">
        <v>181035595</v>
      </c>
      <c r="C2861" t="inlineStr">
        <is>
          <t>G</t>
        </is>
      </c>
      <c r="D2861" t="inlineStr">
        <is>
          <t>C</t>
        </is>
      </c>
      <c r="E2861" t="inlineStr">
        <is>
          <t>rs13060352</t>
        </is>
      </c>
      <c r="F2861" t="n">
        <v>-0.189235244</v>
      </c>
      <c r="G2861" t="n">
        <v>0.0021950457981536</v>
      </c>
      <c r="H2861" t="n">
        <v>0.0646419575156478</v>
      </c>
      <c r="I2861" t="n">
        <v>0.001181325230742</v>
      </c>
      <c r="J2861" t="n">
        <v>0.1654828500189324</v>
      </c>
      <c r="K2861" t="n">
        <v>0.4474169118860607</v>
      </c>
      <c r="L2861" t="b">
        <v>1</v>
      </c>
      <c r="M2861" t="b">
        <v>1</v>
      </c>
      <c r="N2861" t="inlineStr">
        <is>
          <t>ref</t>
        </is>
      </c>
      <c r="O2861" t="n">
        <v>35</v>
      </c>
      <c r="P2861" t="n">
        <v>0.02661</v>
      </c>
      <c r="Q2861" t="n">
        <v>80</v>
      </c>
      <c r="R2861" t="n">
        <v>0.04236</v>
      </c>
      <c r="S2861">
        <f>IMAGE("https://mitra.stanford.edu/kundaje/oak/projects/neuro-variants/variant_position/credible/roussos_2024/variant_figures/roussos_2024.adolescence.GLU/rs13060352_count_position.png",4,220,900)</f>
        <v/>
      </c>
      <c r="T2861">
        <f>IMAGE("https://mitra.stanford.edu/kundaje/oak/projects/neuro-variants/variant_position/credible/roussos_2024/variant_figures/roussos_2024.adolescence.GLU/rs13060352_profile_position.png",4,220,900)</f>
        <v/>
      </c>
    </row>
    <row r="2862">
      <c r="A2862" t="inlineStr">
        <is>
          <t>chr3</t>
        </is>
      </c>
      <c r="B2862" t="n">
        <v>181050532</v>
      </c>
      <c r="C2862" t="inlineStr">
        <is>
          <t>T</t>
        </is>
      </c>
      <c r="D2862" t="inlineStr">
        <is>
          <t>G</t>
        </is>
      </c>
      <c r="E2862" t="inlineStr">
        <is>
          <t>rs1001416</t>
        </is>
      </c>
      <c r="F2862" t="n">
        <v>-0.0258244709999999</v>
      </c>
      <c r="G2862" t="n">
        <v>0.217404839039341</v>
      </c>
      <c r="H2862" t="n">
        <v>0.0281291471919417</v>
      </c>
      <c r="I2862" t="n">
        <v>0.0117364266537278</v>
      </c>
      <c r="J2862" t="n">
        <v>0.1365840066870994</v>
      </c>
      <c r="K2862" t="n">
        <v>0.5002161733358025</v>
      </c>
      <c r="L2862" t="b">
        <v>1</v>
      </c>
      <c r="M2862" t="b">
        <v>0</v>
      </c>
      <c r="N2862" t="inlineStr">
        <is>
          <t>ref</t>
        </is>
      </c>
      <c r="O2862" t="n">
        <v>100</v>
      </c>
      <c r="P2862" t="n">
        <v>0.012695</v>
      </c>
      <c r="Q2862" t="n">
        <v>45</v>
      </c>
      <c r="R2862" t="n">
        <v>0.04752</v>
      </c>
      <c r="S2862">
        <f>IMAGE("https://mitra.stanford.edu/kundaje/oak/projects/neuro-variants/variant_position/credible/roussos_2024/variant_figures/roussos_2024.adolescence.GLU/rs1001416_count_position.png",4,220,900)</f>
        <v/>
      </c>
      <c r="T2862">
        <f>IMAGE("https://mitra.stanford.edu/kundaje/oak/projects/neuro-variants/variant_position/credible/roussos_2024/variant_figures/roussos_2024.adolescence.GLU/rs1001416_profile_position.png",4,220,900)</f>
        <v/>
      </c>
    </row>
    <row r="2863">
      <c r="A2863" t="inlineStr">
        <is>
          <t>chr3</t>
        </is>
      </c>
      <c r="B2863" t="n">
        <v>181068820</v>
      </c>
      <c r="C2863" t="inlineStr">
        <is>
          <t>A</t>
        </is>
      </c>
      <c r="D2863" t="inlineStr">
        <is>
          <t>T</t>
        </is>
      </c>
      <c r="E2863" t="inlineStr">
        <is>
          <t>rs6775889</t>
        </is>
      </c>
      <c r="F2863" t="n">
        <v>-0.0109865835199999</v>
      </c>
      <c r="G2863" t="n">
        <v>0.5089016171451296</v>
      </c>
      <c r="H2863" t="n">
        <v>0.0088535049093209</v>
      </c>
      <c r="I2863" t="n">
        <v>0.6766467386046137</v>
      </c>
      <c r="J2863" t="n">
        <v>0.0691600402940608</v>
      </c>
      <c r="K2863" t="n">
        <v>0.6523440744336518</v>
      </c>
      <c r="L2863" t="b">
        <v>0</v>
      </c>
      <c r="M2863" t="b">
        <v>0</v>
      </c>
      <c r="N2863" t="inlineStr">
        <is>
          <t>ref</t>
        </is>
      </c>
      <c r="O2863" t="n">
        <v>100</v>
      </c>
      <c r="P2863" t="n">
        <v>0.009090000000000001</v>
      </c>
      <c r="Q2863" t="n">
        <v>60</v>
      </c>
      <c r="R2863" t="n">
        <v>0.02899</v>
      </c>
      <c r="S2863">
        <f>IMAGE("https://mitra.stanford.edu/kundaje/oak/projects/neuro-variants/variant_position/credible/roussos_2024/variant_figures/roussos_2024.adolescence.GLU/rs6775889_count_position.png",4,220,900)</f>
        <v/>
      </c>
      <c r="T2863">
        <f>IMAGE("https://mitra.stanford.edu/kundaje/oak/projects/neuro-variants/variant_position/credible/roussos_2024/variant_figures/roussos_2024.adolescence.GLU/rs6775889_profile_position.png",4,220,900)</f>
        <v/>
      </c>
    </row>
    <row r="2864">
      <c r="A2864" t="inlineStr">
        <is>
          <t>chr3</t>
        </is>
      </c>
      <c r="B2864" t="n">
        <v>181080133</v>
      </c>
      <c r="C2864" t="inlineStr">
        <is>
          <t>T</t>
        </is>
      </c>
      <c r="D2864" t="inlineStr">
        <is>
          <t>G</t>
        </is>
      </c>
      <c r="E2864" t="inlineStr">
        <is>
          <t>rs12635178</t>
        </is>
      </c>
      <c r="F2864" t="n">
        <v>2.919267999999982e-06</v>
      </c>
      <c r="G2864" t="n">
        <v>0.8064601326836289</v>
      </c>
      <c r="H2864" t="n">
        <v>0.0134834104822147</v>
      </c>
      <c r="I2864" t="n">
        <v>0.2225175383682184</v>
      </c>
      <c r="J2864" t="n">
        <v>0.0347929213908594</v>
      </c>
      <c r="K2864" t="n">
        <v>0.7505770957828432</v>
      </c>
      <c r="L2864" t="b">
        <v>0</v>
      </c>
      <c r="M2864" t="b">
        <v>0</v>
      </c>
      <c r="N2864" t="inlineStr">
        <is>
          <t>alt</t>
        </is>
      </c>
      <c r="O2864" t="n">
        <v>5</v>
      </c>
      <c r="P2864" t="n">
        <v>0.0001898</v>
      </c>
      <c r="Q2864" t="n">
        <v>-100</v>
      </c>
      <c r="R2864" t="n">
        <v>0.02237</v>
      </c>
      <c r="S2864">
        <f>IMAGE("https://mitra.stanford.edu/kundaje/oak/projects/neuro-variants/variant_position/credible/roussos_2024/variant_figures/roussos_2024.adolescence.GLU/rs12635178_count_position.png",4,220,900)</f>
        <v/>
      </c>
      <c r="T2864">
        <f>IMAGE("https://mitra.stanford.edu/kundaje/oak/projects/neuro-variants/variant_position/credible/roussos_2024/variant_figures/roussos_2024.adolescence.GLU/rs12635178_profile_position.png",4,220,900)</f>
        <v/>
      </c>
    </row>
    <row r="2865">
      <c r="A2865" t="inlineStr">
        <is>
          <t>chr3</t>
        </is>
      </c>
      <c r="B2865" t="n">
        <v>181092123</v>
      </c>
      <c r="C2865" t="inlineStr">
        <is>
          <t>T</t>
        </is>
      </c>
      <c r="D2865" t="inlineStr">
        <is>
          <t>G</t>
        </is>
      </c>
      <c r="E2865" t="inlineStr">
        <is>
          <t>rs1968217</t>
        </is>
      </c>
      <c r="F2865" t="n">
        <v>0.003930581</v>
      </c>
      <c r="G2865" t="n">
        <v>0.6874364423820426</v>
      </c>
      <c r="H2865" t="n">
        <v>0.0285515217868625</v>
      </c>
      <c r="I2865" t="n">
        <v>0.0113936565542494</v>
      </c>
      <c r="J2865" t="n">
        <v>0.0417657943431138</v>
      </c>
      <c r="K2865" t="n">
        <v>0.7254617176223379</v>
      </c>
      <c r="L2865" t="b">
        <v>1</v>
      </c>
      <c r="M2865" t="b">
        <v>0</v>
      </c>
      <c r="N2865" t="inlineStr">
        <is>
          <t>alt</t>
        </is>
      </c>
      <c r="O2865" t="n">
        <v>95</v>
      </c>
      <c r="P2865" t="n">
        <v>6.58e-05</v>
      </c>
      <c r="Q2865" t="n">
        <v>100</v>
      </c>
      <c r="R2865" t="n">
        <v>0.07043000000000001</v>
      </c>
      <c r="S2865">
        <f>IMAGE("https://mitra.stanford.edu/kundaje/oak/projects/neuro-variants/variant_position/credible/roussos_2024/variant_figures/roussos_2024.adolescence.GLU/rs1968217_count_position.png",4,220,900)</f>
        <v/>
      </c>
      <c r="T2865">
        <f>IMAGE("https://mitra.stanford.edu/kundaje/oak/projects/neuro-variants/variant_position/credible/roussos_2024/variant_figures/roussos_2024.adolescence.GLU/rs1968217_profile_position.png",4,220,900)</f>
        <v/>
      </c>
    </row>
    <row r="2866">
      <c r="A2866" t="inlineStr">
        <is>
          <t>chr3</t>
        </is>
      </c>
      <c r="B2866" t="n">
        <v>181114189</v>
      </c>
      <c r="C2866" t="inlineStr">
        <is>
          <t>G</t>
        </is>
      </c>
      <c r="D2866" t="inlineStr">
        <is>
          <t>A</t>
        </is>
      </c>
      <c r="E2866" t="inlineStr">
        <is>
          <t>rs2543163</t>
        </is>
      </c>
      <c r="F2866" t="n">
        <v>-0.0013677065</v>
      </c>
      <c r="G2866" t="n">
        <v>0.3321615634078858</v>
      </c>
      <c r="H2866" t="n">
        <v>0.015785844654235</v>
      </c>
      <c r="I2866" t="n">
        <v>0.1400357162547648</v>
      </c>
      <c r="J2866" t="n">
        <v>0.09423094783919519</v>
      </c>
      <c r="K2866" t="n">
        <v>0.5864938205302039</v>
      </c>
      <c r="L2866" t="b">
        <v>0</v>
      </c>
      <c r="M2866" t="b">
        <v>0</v>
      </c>
      <c r="N2866" t="inlineStr">
        <is>
          <t>ref</t>
        </is>
      </c>
      <c r="O2866" t="n">
        <v>-65</v>
      </c>
      <c r="P2866" t="n">
        <v>0.00217</v>
      </c>
      <c r="Q2866" t="n">
        <v>100</v>
      </c>
      <c r="R2866" t="n">
        <v>0.007996</v>
      </c>
      <c r="S2866">
        <f>IMAGE("https://mitra.stanford.edu/kundaje/oak/projects/neuro-variants/variant_position/credible/roussos_2024/variant_figures/roussos_2024.adolescence.GLU/rs2543163_count_position.png",4,220,900)</f>
        <v/>
      </c>
      <c r="T2866">
        <f>IMAGE("https://mitra.stanford.edu/kundaje/oak/projects/neuro-variants/variant_position/credible/roussos_2024/variant_figures/roussos_2024.adolescence.GLU/rs2543163_profile_position.png",4,220,900)</f>
        <v/>
      </c>
    </row>
    <row r="2867">
      <c r="A2867" t="inlineStr">
        <is>
          <t>chr3</t>
        </is>
      </c>
      <c r="B2867" t="n">
        <v>181119890</v>
      </c>
      <c r="C2867" t="inlineStr">
        <is>
          <t>G</t>
        </is>
      </c>
      <c r="D2867" t="inlineStr">
        <is>
          <t>A</t>
        </is>
      </c>
      <c r="E2867" t="inlineStr">
        <is>
          <t>rs34718862</t>
        </is>
      </c>
      <c r="F2867" t="n">
        <v>-0.048206302</v>
      </c>
      <c r="G2867" t="n">
        <v>0.0707864945061822</v>
      </c>
      <c r="H2867" t="n">
        <v>0.0092990968624452</v>
      </c>
      <c r="I2867" t="n">
        <v>0.6262140147454006</v>
      </c>
      <c r="J2867" t="n">
        <v>0.0900272199241271</v>
      </c>
      <c r="K2867" t="n">
        <v>0.5932523271437257</v>
      </c>
      <c r="L2867" t="b">
        <v>0</v>
      </c>
      <c r="M2867" t="b">
        <v>0</v>
      </c>
      <c r="N2867" t="inlineStr">
        <is>
          <t>ref</t>
        </is>
      </c>
      <c r="O2867" t="n">
        <v>65</v>
      </c>
      <c r="P2867" t="n">
        <v>0.00895</v>
      </c>
      <c r="Q2867" t="n">
        <v>-95</v>
      </c>
      <c r="R2867" t="n">
        <v>0.09180000000000001</v>
      </c>
      <c r="S2867">
        <f>IMAGE("https://mitra.stanford.edu/kundaje/oak/projects/neuro-variants/variant_position/credible/roussos_2024/variant_figures/roussos_2024.adolescence.GLU/rs34718862_count_position.png",4,220,900)</f>
        <v/>
      </c>
      <c r="T2867">
        <f>IMAGE("https://mitra.stanford.edu/kundaje/oak/projects/neuro-variants/variant_position/credible/roussos_2024/variant_figures/roussos_2024.adolescence.GLU/rs34718862_profile_position.png",4,220,900)</f>
        <v/>
      </c>
    </row>
    <row r="2868">
      <c r="A2868" t="inlineStr">
        <is>
          <t>chr3</t>
        </is>
      </c>
      <c r="B2868" t="n">
        <v>181122700</v>
      </c>
      <c r="C2868" t="inlineStr">
        <is>
          <t>C</t>
        </is>
      </c>
      <c r="D2868" t="inlineStr">
        <is>
          <t>T</t>
        </is>
      </c>
      <c r="E2868" t="inlineStr">
        <is>
          <t>rs4456860</t>
        </is>
      </c>
      <c r="F2868" t="n">
        <v>0.0055008416399999</v>
      </c>
      <c r="G2868" t="n">
        <v>0.6886825420900927</v>
      </c>
      <c r="H2868" t="n">
        <v>0.0202976094264735</v>
      </c>
      <c r="I2868" t="n">
        <v>0.0542351108618749</v>
      </c>
      <c r="J2868" t="n">
        <v>0.0002900600838744</v>
      </c>
      <c r="K2868" t="n">
        <v>0.9879212291655144</v>
      </c>
      <c r="L2868" t="b">
        <v>0</v>
      </c>
      <c r="M2868" t="b">
        <v>0</v>
      </c>
      <c r="N2868" t="inlineStr">
        <is>
          <t>alt</t>
        </is>
      </c>
      <c r="O2868" t="n">
        <v>90</v>
      </c>
      <c r="P2868" t="n">
        <v>0.00432</v>
      </c>
      <c r="Q2868" t="n">
        <v>-75</v>
      </c>
      <c r="R2868" t="n">
        <v>0.03168</v>
      </c>
      <c r="S2868">
        <f>IMAGE("https://mitra.stanford.edu/kundaje/oak/projects/neuro-variants/variant_position/credible/roussos_2024/variant_figures/roussos_2024.adolescence.GLU/rs4456860_count_position.png",4,220,900)</f>
        <v/>
      </c>
      <c r="T2868">
        <f>IMAGE("https://mitra.stanford.edu/kundaje/oak/projects/neuro-variants/variant_position/credible/roussos_2024/variant_figures/roussos_2024.adolescence.GLU/rs4456860_profile_position.png",4,220,900)</f>
        <v/>
      </c>
    </row>
    <row r="2869">
      <c r="A2869" t="inlineStr">
        <is>
          <t>chr3</t>
        </is>
      </c>
      <c r="B2869" t="n">
        <v>181127869</v>
      </c>
      <c r="C2869" t="inlineStr">
        <is>
          <t>T</t>
        </is>
      </c>
      <c r="D2869" t="inlineStr">
        <is>
          <t>A</t>
        </is>
      </c>
      <c r="E2869" t="inlineStr">
        <is>
          <t>rs13075474</t>
        </is>
      </c>
      <c r="F2869" t="n">
        <v>-0.00146184462</v>
      </c>
      <c r="G2869" t="n">
        <v>0.5602278408444618</v>
      </c>
      <c r="H2869" t="n">
        <v>0.0112350186242083</v>
      </c>
      <c r="I2869" t="n">
        <v>0.4209327494534335</v>
      </c>
      <c r="J2869" t="n">
        <v>0.0489558551414221</v>
      </c>
      <c r="K2869" t="n">
        <v>0.7001050186152846</v>
      </c>
      <c r="L2869" t="b">
        <v>0</v>
      </c>
      <c r="M2869" t="b">
        <v>0</v>
      </c>
      <c r="N2869" t="inlineStr">
        <is>
          <t>ref</t>
        </is>
      </c>
      <c r="O2869" t="n">
        <v>-55</v>
      </c>
      <c r="P2869" t="n">
        <v>0.0007744</v>
      </c>
      <c r="Q2869" t="n">
        <v>-85</v>
      </c>
      <c r="R2869" t="n">
        <v>0.04633</v>
      </c>
      <c r="S2869">
        <f>IMAGE("https://mitra.stanford.edu/kundaje/oak/projects/neuro-variants/variant_position/credible/roussos_2024/variant_figures/roussos_2024.adolescence.GLU/rs13075474_count_position.png",4,220,900)</f>
        <v/>
      </c>
      <c r="T2869">
        <f>IMAGE("https://mitra.stanford.edu/kundaje/oak/projects/neuro-variants/variant_position/credible/roussos_2024/variant_figures/roussos_2024.adolescence.GLU/rs13075474_profile_position.png",4,220,900)</f>
        <v/>
      </c>
    </row>
    <row r="2870">
      <c r="A2870" t="inlineStr">
        <is>
          <t>chr3</t>
        </is>
      </c>
      <c r="B2870" t="n">
        <v>181132050</v>
      </c>
      <c r="C2870" t="inlineStr">
        <is>
          <t>G</t>
        </is>
      </c>
      <c r="D2870" t="inlineStr">
        <is>
          <t>A</t>
        </is>
      </c>
      <c r="E2870" t="inlineStr">
        <is>
          <t>rs13077643</t>
        </is>
      </c>
      <c r="F2870" t="n">
        <v>-0.0513174382</v>
      </c>
      <c r="G2870" t="n">
        <v>0.0674625835273831</v>
      </c>
      <c r="H2870" t="n">
        <v>0.0135768009608125</v>
      </c>
      <c r="I2870" t="n">
        <v>0.2453967571416831</v>
      </c>
      <c r="J2870" t="n">
        <v>0.0445835208721806</v>
      </c>
      <c r="K2870" t="n">
        <v>0.7192750879339426</v>
      </c>
      <c r="L2870" t="b">
        <v>0</v>
      </c>
      <c r="M2870" t="b">
        <v>0</v>
      </c>
      <c r="N2870" t="inlineStr">
        <is>
          <t>ref</t>
        </is>
      </c>
      <c r="O2870" t="n">
        <v>-95</v>
      </c>
      <c r="P2870" t="n">
        <v>0.003796</v>
      </c>
      <c r="Q2870" t="n">
        <v>-95</v>
      </c>
      <c r="R2870" t="n">
        <v>0.05005</v>
      </c>
      <c r="S2870">
        <f>IMAGE("https://mitra.stanford.edu/kundaje/oak/projects/neuro-variants/variant_position/credible/roussos_2024/variant_figures/roussos_2024.adolescence.GLU/rs13077643_count_position.png",4,220,900)</f>
        <v/>
      </c>
      <c r="T2870">
        <f>IMAGE("https://mitra.stanford.edu/kundaje/oak/projects/neuro-variants/variant_position/credible/roussos_2024/variant_figures/roussos_2024.adolescence.GLU/rs13077643_profile_position.png",4,220,900)</f>
        <v/>
      </c>
    </row>
    <row r="2871">
      <c r="A2871" t="inlineStr">
        <is>
          <t>chr3</t>
        </is>
      </c>
      <c r="B2871" t="n">
        <v>181155199</v>
      </c>
      <c r="C2871" t="inlineStr">
        <is>
          <t>C</t>
        </is>
      </c>
      <c r="D2871" t="inlineStr">
        <is>
          <t>A</t>
        </is>
      </c>
      <c r="E2871" t="inlineStr">
        <is>
          <t>rs13071279</t>
        </is>
      </c>
      <c r="F2871" t="n">
        <v>-0.0162597882</v>
      </c>
      <c r="G2871" t="n">
        <v>0.387540508006447</v>
      </c>
      <c r="H2871" t="n">
        <v>0.0233104804977138</v>
      </c>
      <c r="I2871" t="n">
        <v>0.0271881994614439</v>
      </c>
      <c r="J2871" t="n">
        <v>0.0357216852062212</v>
      </c>
      <c r="K2871" t="n">
        <v>0.7499039152257561</v>
      </c>
      <c r="L2871" t="b">
        <v>0</v>
      </c>
      <c r="M2871" t="b">
        <v>0</v>
      </c>
      <c r="N2871" t="inlineStr">
        <is>
          <t>ref</t>
        </is>
      </c>
      <c r="O2871" t="n">
        <v>70</v>
      </c>
      <c r="P2871" t="n">
        <v>0.001434</v>
      </c>
      <c r="Q2871" t="n">
        <v>95</v>
      </c>
      <c r="R2871" t="n">
        <v>0.0358</v>
      </c>
      <c r="S2871">
        <f>IMAGE("https://mitra.stanford.edu/kundaje/oak/projects/neuro-variants/variant_position/credible/roussos_2024/variant_figures/roussos_2024.adolescence.GLU/rs13071279_count_position.png",4,220,900)</f>
        <v/>
      </c>
      <c r="T2871">
        <f>IMAGE("https://mitra.stanford.edu/kundaje/oak/projects/neuro-variants/variant_position/credible/roussos_2024/variant_figures/roussos_2024.adolescence.GLU/rs13071279_profile_position.png",4,220,900)</f>
        <v/>
      </c>
    </row>
    <row r="2872">
      <c r="A2872" t="inlineStr">
        <is>
          <t>chr3</t>
        </is>
      </c>
      <c r="B2872" t="n">
        <v>181278250</v>
      </c>
      <c r="C2872" t="inlineStr">
        <is>
          <t>T</t>
        </is>
      </c>
      <c r="D2872" t="inlineStr">
        <is>
          <t>G</t>
        </is>
      </c>
      <c r="E2872" t="inlineStr">
        <is>
          <t>rs13092432</t>
        </is>
      </c>
      <c r="F2872" t="n">
        <v>-0.0005897946199999999</v>
      </c>
      <c r="G2872" t="n">
        <v>0.9011586476791006</v>
      </c>
      <c r="H2872" t="n">
        <v>0.0258071903674261</v>
      </c>
      <c r="I2872" t="n">
        <v>0.0168424763394895</v>
      </c>
      <c r="J2872" t="n">
        <v>0.127440684141715</v>
      </c>
      <c r="K2872" t="n">
        <v>0.5144815997427353</v>
      </c>
      <c r="L2872" t="b">
        <v>1</v>
      </c>
      <c r="M2872" t="b">
        <v>0</v>
      </c>
      <c r="N2872" t="inlineStr">
        <is>
          <t>ref</t>
        </is>
      </c>
      <c r="O2872" t="n">
        <v>5</v>
      </c>
      <c r="P2872" t="n">
        <v>0.001184</v>
      </c>
      <c r="Q2872" t="n">
        <v>-75</v>
      </c>
      <c r="R2872" t="n">
        <v>0.03394</v>
      </c>
      <c r="S2872">
        <f>IMAGE("https://mitra.stanford.edu/kundaje/oak/projects/neuro-variants/variant_position/credible/roussos_2024/variant_figures/roussos_2024.adolescence.GLU/rs13092432_count_position.png",4,220,900)</f>
        <v/>
      </c>
      <c r="T2872">
        <f>IMAGE("https://mitra.stanford.edu/kundaje/oak/projects/neuro-variants/variant_position/credible/roussos_2024/variant_figures/roussos_2024.adolescence.GLU/rs13092432_profile_position.png",4,220,900)</f>
        <v/>
      </c>
    </row>
    <row r="2873">
      <c r="A2873" t="inlineStr">
        <is>
          <t>chr3</t>
        </is>
      </c>
      <c r="B2873" t="n">
        <v>181305364</v>
      </c>
      <c r="C2873" t="inlineStr">
        <is>
          <t>A</t>
        </is>
      </c>
      <c r="D2873" t="inlineStr">
        <is>
          <t>G</t>
        </is>
      </c>
      <c r="E2873" t="inlineStr">
        <is>
          <t>rs12633623</t>
        </is>
      </c>
      <c r="F2873" t="n">
        <v>0.0954405228</v>
      </c>
      <c r="G2873" t="n">
        <v>0.009254795218601</v>
      </c>
      <c r="H2873" t="n">
        <v>0.0302636277057682</v>
      </c>
      <c r="I2873" t="n">
        <v>0.010082064000032</v>
      </c>
      <c r="J2873" t="n">
        <v>0.2019489751448514</v>
      </c>
      <c r="K2873" t="n">
        <v>0.4010293755355756</v>
      </c>
      <c r="L2873" t="b">
        <v>1</v>
      </c>
      <c r="M2873" t="b">
        <v>1</v>
      </c>
      <c r="N2873" t="inlineStr">
        <is>
          <t>alt</t>
        </is>
      </c>
      <c r="O2873" t="n">
        <v>60</v>
      </c>
      <c r="P2873" t="n">
        <v>0.006653</v>
      </c>
      <c r="Q2873" t="n">
        <v>100</v>
      </c>
      <c r="R2873" t="n">
        <v>0.115</v>
      </c>
      <c r="S2873">
        <f>IMAGE("https://mitra.stanford.edu/kundaje/oak/projects/neuro-variants/variant_position/credible/roussos_2024/variant_figures/roussos_2024.adolescence.GLU/rs12633623_count_position.png",4,220,900)</f>
        <v/>
      </c>
      <c r="T2873">
        <f>IMAGE("https://mitra.stanford.edu/kundaje/oak/projects/neuro-variants/variant_position/credible/roussos_2024/variant_figures/roussos_2024.adolescence.GLU/rs12633623_profile_position.png",4,220,900)</f>
        <v/>
      </c>
    </row>
    <row r="2874">
      <c r="A2874" t="inlineStr">
        <is>
          <t>chr3</t>
        </is>
      </c>
      <c r="B2874" t="n">
        <v>181353043</v>
      </c>
      <c r="C2874" t="inlineStr">
        <is>
          <t>A</t>
        </is>
      </c>
      <c r="D2874" t="inlineStr">
        <is>
          <t>G</t>
        </is>
      </c>
      <c r="E2874" t="inlineStr">
        <is>
          <t>rs74284696</t>
        </is>
      </c>
      <c r="F2874" t="n">
        <v>0.000212504914</v>
      </c>
      <c r="G2874" t="n">
        <v>0.933282916884678</v>
      </c>
      <c r="H2874" t="n">
        <v>0.0259345583045544</v>
      </c>
      <c r="I2874" t="n">
        <v>0.0204791564838716</v>
      </c>
      <c r="J2874" t="n">
        <v>0.0410899400590121</v>
      </c>
      <c r="K2874" t="n">
        <v>0.7283297344696619</v>
      </c>
      <c r="L2874" t="b">
        <v>0</v>
      </c>
      <c r="M2874" t="b">
        <v>0</v>
      </c>
      <c r="N2874" t="inlineStr">
        <is>
          <t>alt</t>
        </is>
      </c>
      <c r="O2874" t="n">
        <v>-10</v>
      </c>
      <c r="P2874" t="n">
        <v>0.001083</v>
      </c>
      <c r="Q2874" t="n">
        <v>-100</v>
      </c>
      <c r="R2874" t="n">
        <v>0.1271</v>
      </c>
      <c r="S2874">
        <f>IMAGE("https://mitra.stanford.edu/kundaje/oak/projects/neuro-variants/variant_position/credible/roussos_2024/variant_figures/roussos_2024.adolescence.GLU/rs74284696_count_position.png",4,220,900)</f>
        <v/>
      </c>
      <c r="T2874">
        <f>IMAGE("https://mitra.stanford.edu/kundaje/oak/projects/neuro-variants/variant_position/credible/roussos_2024/variant_figures/roussos_2024.adolescence.GLU/rs74284696_profile_position.png",4,220,900)</f>
        <v/>
      </c>
    </row>
    <row r="2875">
      <c r="A2875" t="inlineStr">
        <is>
          <t>chr3</t>
        </is>
      </c>
      <c r="B2875" t="n">
        <v>181363793</v>
      </c>
      <c r="C2875" t="inlineStr">
        <is>
          <t>G</t>
        </is>
      </c>
      <c r="D2875" t="inlineStr">
        <is>
          <t>A</t>
        </is>
      </c>
      <c r="E2875" t="inlineStr">
        <is>
          <t>rs141717445</t>
        </is>
      </c>
      <c r="F2875" t="n">
        <v>-0.0691316204</v>
      </c>
      <c r="G2875" t="n">
        <v>0.0258217489361275</v>
      </c>
      <c r="H2875" t="n">
        <v>0.015192700968916</v>
      </c>
      <c r="I2875" t="n">
        <v>0.170302701995479</v>
      </c>
      <c r="J2875" t="n">
        <v>0.068339870401726</v>
      </c>
      <c r="K2875" t="n">
        <v>0.6572035844392309</v>
      </c>
      <c r="L2875" t="b">
        <v>0</v>
      </c>
      <c r="M2875" t="b">
        <v>0</v>
      </c>
      <c r="N2875" t="inlineStr">
        <is>
          <t>ref</t>
        </is>
      </c>
      <c r="O2875" t="n">
        <v>-75</v>
      </c>
      <c r="P2875" t="n">
        <v>0.002266</v>
      </c>
      <c r="Q2875" t="n">
        <v>55</v>
      </c>
      <c r="R2875" t="n">
        <v>0.0501</v>
      </c>
      <c r="S2875">
        <f>IMAGE("https://mitra.stanford.edu/kundaje/oak/projects/neuro-variants/variant_position/credible/roussos_2024/variant_figures/roussos_2024.adolescence.GLU/rs141717445_count_position.png",4,220,900)</f>
        <v/>
      </c>
      <c r="T2875">
        <f>IMAGE("https://mitra.stanford.edu/kundaje/oak/projects/neuro-variants/variant_position/credible/roussos_2024/variant_figures/roussos_2024.adolescence.GLU/rs141717445_profile_position.png",4,220,900)</f>
        <v/>
      </c>
    </row>
    <row r="2876">
      <c r="A2876" t="inlineStr">
        <is>
          <t>chr3</t>
        </is>
      </c>
      <c r="B2876" t="n">
        <v>181380929</v>
      </c>
      <c r="C2876" t="inlineStr">
        <is>
          <t>C</t>
        </is>
      </c>
      <c r="D2876" t="inlineStr">
        <is>
          <t>T</t>
        </is>
      </c>
      <c r="E2876" t="inlineStr">
        <is>
          <t>rs13081180</t>
        </is>
      </c>
      <c r="F2876" t="n">
        <v>-0.1075056381999999</v>
      </c>
      <c r="G2876" t="n">
        <v>0.0064880308506058</v>
      </c>
      <c r="H2876" t="n">
        <v>0.0231604030010169</v>
      </c>
      <c r="I2876" t="n">
        <v>0.0371420061135096</v>
      </c>
      <c r="J2876" t="n">
        <v>0.2003615034542869</v>
      </c>
      <c r="K2876" t="n">
        <v>0.399388018029552</v>
      </c>
      <c r="L2876" t="b">
        <v>1</v>
      </c>
      <c r="M2876" t="b">
        <v>1</v>
      </c>
      <c r="N2876" t="inlineStr">
        <is>
          <t>ref</t>
        </is>
      </c>
      <c r="O2876" t="n">
        <v>-100</v>
      </c>
      <c r="P2876" t="n">
        <v>0.004784</v>
      </c>
      <c r="Q2876" t="n">
        <v>50</v>
      </c>
      <c r="R2876" t="n">
        <v>0.0956</v>
      </c>
      <c r="S2876">
        <f>IMAGE("https://mitra.stanford.edu/kundaje/oak/projects/neuro-variants/variant_position/credible/roussos_2024/variant_figures/roussos_2024.adolescence.GLU/rs13081180_count_position.png",4,220,900)</f>
        <v/>
      </c>
      <c r="T2876">
        <f>IMAGE("https://mitra.stanford.edu/kundaje/oak/projects/neuro-variants/variant_position/credible/roussos_2024/variant_figures/roussos_2024.adolescence.GLU/rs13081180_profile_position.png",4,220,900)</f>
        <v/>
      </c>
    </row>
    <row r="2877">
      <c r="A2877" t="inlineStr">
        <is>
          <t>chr3</t>
        </is>
      </c>
      <c r="B2877" t="n">
        <v>181397839</v>
      </c>
      <c r="C2877" t="inlineStr">
        <is>
          <t>C</t>
        </is>
      </c>
      <c r="D2877" t="inlineStr">
        <is>
          <t>A</t>
        </is>
      </c>
      <c r="E2877" t="inlineStr">
        <is>
          <t>rs10937056</t>
        </is>
      </c>
      <c r="F2877" t="n">
        <v>0.0142414404999999</v>
      </c>
      <c r="G2877" t="n">
        <v>0.3918567579604451</v>
      </c>
      <c r="H2877" t="n">
        <v>0.0138866671333865</v>
      </c>
      <c r="I2877" t="n">
        <v>0.2163891917255047</v>
      </c>
      <c r="J2877" t="n">
        <v>0.0509691293196447</v>
      </c>
      <c r="K2877" t="n">
        <v>0.6968257800911999</v>
      </c>
      <c r="L2877" t="b">
        <v>0</v>
      </c>
      <c r="M2877" t="b">
        <v>0</v>
      </c>
      <c r="N2877" t="inlineStr">
        <is>
          <t>alt</t>
        </is>
      </c>
      <c r="O2877" t="n">
        <v>-60</v>
      </c>
      <c r="P2877" t="n">
        <v>0.001928</v>
      </c>
      <c r="Q2877" t="n">
        <v>-55</v>
      </c>
      <c r="R2877" t="n">
        <v>0.03232</v>
      </c>
      <c r="S2877">
        <f>IMAGE("https://mitra.stanford.edu/kundaje/oak/projects/neuro-variants/variant_position/credible/roussos_2024/variant_figures/roussos_2024.adolescence.GLU/rs10937056_count_position.png",4,220,900)</f>
        <v/>
      </c>
      <c r="T2877">
        <f>IMAGE("https://mitra.stanford.edu/kundaje/oak/projects/neuro-variants/variant_position/credible/roussos_2024/variant_figures/roussos_2024.adolescence.GLU/rs10937056_profile_position.png",4,220,900)</f>
        <v/>
      </c>
    </row>
    <row r="2878">
      <c r="A2878" t="inlineStr">
        <is>
          <t>chr3</t>
        </is>
      </c>
      <c r="B2878" t="n">
        <v>181409743</v>
      </c>
      <c r="C2878" t="inlineStr">
        <is>
          <t>T</t>
        </is>
      </c>
      <c r="D2878" t="inlineStr">
        <is>
          <t>C</t>
        </is>
      </c>
      <c r="E2878" t="inlineStr">
        <is>
          <t>rs9816542</t>
        </is>
      </c>
      <c r="F2878" t="n">
        <v>0.011335471</v>
      </c>
      <c r="G2878" t="n">
        <v>0.456925215562878</v>
      </c>
      <c r="H2878" t="n">
        <v>0.0103718053723019</v>
      </c>
      <c r="I2878" t="n">
        <v>0.4658265084565026</v>
      </c>
      <c r="J2878" t="n">
        <v>0.0269727300655135</v>
      </c>
      <c r="K2878" t="n">
        <v>0.7925177636784398</v>
      </c>
      <c r="L2878" t="b">
        <v>0</v>
      </c>
      <c r="M2878" t="b">
        <v>0</v>
      </c>
      <c r="N2878" t="inlineStr">
        <is>
          <t>alt</t>
        </is>
      </c>
      <c r="O2878" t="n">
        <v>100</v>
      </c>
      <c r="P2878" t="n">
        <v>0.01575</v>
      </c>
      <c r="Q2878" t="n">
        <v>50</v>
      </c>
      <c r="R2878" t="n">
        <v>0.0378</v>
      </c>
      <c r="S2878">
        <f>IMAGE("https://mitra.stanford.edu/kundaje/oak/projects/neuro-variants/variant_position/credible/roussos_2024/variant_figures/roussos_2024.adolescence.GLU/rs9816542_count_position.png",4,220,900)</f>
        <v/>
      </c>
      <c r="T2878">
        <f>IMAGE("https://mitra.stanford.edu/kundaje/oak/projects/neuro-variants/variant_position/credible/roussos_2024/variant_figures/roussos_2024.adolescence.GLU/rs9816542_profile_position.png",4,220,900)</f>
        <v/>
      </c>
    </row>
    <row r="2879">
      <c r="A2879" t="inlineStr">
        <is>
          <t>chr3</t>
        </is>
      </c>
      <c r="B2879" t="n">
        <v>181412853</v>
      </c>
      <c r="C2879" t="inlineStr">
        <is>
          <t>T</t>
        </is>
      </c>
      <c r="D2879" t="inlineStr">
        <is>
          <t>A</t>
        </is>
      </c>
      <c r="E2879" t="inlineStr">
        <is>
          <t>rs6779538</t>
        </is>
      </c>
      <c r="F2879" t="n">
        <v>0.0138822139</v>
      </c>
      <c r="G2879" t="n">
        <v>0.4028608575118754</v>
      </c>
      <c r="H2879" t="n">
        <v>0.0292795028843888</v>
      </c>
      <c r="I2879" t="n">
        <v>0.009416125658080801</v>
      </c>
      <c r="J2879" t="n">
        <v>0.0103349979638638</v>
      </c>
      <c r="K2879" t="n">
        <v>0.8777108668441039</v>
      </c>
      <c r="L2879" t="b">
        <v>1</v>
      </c>
      <c r="M2879" t="b">
        <v>0</v>
      </c>
      <c r="N2879" t="inlineStr">
        <is>
          <t>alt</t>
        </is>
      </c>
      <c r="O2879" t="n">
        <v>100</v>
      </c>
      <c r="P2879" t="n">
        <v>0.03053</v>
      </c>
      <c r="Q2879" t="n">
        <v>100</v>
      </c>
      <c r="R2879" t="n">
        <v>0.05087</v>
      </c>
      <c r="S2879">
        <f>IMAGE("https://mitra.stanford.edu/kundaje/oak/projects/neuro-variants/variant_position/credible/roussos_2024/variant_figures/roussos_2024.adolescence.GLU/rs6779538_count_position.png",4,220,900)</f>
        <v/>
      </c>
      <c r="T2879">
        <f>IMAGE("https://mitra.stanford.edu/kundaje/oak/projects/neuro-variants/variant_position/credible/roussos_2024/variant_figures/roussos_2024.adolescence.GLU/rs6779538_profile_position.png",4,220,900)</f>
        <v/>
      </c>
    </row>
    <row r="2880">
      <c r="A2880" t="inlineStr">
        <is>
          <t>chr3</t>
        </is>
      </c>
      <c r="B2880" t="n">
        <v>181419222</v>
      </c>
      <c r="C2880" t="inlineStr">
        <is>
          <t>C</t>
        </is>
      </c>
      <c r="D2880" t="inlineStr">
        <is>
          <t>T</t>
        </is>
      </c>
      <c r="E2880" t="inlineStr">
        <is>
          <t>rs79339987</t>
        </is>
      </c>
      <c r="F2880" t="n">
        <v>0.003130296724</v>
      </c>
      <c r="G2880" t="n">
        <v>0.8022151985182165</v>
      </c>
      <c r="H2880" t="n">
        <v>0.0295029817453091</v>
      </c>
      <c r="I2880" t="n">
        <v>0.0105423729634649</v>
      </c>
      <c r="J2880" t="n">
        <v>0.018931064291889</v>
      </c>
      <c r="K2880" t="n">
        <v>0.8229320096389336</v>
      </c>
      <c r="L2880" t="b">
        <v>1</v>
      </c>
      <c r="M2880" t="b">
        <v>0</v>
      </c>
      <c r="N2880" t="inlineStr">
        <is>
          <t>alt</t>
        </is>
      </c>
      <c r="O2880" t="n">
        <v>-55</v>
      </c>
      <c r="P2880" t="n">
        <v>0.03156</v>
      </c>
      <c r="Q2880" t="n">
        <v>-20</v>
      </c>
      <c r="R2880" t="n">
        <v>0.0214</v>
      </c>
      <c r="S2880">
        <f>IMAGE("https://mitra.stanford.edu/kundaje/oak/projects/neuro-variants/variant_position/credible/roussos_2024/variant_figures/roussos_2024.adolescence.GLU/rs79339987_count_position.png",4,220,900)</f>
        <v/>
      </c>
      <c r="T2880">
        <f>IMAGE("https://mitra.stanford.edu/kundaje/oak/projects/neuro-variants/variant_position/credible/roussos_2024/variant_figures/roussos_2024.adolescence.GLU/rs79339987_profile_position.png",4,220,900)</f>
        <v/>
      </c>
    </row>
    <row r="2881">
      <c r="A2881" t="inlineStr">
        <is>
          <t>chr3</t>
        </is>
      </c>
      <c r="B2881" t="n">
        <v>181432274</v>
      </c>
      <c r="C2881" t="inlineStr">
        <is>
          <t>G</t>
        </is>
      </c>
      <c r="D2881" t="inlineStr">
        <is>
          <t>A</t>
        </is>
      </c>
      <c r="E2881" t="inlineStr">
        <is>
          <t>rs10937057</t>
        </is>
      </c>
      <c r="F2881" t="n">
        <v>-0.06938772999999999</v>
      </c>
      <c r="G2881" t="n">
        <v>0.0233147414822334</v>
      </c>
      <c r="H2881" t="n">
        <v>0.0121444716427311</v>
      </c>
      <c r="I2881" t="n">
        <v>0.3061911426113164</v>
      </c>
      <c r="J2881" t="n">
        <v>0.2558244207728744</v>
      </c>
      <c r="K2881" t="n">
        <v>0.323727706321799</v>
      </c>
      <c r="L2881" t="b">
        <v>0</v>
      </c>
      <c r="M2881" t="b">
        <v>0</v>
      </c>
      <c r="N2881" t="inlineStr">
        <is>
          <t>ref</t>
        </is>
      </c>
      <c r="O2881" t="n">
        <v>-55</v>
      </c>
      <c r="P2881" t="n">
        <v>0.01245</v>
      </c>
      <c r="Q2881" t="n">
        <v>-55</v>
      </c>
      <c r="R2881" t="n">
        <v>0.10046</v>
      </c>
      <c r="S2881">
        <f>IMAGE("https://mitra.stanford.edu/kundaje/oak/projects/neuro-variants/variant_position/credible/roussos_2024/variant_figures/roussos_2024.adolescence.GLU/rs10937057_count_position.png",4,220,900)</f>
        <v/>
      </c>
      <c r="T2881">
        <f>IMAGE("https://mitra.stanford.edu/kundaje/oak/projects/neuro-variants/variant_position/credible/roussos_2024/variant_figures/roussos_2024.adolescence.GLU/rs10937057_profile_position.png",4,220,900)</f>
        <v/>
      </c>
    </row>
    <row r="2882">
      <c r="A2882" t="inlineStr">
        <is>
          <t>chr3</t>
        </is>
      </c>
      <c r="B2882" t="n">
        <v>181468180</v>
      </c>
      <c r="C2882" t="inlineStr">
        <is>
          <t>T</t>
        </is>
      </c>
      <c r="D2882" t="inlineStr">
        <is>
          <t>C</t>
        </is>
      </c>
      <c r="E2882" t="inlineStr">
        <is>
          <t>rs4854918</t>
        </is>
      </c>
      <c r="F2882" t="n">
        <v>0.01217792096</v>
      </c>
      <c r="G2882" t="n">
        <v>0.2935424751166339</v>
      </c>
      <c r="H2882" t="n">
        <v>0.0114791556731586</v>
      </c>
      <c r="I2882" t="n">
        <v>0.4030545061178355</v>
      </c>
      <c r="J2882" t="n">
        <v>0.0911917468618499</v>
      </c>
      <c r="K2882" t="n">
        <v>0.5887037683381147</v>
      </c>
      <c r="L2882" t="b">
        <v>0</v>
      </c>
      <c r="M2882" t="b">
        <v>0</v>
      </c>
      <c r="N2882" t="inlineStr">
        <is>
          <t>alt</t>
        </is>
      </c>
      <c r="O2882" t="n">
        <v>85</v>
      </c>
      <c r="P2882" t="n">
        <v>0.006897</v>
      </c>
      <c r="Q2882" t="n">
        <v>0</v>
      </c>
      <c r="R2882" t="n">
        <v>0</v>
      </c>
      <c r="S2882">
        <f>IMAGE("https://mitra.stanford.edu/kundaje/oak/projects/neuro-variants/variant_position/credible/roussos_2024/variant_figures/roussos_2024.adolescence.GLU/rs4854918_count_position.png",4,220,900)</f>
        <v/>
      </c>
      <c r="T2882">
        <f>IMAGE("https://mitra.stanford.edu/kundaje/oak/projects/neuro-variants/variant_position/credible/roussos_2024/variant_figures/roussos_2024.adolescence.GLU/rs4854918_profile_position.png",4,220,900)</f>
        <v/>
      </c>
    </row>
    <row r="2883">
      <c r="A2883" t="inlineStr">
        <is>
          <t>chr3</t>
        </is>
      </c>
      <c r="B2883" t="n">
        <v>181468571</v>
      </c>
      <c r="C2883" t="inlineStr">
        <is>
          <t>C</t>
        </is>
      </c>
      <c r="D2883" t="inlineStr">
        <is>
          <t>T</t>
        </is>
      </c>
      <c r="E2883" t="inlineStr">
        <is>
          <t>rs11717567</t>
        </is>
      </c>
      <c r="F2883" t="n">
        <v>0.0518431006</v>
      </c>
      <c r="G2883" t="n">
        <v>0.0557876012035975</v>
      </c>
      <c r="H2883" t="n">
        <v>0.0225862654456705</v>
      </c>
      <c r="I2883" t="n">
        <v>0.03666016659488</v>
      </c>
      <c r="J2883" t="n">
        <v>0.0722649691721856</v>
      </c>
      <c r="K2883" t="n">
        <v>0.6309849235244579</v>
      </c>
      <c r="L2883" t="b">
        <v>0</v>
      </c>
      <c r="M2883" t="b">
        <v>0</v>
      </c>
      <c r="N2883" t="inlineStr">
        <is>
          <t>alt</t>
        </is>
      </c>
      <c r="O2883" t="n">
        <v>-100</v>
      </c>
      <c r="P2883" t="n">
        <v>0.005802</v>
      </c>
      <c r="Q2883" t="n">
        <v>-55</v>
      </c>
      <c r="R2883" t="n">
        <v>0.062</v>
      </c>
      <c r="S2883">
        <f>IMAGE("https://mitra.stanford.edu/kundaje/oak/projects/neuro-variants/variant_position/credible/roussos_2024/variant_figures/roussos_2024.adolescence.GLU/rs11717567_count_position.png",4,220,900)</f>
        <v/>
      </c>
      <c r="T2883">
        <f>IMAGE("https://mitra.stanford.edu/kundaje/oak/projects/neuro-variants/variant_position/credible/roussos_2024/variant_figures/roussos_2024.adolescence.GLU/rs11717567_profile_position.png",4,220,900)</f>
        <v/>
      </c>
    </row>
    <row r="2884">
      <c r="A2884" t="inlineStr">
        <is>
          <t>chr3</t>
        </is>
      </c>
      <c r="B2884" t="n">
        <v>181479104</v>
      </c>
      <c r="C2884" t="inlineStr">
        <is>
          <t>C</t>
        </is>
      </c>
      <c r="D2884" t="inlineStr">
        <is>
          <t>A</t>
        </is>
      </c>
      <c r="E2884" t="inlineStr">
        <is>
          <t>rs11708101</t>
        </is>
      </c>
      <c r="F2884" t="n">
        <v>0.00704657039</v>
      </c>
      <c r="G2884" t="n">
        <v>0.6214071410503427</v>
      </c>
      <c r="H2884" t="n">
        <v>0.0242332485669632</v>
      </c>
      <c r="I2884" t="n">
        <v>0.0244333250687187</v>
      </c>
      <c r="J2884" t="n">
        <v>0.0348829400375791</v>
      </c>
      <c r="K2884" t="n">
        <v>0.7506750838861111</v>
      </c>
      <c r="L2884" t="b">
        <v>0</v>
      </c>
      <c r="M2884" t="b">
        <v>0</v>
      </c>
      <c r="N2884" t="inlineStr">
        <is>
          <t>alt</t>
        </is>
      </c>
      <c r="O2884" t="n">
        <v>-45</v>
      </c>
      <c r="P2884" t="n">
        <v>0.001511</v>
      </c>
      <c r="Q2884" t="n">
        <v>95</v>
      </c>
      <c r="R2884" t="n">
        <v>0.07679999999999999</v>
      </c>
      <c r="S2884">
        <f>IMAGE("https://mitra.stanford.edu/kundaje/oak/projects/neuro-variants/variant_position/credible/roussos_2024/variant_figures/roussos_2024.adolescence.GLU/rs11708101_count_position.png",4,220,900)</f>
        <v/>
      </c>
      <c r="T2884">
        <f>IMAGE("https://mitra.stanford.edu/kundaje/oak/projects/neuro-variants/variant_position/credible/roussos_2024/variant_figures/roussos_2024.adolescence.GLU/rs11708101_profile_position.png",4,220,900)</f>
        <v/>
      </c>
    </row>
    <row r="2885">
      <c r="A2885" t="inlineStr">
        <is>
          <t>chr3</t>
        </is>
      </c>
      <c r="B2885" t="n">
        <v>181484570</v>
      </c>
      <c r="C2885" t="inlineStr">
        <is>
          <t>C</t>
        </is>
      </c>
      <c r="D2885" t="inlineStr">
        <is>
          <t>T</t>
        </is>
      </c>
      <c r="E2885" t="inlineStr">
        <is>
          <t>rs55844174</t>
        </is>
      </c>
      <c r="F2885" t="n">
        <v>-0.0118814143</v>
      </c>
      <c r="G2885" t="n">
        <v>0.4770846012264703</v>
      </c>
      <c r="H2885" t="n">
        <v>0.010172583445226</v>
      </c>
      <c r="I2885" t="n">
        <v>0.5090853150220801</v>
      </c>
      <c r="J2885" t="n">
        <v>0.0202713419208264</v>
      </c>
      <c r="K2885" t="n">
        <v>0.8195628852456935</v>
      </c>
      <c r="L2885" t="b">
        <v>0</v>
      </c>
      <c r="M2885" t="b">
        <v>0</v>
      </c>
      <c r="N2885" t="inlineStr">
        <is>
          <t>ref</t>
        </is>
      </c>
      <c r="O2885" t="n">
        <v>-100</v>
      </c>
      <c r="P2885" t="n">
        <v>0.007423</v>
      </c>
      <c r="Q2885" t="n">
        <v>80</v>
      </c>
      <c r="R2885" t="n">
        <v>0.0486</v>
      </c>
      <c r="S2885">
        <f>IMAGE("https://mitra.stanford.edu/kundaje/oak/projects/neuro-variants/variant_position/credible/roussos_2024/variant_figures/roussos_2024.adolescence.GLU/rs55844174_count_position.png",4,220,900)</f>
        <v/>
      </c>
      <c r="T2885">
        <f>IMAGE("https://mitra.stanford.edu/kundaje/oak/projects/neuro-variants/variant_position/credible/roussos_2024/variant_figures/roussos_2024.adolescence.GLU/rs55844174_profile_position.png",4,220,900)</f>
        <v/>
      </c>
    </row>
    <row r="2886">
      <c r="A2886" t="inlineStr">
        <is>
          <t>chr3</t>
        </is>
      </c>
      <c r="B2886" t="n">
        <v>181488779</v>
      </c>
      <c r="C2886" t="inlineStr">
        <is>
          <t>A</t>
        </is>
      </c>
      <c r="D2886" t="inlineStr">
        <is>
          <t>G</t>
        </is>
      </c>
      <c r="E2886" t="inlineStr">
        <is>
          <t>rs16832517</t>
        </is>
      </c>
      <c r="F2886" t="n">
        <v>-0.0100462267999999</v>
      </c>
      <c r="G2886" t="n">
        <v>0.5292817808602971</v>
      </c>
      <c r="H2886" t="n">
        <v>0.0060531245526456</v>
      </c>
      <c r="I2886" t="n">
        <v>0.9719631709089088</v>
      </c>
      <c r="J2886" t="n">
        <v>0.0396182066285158</v>
      </c>
      <c r="K2886" t="n">
        <v>0.7398350578109046</v>
      </c>
      <c r="L2886" t="b">
        <v>0</v>
      </c>
      <c r="M2886" t="b">
        <v>0</v>
      </c>
      <c r="N2886" t="inlineStr">
        <is>
          <t>ref</t>
        </is>
      </c>
      <c r="O2886" t="n">
        <v>100</v>
      </c>
      <c r="P2886" t="n">
        <v>0.003277</v>
      </c>
      <c r="Q2886" t="n">
        <v>60</v>
      </c>
      <c r="R2886" t="n">
        <v>0.03827</v>
      </c>
      <c r="S2886">
        <f>IMAGE("https://mitra.stanford.edu/kundaje/oak/projects/neuro-variants/variant_position/credible/roussos_2024/variant_figures/roussos_2024.adolescence.GLU/rs16832517_count_position.png",4,220,900)</f>
        <v/>
      </c>
      <c r="T2886">
        <f>IMAGE("https://mitra.stanford.edu/kundaje/oak/projects/neuro-variants/variant_position/credible/roussos_2024/variant_figures/roussos_2024.adolescence.GLU/rs16832517_profile_position.png",4,220,900)</f>
        <v/>
      </c>
    </row>
    <row r="2887">
      <c r="A2887" t="inlineStr">
        <is>
          <t>chr3</t>
        </is>
      </c>
      <c r="B2887" t="n">
        <v>181702392</v>
      </c>
      <c r="C2887" t="inlineStr">
        <is>
          <t>T</t>
        </is>
      </c>
      <c r="D2887" t="inlineStr">
        <is>
          <t>G</t>
        </is>
      </c>
      <c r="E2887" t="inlineStr">
        <is>
          <t>rs75907840</t>
        </is>
      </c>
      <c r="F2887" t="n">
        <v>-2.229037399999996e-05</v>
      </c>
      <c r="G2887" t="n">
        <v>0.8446323373786975</v>
      </c>
      <c r="H2887" t="n">
        <v>0.0205880559320468</v>
      </c>
      <c r="I2887" t="n">
        <v>0.0510797439703097</v>
      </c>
      <c r="J2887" t="n">
        <v>0.6880082302762716</v>
      </c>
      <c r="K2887" t="n">
        <v>0.0168444488286079</v>
      </c>
      <c r="L2887" t="b">
        <v>0</v>
      </c>
      <c r="M2887" t="b">
        <v>0</v>
      </c>
      <c r="N2887" t="inlineStr">
        <is>
          <t>ref</t>
        </is>
      </c>
      <c r="O2887" t="n">
        <v>-55</v>
      </c>
      <c r="P2887" t="n">
        <v>0.00708</v>
      </c>
      <c r="Q2887" t="n">
        <v>-100</v>
      </c>
      <c r="R2887" t="n">
        <v>0.1912</v>
      </c>
      <c r="S2887">
        <f>IMAGE("https://mitra.stanford.edu/kundaje/oak/projects/neuro-variants/variant_position/credible/roussos_2024/variant_figures/roussos_2024.adolescence.GLU/rs75907840_count_position.png",4,220,900)</f>
        <v/>
      </c>
      <c r="T2887">
        <f>IMAGE("https://mitra.stanford.edu/kundaje/oak/projects/neuro-variants/variant_position/credible/roussos_2024/variant_figures/roussos_2024.adolescence.GLU/rs75907840_profile_position.png",4,220,900)</f>
        <v/>
      </c>
    </row>
    <row r="2888">
      <c r="A2888" t="inlineStr">
        <is>
          <t>chr3</t>
        </is>
      </c>
      <c r="B2888" t="n">
        <v>181713783</v>
      </c>
      <c r="C2888" t="inlineStr">
        <is>
          <t>C</t>
        </is>
      </c>
      <c r="D2888" t="inlineStr">
        <is>
          <t>A</t>
        </is>
      </c>
      <c r="E2888" t="inlineStr">
        <is>
          <t>rs11915160</t>
        </is>
      </c>
      <c r="F2888" t="n">
        <v>0.000657613028</v>
      </c>
      <c r="G2888" t="n">
        <v>0.9041077876109144</v>
      </c>
      <c r="H2888" t="n">
        <v>0.0172340122522777</v>
      </c>
      <c r="I2888" t="n">
        <v>0.0952666142661119</v>
      </c>
      <c r="J2888" t="n">
        <v>0.3981410435018683</v>
      </c>
      <c r="K2888" t="n">
        <v>0.1697072312571846</v>
      </c>
      <c r="L2888" t="b">
        <v>0</v>
      </c>
      <c r="M2888" t="b">
        <v>0</v>
      </c>
      <c r="N2888" t="inlineStr">
        <is>
          <t>alt</t>
        </is>
      </c>
      <c r="O2888" t="n">
        <v>100</v>
      </c>
      <c r="P2888" t="n">
        <v>0.008840000000000001</v>
      </c>
      <c r="Q2888" t="n">
        <v>-100</v>
      </c>
      <c r="R2888" t="n">
        <v>0.02673</v>
      </c>
      <c r="S2888">
        <f>IMAGE("https://mitra.stanford.edu/kundaje/oak/projects/neuro-variants/variant_position/credible/roussos_2024/variant_figures/roussos_2024.adolescence.GLU/rs11915160_count_position.png",4,220,900)</f>
        <v/>
      </c>
      <c r="T2888">
        <f>IMAGE("https://mitra.stanford.edu/kundaje/oak/projects/neuro-variants/variant_position/credible/roussos_2024/variant_figures/roussos_2024.adolescence.GLU/rs11915160_profile_position.png",4,220,900)</f>
        <v/>
      </c>
    </row>
    <row r="2889">
      <c r="A2889" t="inlineStr">
        <is>
          <t>chr3</t>
        </is>
      </c>
      <c r="B2889" t="n">
        <v>185855290</v>
      </c>
      <c r="C2889" t="inlineStr">
        <is>
          <t>C</t>
        </is>
      </c>
      <c r="D2889" t="inlineStr">
        <is>
          <t>A</t>
        </is>
      </c>
      <c r="E2889" t="inlineStr">
        <is>
          <t>rs12638738</t>
        </is>
      </c>
      <c r="F2889" t="n">
        <v>0.00512089306</v>
      </c>
      <c r="G2889" t="n">
        <v>0.6886072742813968</v>
      </c>
      <c r="H2889" t="n">
        <v>0.0399563780322529</v>
      </c>
      <c r="I2889" t="n">
        <v>0.002708148250513</v>
      </c>
      <c r="J2889" t="n">
        <v>0.0069628708803966</v>
      </c>
      <c r="K2889" t="n">
        <v>0.9090622499950908</v>
      </c>
      <c r="L2889" t="b">
        <v>0</v>
      </c>
      <c r="M2889" t="b">
        <v>0</v>
      </c>
      <c r="N2889" t="inlineStr">
        <is>
          <t>alt</t>
        </is>
      </c>
      <c r="O2889" t="n">
        <v>55</v>
      </c>
      <c r="P2889" t="n">
        <v>0.00116</v>
      </c>
      <c r="Q2889" t="n">
        <v>-40</v>
      </c>
      <c r="R2889" t="n">
        <v>0.037</v>
      </c>
      <c r="S2889">
        <f>IMAGE("https://mitra.stanford.edu/kundaje/oak/projects/neuro-variants/variant_position/credible/roussos_2024/variant_figures/roussos_2024.adolescence.GLU/rs12638738_count_position.png",4,220,900)</f>
        <v/>
      </c>
      <c r="T2889">
        <f>IMAGE("https://mitra.stanford.edu/kundaje/oak/projects/neuro-variants/variant_position/credible/roussos_2024/variant_figures/roussos_2024.adolescence.GLU/rs12638738_profile_position.png",4,220,900)</f>
        <v/>
      </c>
    </row>
    <row r="2890">
      <c r="A2890" t="inlineStr">
        <is>
          <t>chr3</t>
        </is>
      </c>
      <c r="B2890" t="n">
        <v>185955755</v>
      </c>
      <c r="C2890" t="inlineStr">
        <is>
          <t>T</t>
        </is>
      </c>
      <c r="D2890" t="inlineStr">
        <is>
          <t>C</t>
        </is>
      </c>
      <c r="E2890" t="inlineStr">
        <is>
          <t>rs57491362</t>
        </is>
      </c>
      <c r="F2890" t="n">
        <v>0.1171716392</v>
      </c>
      <c r="G2890" t="n">
        <v>0.0048007539129605</v>
      </c>
      <c r="H2890" t="n">
        <v>0.0188169820700694</v>
      </c>
      <c r="I2890" t="n">
        <v>0.07026905996893811</v>
      </c>
      <c r="J2890" t="n">
        <v>0.3464189010580762</v>
      </c>
      <c r="K2890" t="n">
        <v>0.2196698836804816</v>
      </c>
      <c r="L2890" t="b">
        <v>1</v>
      </c>
      <c r="M2890" t="b">
        <v>1</v>
      </c>
      <c r="N2890" t="inlineStr">
        <is>
          <t>alt</t>
        </is>
      </c>
      <c r="O2890" t="n">
        <v>40</v>
      </c>
      <c r="P2890" t="n">
        <v>0.007446</v>
      </c>
      <c r="Q2890" t="n">
        <v>50</v>
      </c>
      <c r="R2890" t="n">
        <v>0.02588</v>
      </c>
      <c r="S2890">
        <f>IMAGE("https://mitra.stanford.edu/kundaje/oak/projects/neuro-variants/variant_position/credible/roussos_2024/variant_figures/roussos_2024.adolescence.GLU/rs57491362_count_position.png",4,220,900)</f>
        <v/>
      </c>
      <c r="T2890">
        <f>IMAGE("https://mitra.stanford.edu/kundaje/oak/projects/neuro-variants/variant_position/credible/roussos_2024/variant_figures/roussos_2024.adolescence.GLU/rs57491362_profile_position.png",4,220,900)</f>
        <v/>
      </c>
    </row>
    <row r="2891">
      <c r="A2891" t="inlineStr">
        <is>
          <t>chr3</t>
        </is>
      </c>
      <c r="B2891" t="n">
        <v>185955802</v>
      </c>
      <c r="C2891" t="inlineStr">
        <is>
          <t>C</t>
        </is>
      </c>
      <c r="D2891" t="inlineStr">
        <is>
          <t>T</t>
        </is>
      </c>
      <c r="E2891" t="inlineStr">
        <is>
          <t>rs112543424</t>
        </is>
      </c>
      <c r="F2891" t="n">
        <v>-0.081857072</v>
      </c>
      <c r="G2891" t="n">
        <v>0.0174212513817222</v>
      </c>
      <c r="H2891" t="n">
        <v>0.0179124961758414</v>
      </c>
      <c r="I2891" t="n">
        <v>0.0852125117738541</v>
      </c>
      <c r="J2891" t="n">
        <v>0.3027384243879089</v>
      </c>
      <c r="K2891" t="n">
        <v>0.2674415760688615</v>
      </c>
      <c r="L2891" t="b">
        <v>1</v>
      </c>
      <c r="M2891" t="b">
        <v>0</v>
      </c>
      <c r="N2891" t="inlineStr">
        <is>
          <t>ref</t>
        </is>
      </c>
      <c r="O2891" t="n">
        <v>100</v>
      </c>
      <c r="P2891" t="n">
        <v>0.003212</v>
      </c>
      <c r="Q2891" t="n">
        <v>-10</v>
      </c>
      <c r="R2891" t="n">
        <v>0.00659</v>
      </c>
      <c r="S2891">
        <f>IMAGE("https://mitra.stanford.edu/kundaje/oak/projects/neuro-variants/variant_position/credible/roussos_2024/variant_figures/roussos_2024.adolescence.GLU/rs112543424_count_position.png",4,220,900)</f>
        <v/>
      </c>
      <c r="T2891">
        <f>IMAGE("https://mitra.stanford.edu/kundaje/oak/projects/neuro-variants/variant_position/credible/roussos_2024/variant_figures/roussos_2024.adolescence.GLU/rs112543424_profile_position.png",4,220,900)</f>
        <v/>
      </c>
    </row>
    <row r="2892">
      <c r="A2892" t="inlineStr">
        <is>
          <t>chr3</t>
        </is>
      </c>
      <c r="B2892" t="n">
        <v>185955820</v>
      </c>
      <c r="C2892" t="inlineStr">
        <is>
          <t>T</t>
        </is>
      </c>
      <c r="D2892" t="inlineStr">
        <is>
          <t>C</t>
        </is>
      </c>
      <c r="E2892" t="inlineStr">
        <is>
          <t>rs60319910</t>
        </is>
      </c>
      <c r="F2892" t="n">
        <v>0.08952516839999999</v>
      </c>
      <c r="G2892" t="n">
        <v>0.0148806692121129</v>
      </c>
      <c r="H2892" t="n">
        <v>0.0269320067214795</v>
      </c>
      <c r="I2892" t="n">
        <v>0.0171633324083195</v>
      </c>
      <c r="J2892" t="n">
        <v>0.3408334583592315</v>
      </c>
      <c r="K2892" t="n">
        <v>0.2242858612140049</v>
      </c>
      <c r="L2892" t="b">
        <v>1</v>
      </c>
      <c r="M2892" t="b">
        <v>0</v>
      </c>
      <c r="N2892" t="inlineStr">
        <is>
          <t>alt</t>
        </is>
      </c>
      <c r="O2892" t="n">
        <v>100</v>
      </c>
      <c r="P2892" t="n">
        <v>0.006256</v>
      </c>
      <c r="Q2892" t="n">
        <v>-30</v>
      </c>
      <c r="R2892" t="n">
        <v>0.02222</v>
      </c>
      <c r="S2892">
        <f>IMAGE("https://mitra.stanford.edu/kundaje/oak/projects/neuro-variants/variant_position/credible/roussos_2024/variant_figures/roussos_2024.adolescence.GLU/rs60319910_count_position.png",4,220,900)</f>
        <v/>
      </c>
      <c r="T2892">
        <f>IMAGE("https://mitra.stanford.edu/kundaje/oak/projects/neuro-variants/variant_position/credible/roussos_2024/variant_figures/roussos_2024.adolescence.GLU/rs60319910_profile_position.png",4,220,900)</f>
        <v/>
      </c>
    </row>
    <row r="2893">
      <c r="A2893" t="inlineStr">
        <is>
          <t>chr3</t>
        </is>
      </c>
      <c r="B2893" t="n">
        <v>185971124</v>
      </c>
      <c r="C2893" t="inlineStr">
        <is>
          <t>C</t>
        </is>
      </c>
      <c r="D2893" t="inlineStr">
        <is>
          <t>A</t>
        </is>
      </c>
      <c r="E2893" t="inlineStr">
        <is>
          <t>rs115259874</t>
        </is>
      </c>
      <c r="F2893" t="n">
        <v>0.0060166378619999</v>
      </c>
      <c r="G2893" t="n">
        <v>0.6632888737863853</v>
      </c>
      <c r="H2893" t="n">
        <v>0.009878218926780299</v>
      </c>
      <c r="I2893" t="n">
        <v>0.5622042590475078</v>
      </c>
      <c r="J2893" t="n">
        <v>0.3678319080380935</v>
      </c>
      <c r="K2893" t="n">
        <v>0.1985235368011058</v>
      </c>
      <c r="L2893" t="b">
        <v>0</v>
      </c>
      <c r="M2893" t="b">
        <v>0</v>
      </c>
      <c r="N2893" t="inlineStr">
        <is>
          <t>alt</t>
        </is>
      </c>
      <c r="O2893" t="n">
        <v>100</v>
      </c>
      <c r="P2893" t="n">
        <v>0.01503</v>
      </c>
      <c r="Q2893" t="n">
        <v>30</v>
      </c>
      <c r="R2893" t="n">
        <v>0.02815</v>
      </c>
      <c r="S2893">
        <f>IMAGE("https://mitra.stanford.edu/kundaje/oak/projects/neuro-variants/variant_position/credible/roussos_2024/variant_figures/roussos_2024.adolescence.GLU/rs115259874_count_position.png",4,220,900)</f>
        <v/>
      </c>
      <c r="T2893">
        <f>IMAGE("https://mitra.stanford.edu/kundaje/oak/projects/neuro-variants/variant_position/credible/roussos_2024/variant_figures/roussos_2024.adolescence.GLU/rs115259874_profile_position.png",4,220,900)</f>
        <v/>
      </c>
    </row>
    <row r="2894">
      <c r="A2894" t="inlineStr">
        <is>
          <t>chr3</t>
        </is>
      </c>
      <c r="B2894" t="n">
        <v>188194600</v>
      </c>
      <c r="C2894" t="inlineStr">
        <is>
          <t>G</t>
        </is>
      </c>
      <c r="D2894" t="inlineStr">
        <is>
          <t>A</t>
        </is>
      </c>
      <c r="E2894" t="inlineStr">
        <is>
          <t>rs4686478</t>
        </is>
      </c>
      <c r="F2894" t="n">
        <v>-0.0116471002</v>
      </c>
      <c r="G2894" t="n">
        <v>0.4743978548153735</v>
      </c>
      <c r="H2894" t="n">
        <v>0.009555186745954901</v>
      </c>
      <c r="I2894" t="n">
        <v>0.5527662033308266</v>
      </c>
      <c r="J2894" t="n">
        <v>0.1093955176429402</v>
      </c>
      <c r="K2894" t="n">
        <v>0.5531653801071486</v>
      </c>
      <c r="L2894" t="b">
        <v>0</v>
      </c>
      <c r="M2894" t="b">
        <v>0</v>
      </c>
      <c r="N2894" t="inlineStr">
        <is>
          <t>ref</t>
        </is>
      </c>
      <c r="O2894" t="n">
        <v>50</v>
      </c>
      <c r="P2894" t="n">
        <v>0.007736</v>
      </c>
      <c r="Q2894" t="n">
        <v>-100</v>
      </c>
      <c r="R2894" t="n">
        <v>0.06235</v>
      </c>
      <c r="S2894">
        <f>IMAGE("https://mitra.stanford.edu/kundaje/oak/projects/neuro-variants/variant_position/credible/roussos_2024/variant_figures/roussos_2024.adolescence.GLU/rs4686478_count_position.png",4,220,900)</f>
        <v/>
      </c>
      <c r="T2894">
        <f>IMAGE("https://mitra.stanford.edu/kundaje/oak/projects/neuro-variants/variant_position/credible/roussos_2024/variant_figures/roussos_2024.adolescence.GLU/rs4686478_profile_position.png",4,220,900)</f>
        <v/>
      </c>
    </row>
    <row r="2895">
      <c r="A2895" t="inlineStr">
        <is>
          <t>chr3</t>
        </is>
      </c>
      <c r="B2895" t="n">
        <v>188197422</v>
      </c>
      <c r="C2895" t="inlineStr">
        <is>
          <t>G</t>
        </is>
      </c>
      <c r="D2895" t="inlineStr">
        <is>
          <t>T</t>
        </is>
      </c>
      <c r="E2895" t="inlineStr">
        <is>
          <t>rs4572756</t>
        </is>
      </c>
      <c r="F2895" t="n">
        <v>0.0554330754</v>
      </c>
      <c r="G2895" t="n">
        <v>0.0622347939045189</v>
      </c>
      <c r="H2895" t="n">
        <v>0.0339480843369828</v>
      </c>
      <c r="I2895" t="n">
        <v>0.0061465761036213</v>
      </c>
      <c r="J2895" t="n">
        <v>0.3389259203692193</v>
      </c>
      <c r="K2895" t="n">
        <v>0.2264171933015653</v>
      </c>
      <c r="L2895" t="b">
        <v>1</v>
      </c>
      <c r="M2895" t="b">
        <v>1</v>
      </c>
      <c r="N2895" t="inlineStr">
        <is>
          <t>alt</t>
        </is>
      </c>
      <c r="O2895" t="n">
        <v>90</v>
      </c>
      <c r="P2895" t="n">
        <v>0.006386</v>
      </c>
      <c r="Q2895" t="n">
        <v>95</v>
      </c>
      <c r="R2895" t="n">
        <v>0.02332</v>
      </c>
      <c r="S2895">
        <f>IMAGE("https://mitra.stanford.edu/kundaje/oak/projects/neuro-variants/variant_position/credible/roussos_2024/variant_figures/roussos_2024.adolescence.GLU/rs4572756_count_position.png",4,220,900)</f>
        <v/>
      </c>
      <c r="T2895">
        <f>IMAGE("https://mitra.stanford.edu/kundaje/oak/projects/neuro-variants/variant_position/credible/roussos_2024/variant_figures/roussos_2024.adolescence.GLU/rs4572756_profile_position.png",4,220,900)</f>
        <v/>
      </c>
    </row>
    <row r="2896">
      <c r="A2896" t="inlineStr">
        <is>
          <t>chr3</t>
        </is>
      </c>
      <c r="B2896" t="n">
        <v>188279828</v>
      </c>
      <c r="C2896" t="inlineStr">
        <is>
          <t>G</t>
        </is>
      </c>
      <c r="D2896" t="inlineStr">
        <is>
          <t>A</t>
        </is>
      </c>
      <c r="E2896" t="inlineStr">
        <is>
          <t>rs79650876</t>
        </is>
      </c>
      <c r="F2896" t="n">
        <v>-0.0115175974</v>
      </c>
      <c r="G2896" t="n">
        <v>0.4828748424736465</v>
      </c>
      <c r="H2896" t="n">
        <v>0.0163655399683818</v>
      </c>
      <c r="I2896" t="n">
        <v>0.1264850375759083</v>
      </c>
      <c r="J2896" t="n">
        <v>0.4841745790199397</v>
      </c>
      <c r="K2896" t="n">
        <v>0.0986385220071177</v>
      </c>
      <c r="L2896" t="b">
        <v>0</v>
      </c>
      <c r="M2896" t="b">
        <v>0</v>
      </c>
      <c r="N2896" t="inlineStr">
        <is>
          <t>ref</t>
        </is>
      </c>
      <c r="O2896" t="n">
        <v>-15</v>
      </c>
      <c r="P2896" t="n">
        <v>0.00116</v>
      </c>
      <c r="Q2896" t="n">
        <v>-50</v>
      </c>
      <c r="R2896" t="n">
        <v>0.02234</v>
      </c>
      <c r="S2896">
        <f>IMAGE("https://mitra.stanford.edu/kundaje/oak/projects/neuro-variants/variant_position/credible/roussos_2024/variant_figures/roussos_2024.adolescence.GLU/rs79650876_count_position.png",4,220,900)</f>
        <v/>
      </c>
      <c r="T2896">
        <f>IMAGE("https://mitra.stanford.edu/kundaje/oak/projects/neuro-variants/variant_position/credible/roussos_2024/variant_figures/roussos_2024.adolescence.GLU/rs79650876_profile_position.png",4,220,900)</f>
        <v/>
      </c>
    </row>
    <row r="2897">
      <c r="A2897" t="inlineStr">
        <is>
          <t>chr3</t>
        </is>
      </c>
      <c r="B2897" t="n">
        <v>188467043</v>
      </c>
      <c r="C2897" t="inlineStr">
        <is>
          <t>G</t>
        </is>
      </c>
      <c r="D2897" t="inlineStr">
        <is>
          <t>T</t>
        </is>
      </c>
      <c r="E2897" t="inlineStr">
        <is>
          <t>rs1365261</t>
        </is>
      </c>
      <c r="F2897" t="n">
        <v>-0.009268659740000001</v>
      </c>
      <c r="G2897" t="n">
        <v>0.5827453746645387</v>
      </c>
      <c r="H2897" t="n">
        <v>0.0100671409461772</v>
      </c>
      <c r="I2897" t="n">
        <v>0.5263925137669007</v>
      </c>
      <c r="J2897" t="n">
        <v>0.0392967114616598</v>
      </c>
      <c r="K2897" t="n">
        <v>0.7382430262490222</v>
      </c>
      <c r="L2897" t="b">
        <v>0</v>
      </c>
      <c r="M2897" t="b">
        <v>0</v>
      </c>
      <c r="N2897" t="inlineStr">
        <is>
          <t>ref</t>
        </is>
      </c>
      <c r="O2897" t="n">
        <v>-70</v>
      </c>
      <c r="P2897" t="n">
        <v>0.004154</v>
      </c>
      <c r="Q2897" t="n">
        <v>-10</v>
      </c>
      <c r="R2897" t="n">
        <v>0.002197</v>
      </c>
      <c r="S2897">
        <f>IMAGE("https://mitra.stanford.edu/kundaje/oak/projects/neuro-variants/variant_position/credible/roussos_2024/variant_figures/roussos_2024.adolescence.GLU/rs1365261_count_position.png",4,220,900)</f>
        <v/>
      </c>
      <c r="T2897">
        <f>IMAGE("https://mitra.stanford.edu/kundaje/oak/projects/neuro-variants/variant_position/credible/roussos_2024/variant_figures/roussos_2024.adolescence.GLU/rs1365261_profile_position.png",4,220,900)</f>
        <v/>
      </c>
    </row>
    <row r="2898">
      <c r="A2898" t="inlineStr">
        <is>
          <t>chr3</t>
        </is>
      </c>
      <c r="B2898" t="n">
        <v>188469462</v>
      </c>
      <c r="C2898" t="inlineStr">
        <is>
          <t>G</t>
        </is>
      </c>
      <c r="D2898" t="inlineStr">
        <is>
          <t>A</t>
        </is>
      </c>
      <c r="E2898" t="inlineStr">
        <is>
          <t>rs1426271</t>
        </is>
      </c>
      <c r="F2898" t="n">
        <v>-0.0272687075999999</v>
      </c>
      <c r="G2898" t="n">
        <v>0.2084203426166986</v>
      </c>
      <c r="H2898" t="n">
        <v>0.0092147998230276</v>
      </c>
      <c r="I2898" t="n">
        <v>0.6270208745456695</v>
      </c>
      <c r="J2898" t="n">
        <v>0.1712154660608268</v>
      </c>
      <c r="K2898" t="n">
        <v>0.440096438833564</v>
      </c>
      <c r="L2898" t="b">
        <v>0</v>
      </c>
      <c r="M2898" t="b">
        <v>0</v>
      </c>
      <c r="N2898" t="inlineStr">
        <is>
          <t>ref</t>
        </is>
      </c>
      <c r="O2898" t="n">
        <v>-25</v>
      </c>
      <c r="P2898" t="n">
        <v>0.001022</v>
      </c>
      <c r="Q2898" t="n">
        <v>-70</v>
      </c>
      <c r="R2898" t="n">
        <v>0.02136</v>
      </c>
      <c r="S2898">
        <f>IMAGE("https://mitra.stanford.edu/kundaje/oak/projects/neuro-variants/variant_position/credible/roussos_2024/variant_figures/roussos_2024.adolescence.GLU/rs1426271_count_position.png",4,220,900)</f>
        <v/>
      </c>
      <c r="T2898">
        <f>IMAGE("https://mitra.stanford.edu/kundaje/oak/projects/neuro-variants/variant_position/credible/roussos_2024/variant_figures/roussos_2024.adolescence.GLU/rs1426271_profile_position.png",4,220,900)</f>
        <v/>
      </c>
    </row>
    <row r="2899">
      <c r="A2899" t="inlineStr">
        <is>
          <t>chr3</t>
        </is>
      </c>
      <c r="B2899" t="n">
        <v>196484162</v>
      </c>
      <c r="C2899" t="inlineStr">
        <is>
          <t>C</t>
        </is>
      </c>
      <c r="D2899" t="inlineStr">
        <is>
          <t>T</t>
        </is>
      </c>
      <c r="E2899" t="inlineStr">
        <is>
          <t>rs9683218</t>
        </is>
      </c>
      <c r="F2899" t="n">
        <v>0.01171414464</v>
      </c>
      <c r="G2899" t="n">
        <v>0.4442016930910627</v>
      </c>
      <c r="H2899" t="n">
        <v>0.0259601432154896</v>
      </c>
      <c r="I2899" t="n">
        <v>0.0163973997320484</v>
      </c>
      <c r="J2899" t="n">
        <v>0.0923919954847789</v>
      </c>
      <c r="K2899" t="n">
        <v>0.5878076487601093</v>
      </c>
      <c r="L2899" t="b">
        <v>1</v>
      </c>
      <c r="M2899" t="b">
        <v>0</v>
      </c>
      <c r="N2899" t="inlineStr">
        <is>
          <t>alt</t>
        </is>
      </c>
      <c r="O2899" t="n">
        <v>75</v>
      </c>
      <c r="P2899" t="n">
        <v>0.008460000000000001</v>
      </c>
      <c r="Q2899" t="n">
        <v>85</v>
      </c>
      <c r="R2899" t="n">
        <v>0.0851</v>
      </c>
      <c r="S2899">
        <f>IMAGE("https://mitra.stanford.edu/kundaje/oak/projects/neuro-variants/variant_position/credible/roussos_2024/variant_figures/roussos_2024.adolescence.GLU/rs9683218_count_position.png",4,220,900)</f>
        <v/>
      </c>
      <c r="T2899">
        <f>IMAGE("https://mitra.stanford.edu/kundaje/oak/projects/neuro-variants/variant_position/credible/roussos_2024/variant_figures/roussos_2024.adolescence.GLU/rs9683218_profile_position.png",4,220,900)</f>
        <v/>
      </c>
    </row>
    <row r="2900">
      <c r="A2900" t="inlineStr">
        <is>
          <t>chr4</t>
        </is>
      </c>
      <c r="B2900" t="n">
        <v>712911</v>
      </c>
      <c r="C2900" t="inlineStr">
        <is>
          <t>T</t>
        </is>
      </c>
      <c r="D2900" t="inlineStr">
        <is>
          <t>C</t>
        </is>
      </c>
      <c r="E2900" t="inlineStr">
        <is>
          <t>rs35734242</t>
        </is>
      </c>
      <c r="F2900" t="n">
        <v>-0.0193554895999999</v>
      </c>
      <c r="G2900" t="n">
        <v>0.3101751768456932</v>
      </c>
      <c r="H2900" t="n">
        <v>0.0165544912812262</v>
      </c>
      <c r="I2900" t="n">
        <v>0.1169541924110759</v>
      </c>
      <c r="J2900" t="n">
        <v>0.2409884904730265</v>
      </c>
      <c r="K2900" t="n">
        <v>0.3466070104007278</v>
      </c>
      <c r="L2900" t="b">
        <v>0</v>
      </c>
      <c r="M2900" t="b">
        <v>0</v>
      </c>
      <c r="N2900" t="inlineStr">
        <is>
          <t>ref</t>
        </is>
      </c>
      <c r="O2900" t="n">
        <v>0</v>
      </c>
      <c r="P2900" t="n">
        <v>0</v>
      </c>
      <c r="Q2900" t="n">
        <v>100</v>
      </c>
      <c r="R2900" t="n">
        <v>0.04718</v>
      </c>
      <c r="S2900">
        <f>IMAGE("https://mitra.stanford.edu/kundaje/oak/projects/neuro-variants/variant_position/credible/roussos_2024/variant_figures/roussos_2024.adolescence.GLU/rs35734242_count_position.png",4,220,900)</f>
        <v/>
      </c>
      <c r="T2900">
        <f>IMAGE("https://mitra.stanford.edu/kundaje/oak/projects/neuro-variants/variant_position/credible/roussos_2024/variant_figures/roussos_2024.adolescence.GLU/rs35734242_profile_position.png",4,220,900)</f>
        <v/>
      </c>
    </row>
    <row r="2901">
      <c r="A2901" t="inlineStr">
        <is>
          <t>chr4</t>
        </is>
      </c>
      <c r="B2901" t="n">
        <v>23372301</v>
      </c>
      <c r="C2901" t="inlineStr">
        <is>
          <t>G</t>
        </is>
      </c>
      <c r="D2901" t="inlineStr">
        <is>
          <t>A</t>
        </is>
      </c>
      <c r="E2901" t="inlineStr">
        <is>
          <t>rs199753793</t>
        </is>
      </c>
      <c r="F2901" t="n">
        <v>-0.0377601828</v>
      </c>
      <c r="G2901" t="n">
        <v>0.126342991188635</v>
      </c>
      <c r="H2901" t="n">
        <v>0.011999480508571</v>
      </c>
      <c r="I2901" t="n">
        <v>0.3244595136706816</v>
      </c>
      <c r="J2901" t="n">
        <v>0.1222096005601159</v>
      </c>
      <c r="K2901" t="n">
        <v>0.5334695260424976</v>
      </c>
      <c r="L2901" t="b">
        <v>0</v>
      </c>
      <c r="M2901" t="b">
        <v>0</v>
      </c>
      <c r="N2901" t="inlineStr">
        <is>
          <t>ref</t>
        </is>
      </c>
      <c r="O2901" t="n">
        <v>100</v>
      </c>
      <c r="P2901" t="n">
        <v>0.008316</v>
      </c>
      <c r="Q2901" t="n">
        <v>0</v>
      </c>
      <c r="R2901" t="n">
        <v>0</v>
      </c>
      <c r="S2901">
        <f>IMAGE("https://mitra.stanford.edu/kundaje/oak/projects/neuro-variants/variant_position/credible/roussos_2024/variant_figures/roussos_2024.adolescence.GLU/rs199753793_count_position.png",4,220,900)</f>
        <v/>
      </c>
      <c r="T2901">
        <f>IMAGE("https://mitra.stanford.edu/kundaje/oak/projects/neuro-variants/variant_position/credible/roussos_2024/variant_figures/roussos_2024.adolescence.GLU/rs199753793_profile_position.png",4,220,900)</f>
        <v/>
      </c>
    </row>
    <row r="2902">
      <c r="A2902" t="inlineStr">
        <is>
          <t>chr4</t>
        </is>
      </c>
      <c r="B2902" t="n">
        <v>23398184</v>
      </c>
      <c r="C2902" t="inlineStr">
        <is>
          <t>T</t>
        </is>
      </c>
      <c r="D2902" t="inlineStr">
        <is>
          <t>G</t>
        </is>
      </c>
      <c r="E2902" t="inlineStr">
        <is>
          <t>rs73100346</t>
        </is>
      </c>
      <c r="F2902" t="n">
        <v>0.0013964862999999</v>
      </c>
      <c r="G2902" t="n">
        <v>0.6822366993102297</v>
      </c>
      <c r="H2902" t="n">
        <v>0.0291012381418092</v>
      </c>
      <c r="I2902" t="n">
        <v>0.009942519531829499</v>
      </c>
      <c r="J2902" t="n">
        <v>0.045292239106672</v>
      </c>
      <c r="K2902" t="n">
        <v>0.718841641191324</v>
      </c>
      <c r="L2902" t="b">
        <v>1</v>
      </c>
      <c r="M2902" t="b">
        <v>0</v>
      </c>
      <c r="N2902" t="inlineStr">
        <is>
          <t>alt</t>
        </is>
      </c>
      <c r="O2902" t="n">
        <v>40</v>
      </c>
      <c r="P2902" t="n">
        <v>0.00299</v>
      </c>
      <c r="Q2902" t="n">
        <v>40</v>
      </c>
      <c r="R2902" t="n">
        <v>0.02283</v>
      </c>
      <c r="S2902">
        <f>IMAGE("https://mitra.stanford.edu/kundaje/oak/projects/neuro-variants/variant_position/credible/roussos_2024/variant_figures/roussos_2024.adolescence.GLU/rs73100346_count_position.png",4,220,900)</f>
        <v/>
      </c>
      <c r="T2902">
        <f>IMAGE("https://mitra.stanford.edu/kundaje/oak/projects/neuro-variants/variant_position/credible/roussos_2024/variant_figures/roussos_2024.adolescence.GLU/rs73100346_profile_position.png",4,220,900)</f>
        <v/>
      </c>
    </row>
    <row r="2903">
      <c r="A2903" t="inlineStr">
        <is>
          <t>chr4</t>
        </is>
      </c>
      <c r="B2903" t="n">
        <v>23422922</v>
      </c>
      <c r="C2903" t="inlineStr">
        <is>
          <t>T</t>
        </is>
      </c>
      <c r="D2903" t="inlineStr">
        <is>
          <t>C</t>
        </is>
      </c>
      <c r="E2903" t="inlineStr">
        <is>
          <t>rs215407</t>
        </is>
      </c>
      <c r="F2903" t="n">
        <v>0.0193001774</v>
      </c>
      <c r="G2903" t="n">
        <v>0.3046244945777814</v>
      </c>
      <c r="H2903" t="n">
        <v>0.0234438507192204</v>
      </c>
      <c r="I2903" t="n">
        <v>0.0264213636791876</v>
      </c>
      <c r="J2903" t="n">
        <v>0.2147616291946188</v>
      </c>
      <c r="K2903" t="n">
        <v>0.3604466553869868</v>
      </c>
      <c r="L2903" t="b">
        <v>0</v>
      </c>
      <c r="M2903" t="b">
        <v>0</v>
      </c>
      <c r="N2903" t="inlineStr">
        <is>
          <t>alt</t>
        </is>
      </c>
      <c r="O2903" t="n">
        <v>65</v>
      </c>
      <c r="P2903" t="n">
        <v>0.008574999999999999</v>
      </c>
      <c r="Q2903" t="n">
        <v>65</v>
      </c>
      <c r="R2903" t="n">
        <v>0.1624</v>
      </c>
      <c r="S2903">
        <f>IMAGE("https://mitra.stanford.edu/kundaje/oak/projects/neuro-variants/variant_position/credible/roussos_2024/variant_figures/roussos_2024.adolescence.GLU/rs215407_count_position.png",4,220,900)</f>
        <v/>
      </c>
      <c r="T2903">
        <f>IMAGE("https://mitra.stanford.edu/kundaje/oak/projects/neuro-variants/variant_position/credible/roussos_2024/variant_figures/roussos_2024.adolescence.GLU/rs215407_profile_position.png",4,220,900)</f>
        <v/>
      </c>
    </row>
    <row r="2904">
      <c r="A2904" t="inlineStr">
        <is>
          <t>chr4</t>
        </is>
      </c>
      <c r="B2904" t="n">
        <v>23423851</v>
      </c>
      <c r="C2904" t="inlineStr">
        <is>
          <t>T</t>
        </is>
      </c>
      <c r="D2904" t="inlineStr">
        <is>
          <t>G</t>
        </is>
      </c>
      <c r="E2904" t="inlineStr">
        <is>
          <t>rs215405</t>
        </is>
      </c>
      <c r="F2904" t="n">
        <v>0.0220025636</v>
      </c>
      <c r="G2904" t="n">
        <v>0.2515974852828972</v>
      </c>
      <c r="H2904" t="n">
        <v>0.0101795792501468</v>
      </c>
      <c r="I2904" t="n">
        <v>0.5071813338918829</v>
      </c>
      <c r="J2904" t="n">
        <v>0.2897014381550463</v>
      </c>
      <c r="K2904" t="n">
        <v>0.2825055582935559</v>
      </c>
      <c r="L2904" t="b">
        <v>0</v>
      </c>
      <c r="M2904" t="b">
        <v>0</v>
      </c>
      <c r="N2904" t="inlineStr">
        <is>
          <t>alt</t>
        </is>
      </c>
      <c r="O2904" t="n">
        <v>-55</v>
      </c>
      <c r="P2904" t="n">
        <v>0.001251</v>
      </c>
      <c r="Q2904" t="n">
        <v>-60</v>
      </c>
      <c r="R2904" t="n">
        <v>0.0997</v>
      </c>
      <c r="S2904">
        <f>IMAGE("https://mitra.stanford.edu/kundaje/oak/projects/neuro-variants/variant_position/credible/roussos_2024/variant_figures/roussos_2024.adolescence.GLU/rs215405_count_position.png",4,220,900)</f>
        <v/>
      </c>
      <c r="T2904">
        <f>IMAGE("https://mitra.stanford.edu/kundaje/oak/projects/neuro-variants/variant_position/credible/roussos_2024/variant_figures/roussos_2024.adolescence.GLU/rs215405_profile_position.png",4,220,900)</f>
        <v/>
      </c>
    </row>
    <row r="2905">
      <c r="A2905" t="inlineStr">
        <is>
          <t>chr4</t>
        </is>
      </c>
      <c r="B2905" t="n">
        <v>23484586</v>
      </c>
      <c r="C2905" t="inlineStr">
        <is>
          <t>A</t>
        </is>
      </c>
      <c r="D2905" t="inlineStr">
        <is>
          <t>G</t>
        </is>
      </c>
      <c r="E2905" t="inlineStr">
        <is>
          <t>rs17541787</t>
        </is>
      </c>
      <c r="F2905" t="n">
        <v>0.0055212956079999</v>
      </c>
      <c r="G2905" t="n">
        <v>0.6794809827445878</v>
      </c>
      <c r="H2905" t="n">
        <v>0.0077026347553355</v>
      </c>
      <c r="I2905" t="n">
        <v>0.8012083722983747</v>
      </c>
      <c r="J2905" t="n">
        <v>0.1807703024197869</v>
      </c>
      <c r="K2905" t="n">
        <v>0.4315108560703592</v>
      </c>
      <c r="L2905" t="b">
        <v>0</v>
      </c>
      <c r="M2905" t="b">
        <v>0</v>
      </c>
      <c r="N2905" t="inlineStr">
        <is>
          <t>alt</t>
        </is>
      </c>
      <c r="O2905" t="n">
        <v>-100</v>
      </c>
      <c r="P2905" t="n">
        <v>0.003836</v>
      </c>
      <c r="Q2905" t="n">
        <v>100</v>
      </c>
      <c r="R2905" t="n">
        <v>0.01047</v>
      </c>
      <c r="S2905">
        <f>IMAGE("https://mitra.stanford.edu/kundaje/oak/projects/neuro-variants/variant_position/credible/roussos_2024/variant_figures/roussos_2024.adolescence.GLU/rs17541787_count_position.png",4,220,900)</f>
        <v/>
      </c>
      <c r="T2905">
        <f>IMAGE("https://mitra.stanford.edu/kundaje/oak/projects/neuro-variants/variant_position/credible/roussos_2024/variant_figures/roussos_2024.adolescence.GLU/rs17541787_profile_position.png",4,220,900)</f>
        <v/>
      </c>
    </row>
    <row r="2906">
      <c r="A2906" t="inlineStr">
        <is>
          <t>chr4</t>
        </is>
      </c>
      <c r="B2906" t="n">
        <v>23529438</v>
      </c>
      <c r="C2906" t="inlineStr">
        <is>
          <t>A</t>
        </is>
      </c>
      <c r="D2906" t="inlineStr">
        <is>
          <t>C</t>
        </is>
      </c>
      <c r="E2906" t="inlineStr">
        <is>
          <t>rs199797430</t>
        </is>
      </c>
      <c r="F2906" t="n">
        <v>-0.00435478578</v>
      </c>
      <c r="G2906" t="n">
        <v>0.6971719686595645</v>
      </c>
      <c r="H2906" t="n">
        <v>0.031872764306791</v>
      </c>
      <c r="I2906" t="n">
        <v>0.0075624940430005</v>
      </c>
      <c r="J2906" t="n">
        <v>0.0184509648427173</v>
      </c>
      <c r="K2906" t="n">
        <v>0.8223909230896963</v>
      </c>
      <c r="L2906" t="b">
        <v>1</v>
      </c>
      <c r="M2906" t="b">
        <v>0</v>
      </c>
      <c r="N2906" t="inlineStr">
        <is>
          <t>ref</t>
        </is>
      </c>
      <c r="O2906" t="n">
        <v>95</v>
      </c>
      <c r="P2906" t="n">
        <v>0.006622</v>
      </c>
      <c r="Q2906" t="n">
        <v>90</v>
      </c>
      <c r="R2906" t="n">
        <v>0.05905</v>
      </c>
      <c r="S2906">
        <f>IMAGE("https://mitra.stanford.edu/kundaje/oak/projects/neuro-variants/variant_position/credible/roussos_2024/variant_figures/roussos_2024.adolescence.GLU/rs199797430_count_position.png",4,220,900)</f>
        <v/>
      </c>
      <c r="T2906">
        <f>IMAGE("https://mitra.stanford.edu/kundaje/oak/projects/neuro-variants/variant_position/credible/roussos_2024/variant_figures/roussos_2024.adolescence.GLU/rs199797430_profile_position.png",4,220,900)</f>
        <v/>
      </c>
    </row>
    <row r="2907">
      <c r="A2907" t="inlineStr">
        <is>
          <t>chr4</t>
        </is>
      </c>
      <c r="B2907" t="n">
        <v>33649250</v>
      </c>
      <c r="C2907" t="inlineStr">
        <is>
          <t>G</t>
        </is>
      </c>
      <c r="D2907" t="inlineStr">
        <is>
          <t>T</t>
        </is>
      </c>
      <c r="E2907" t="inlineStr">
        <is>
          <t>rs12641122</t>
        </is>
      </c>
      <c r="F2907" t="n">
        <v>-0.013084871906</v>
      </c>
      <c r="G2907" t="n">
        <v>0.4368241082788398</v>
      </c>
      <c r="H2907" t="n">
        <v>0.0273420337728615</v>
      </c>
      <c r="I2907" t="n">
        <v>0.0156248617566157</v>
      </c>
      <c r="J2907" t="n">
        <v>0.203342120867894</v>
      </c>
      <c r="K2907" t="n">
        <v>0.3886788285464325</v>
      </c>
      <c r="L2907" t="b">
        <v>1</v>
      </c>
      <c r="M2907" t="b">
        <v>0</v>
      </c>
      <c r="N2907" t="inlineStr">
        <is>
          <t>ref</t>
        </is>
      </c>
      <c r="O2907" t="n">
        <v>65</v>
      </c>
      <c r="P2907" t="n">
        <v>0.009155</v>
      </c>
      <c r="Q2907" t="n">
        <v>75</v>
      </c>
      <c r="R2907" t="n">
        <v>0.01074</v>
      </c>
      <c r="S2907">
        <f>IMAGE("https://mitra.stanford.edu/kundaje/oak/projects/neuro-variants/variant_position/credible/roussos_2024/variant_figures/roussos_2024.adolescence.GLU/rs12641122_count_position.png",4,220,900)</f>
        <v/>
      </c>
      <c r="T2907">
        <f>IMAGE("https://mitra.stanford.edu/kundaje/oak/projects/neuro-variants/variant_position/credible/roussos_2024/variant_figures/roussos_2024.adolescence.GLU/rs12641122_profile_position.png",4,220,900)</f>
        <v/>
      </c>
    </row>
    <row r="2908">
      <c r="A2908" t="inlineStr">
        <is>
          <t>chr4</t>
        </is>
      </c>
      <c r="B2908" t="n">
        <v>33652135</v>
      </c>
      <c r="C2908" t="inlineStr">
        <is>
          <t>C</t>
        </is>
      </c>
      <c r="D2908" t="inlineStr">
        <is>
          <t>T</t>
        </is>
      </c>
      <c r="E2908" t="inlineStr">
        <is>
          <t>rs717947</t>
        </is>
      </c>
      <c r="F2908" t="n">
        <v>-0.0555674838</v>
      </c>
      <c r="G2908" t="n">
        <v>0.0511600679422987</v>
      </c>
      <c r="H2908" t="n">
        <v>0.0135890806339388</v>
      </c>
      <c r="I2908" t="n">
        <v>0.2265574000576042</v>
      </c>
      <c r="J2908" t="n">
        <v>0.1479463603174943</v>
      </c>
      <c r="K2908" t="n">
        <v>0.487833945521414</v>
      </c>
      <c r="L2908" t="b">
        <v>0</v>
      </c>
      <c r="M2908" t="b">
        <v>0</v>
      </c>
      <c r="N2908" t="inlineStr">
        <is>
          <t>ref</t>
        </is>
      </c>
      <c r="O2908" t="n">
        <v>-65</v>
      </c>
      <c r="P2908" t="n">
        <v>0.009549999999999999</v>
      </c>
      <c r="Q2908" t="n">
        <v>45</v>
      </c>
      <c r="R2908" t="n">
        <v>0.07715</v>
      </c>
      <c r="S2908">
        <f>IMAGE("https://mitra.stanford.edu/kundaje/oak/projects/neuro-variants/variant_position/credible/roussos_2024/variant_figures/roussos_2024.adolescence.GLU/rs717947_count_position.png",4,220,900)</f>
        <v/>
      </c>
      <c r="T2908">
        <f>IMAGE("https://mitra.stanford.edu/kundaje/oak/projects/neuro-variants/variant_position/credible/roussos_2024/variant_figures/roussos_2024.adolescence.GLU/rs717947_profile_position.png",4,220,900)</f>
        <v/>
      </c>
    </row>
    <row r="2909">
      <c r="A2909" t="inlineStr">
        <is>
          <t>chr4</t>
        </is>
      </c>
      <c r="B2909" t="n">
        <v>33653670</v>
      </c>
      <c r="C2909" t="inlineStr">
        <is>
          <t>A</t>
        </is>
      </c>
      <c r="D2909" t="inlineStr">
        <is>
          <t>C</t>
        </is>
      </c>
      <c r="E2909" t="inlineStr">
        <is>
          <t>rs16989137</t>
        </is>
      </c>
      <c r="F2909" t="n">
        <v>0.00498425822</v>
      </c>
      <c r="G2909" t="n">
        <v>0.7040893536039993</v>
      </c>
      <c r="H2909" t="n">
        <v>0.0148436314499307</v>
      </c>
      <c r="I2909" t="n">
        <v>0.1619388975410195</v>
      </c>
      <c r="J2909" t="n">
        <v>0.013619964135428</v>
      </c>
      <c r="K2909" t="n">
        <v>0.8585750039777315</v>
      </c>
      <c r="L2909" t="b">
        <v>0</v>
      </c>
      <c r="M2909" t="b">
        <v>0</v>
      </c>
      <c r="N2909" t="inlineStr">
        <is>
          <t>alt</t>
        </is>
      </c>
      <c r="O2909" t="n">
        <v>100</v>
      </c>
      <c r="P2909" t="n">
        <v>0.00564</v>
      </c>
      <c r="Q2909" t="n">
        <v>90</v>
      </c>
      <c r="R2909" t="n">
        <v>0.0332</v>
      </c>
      <c r="S2909">
        <f>IMAGE("https://mitra.stanford.edu/kundaje/oak/projects/neuro-variants/variant_position/credible/roussos_2024/variant_figures/roussos_2024.adolescence.GLU/rs16989137_count_position.png",4,220,900)</f>
        <v/>
      </c>
      <c r="T2909">
        <f>IMAGE("https://mitra.stanford.edu/kundaje/oak/projects/neuro-variants/variant_position/credible/roussos_2024/variant_figures/roussos_2024.adolescence.GLU/rs16989137_profile_position.png",4,220,900)</f>
        <v/>
      </c>
    </row>
    <row r="2910">
      <c r="A2910" t="inlineStr">
        <is>
          <t>chr4</t>
        </is>
      </c>
      <c r="B2910" t="n">
        <v>33675316</v>
      </c>
      <c r="C2910" t="inlineStr">
        <is>
          <t>T</t>
        </is>
      </c>
      <c r="D2910" t="inlineStr">
        <is>
          <t>G</t>
        </is>
      </c>
      <c r="E2910" t="inlineStr">
        <is>
          <t>rs12649881</t>
        </is>
      </c>
      <c r="F2910" t="n">
        <v>-0.0032929208</v>
      </c>
      <c r="G2910" t="n">
        <v>0.6817111234203629</v>
      </c>
      <c r="H2910" t="n">
        <v>0.0333789339301244</v>
      </c>
      <c r="I2910" t="n">
        <v>0.0053648402365563</v>
      </c>
      <c r="J2910" t="n">
        <v>0.0137042673125146</v>
      </c>
      <c r="K2910" t="n">
        <v>0.8648762224866426</v>
      </c>
      <c r="L2910" t="b">
        <v>1</v>
      </c>
      <c r="M2910" t="b">
        <v>0</v>
      </c>
      <c r="N2910" t="inlineStr">
        <is>
          <t>ref</t>
        </is>
      </c>
      <c r="O2910" t="n">
        <v>-100</v>
      </c>
      <c r="P2910" t="n">
        <v>0.01646</v>
      </c>
      <c r="Q2910" t="n">
        <v>75</v>
      </c>
      <c r="R2910" t="n">
        <v>0.0699</v>
      </c>
      <c r="S2910">
        <f>IMAGE("https://mitra.stanford.edu/kundaje/oak/projects/neuro-variants/variant_position/credible/roussos_2024/variant_figures/roussos_2024.adolescence.GLU/rs12649881_count_position.png",4,220,900)</f>
        <v/>
      </c>
      <c r="T2910">
        <f>IMAGE("https://mitra.stanford.edu/kundaje/oak/projects/neuro-variants/variant_position/credible/roussos_2024/variant_figures/roussos_2024.adolescence.GLU/rs12649881_profile_position.png",4,220,900)</f>
        <v/>
      </c>
    </row>
    <row r="2911">
      <c r="A2911" t="inlineStr">
        <is>
          <t>chr4</t>
        </is>
      </c>
      <c r="B2911" t="n">
        <v>33677917</v>
      </c>
      <c r="C2911" t="inlineStr">
        <is>
          <t>G</t>
        </is>
      </c>
      <c r="D2911" t="inlineStr">
        <is>
          <t>A</t>
        </is>
      </c>
      <c r="E2911" t="inlineStr">
        <is>
          <t>rs28430802</t>
        </is>
      </c>
      <c r="F2911" t="n">
        <v>-0.07660763499999999</v>
      </c>
      <c r="G2911" t="n">
        <v>0.0200320605324384</v>
      </c>
      <c r="H2911" t="n">
        <v>0.0156017739631856</v>
      </c>
      <c r="I2911" t="n">
        <v>0.1537447615433983</v>
      </c>
      <c r="J2911" t="n">
        <v>0.048702945610162</v>
      </c>
      <c r="K2911" t="n">
        <v>0.7062770615908164</v>
      </c>
      <c r="L2911" t="b">
        <v>1</v>
      </c>
      <c r="M2911" t="b">
        <v>0</v>
      </c>
      <c r="N2911" t="inlineStr">
        <is>
          <t>ref</t>
        </is>
      </c>
      <c r="O2911" t="n">
        <v>100</v>
      </c>
      <c r="P2911" t="n">
        <v>0.01627</v>
      </c>
      <c r="Q2911" t="n">
        <v>50</v>
      </c>
      <c r="R2911" t="n">
        <v>0.1298</v>
      </c>
      <c r="S2911">
        <f>IMAGE("https://mitra.stanford.edu/kundaje/oak/projects/neuro-variants/variant_position/credible/roussos_2024/variant_figures/roussos_2024.adolescence.GLU/rs28430802_count_position.png",4,220,900)</f>
        <v/>
      </c>
      <c r="T2911">
        <f>IMAGE("https://mitra.stanford.edu/kundaje/oak/projects/neuro-variants/variant_position/credible/roussos_2024/variant_figures/roussos_2024.adolescence.GLU/rs28430802_profile_position.png",4,220,900)</f>
        <v/>
      </c>
    </row>
    <row r="2912">
      <c r="A2912" t="inlineStr">
        <is>
          <t>chr4</t>
        </is>
      </c>
      <c r="B2912" t="n">
        <v>33679486</v>
      </c>
      <c r="C2912" t="inlineStr">
        <is>
          <t>C</t>
        </is>
      </c>
      <c r="D2912" t="inlineStr">
        <is>
          <t>T</t>
        </is>
      </c>
      <c r="E2912" t="inlineStr">
        <is>
          <t>rs16989149</t>
        </is>
      </c>
      <c r="F2912" t="n">
        <v>0.0023689108868</v>
      </c>
      <c r="G2912" t="n">
        <v>0.7215241617169371</v>
      </c>
      <c r="H2912" t="n">
        <v>0.0129614615620119</v>
      </c>
      <c r="I2912" t="n">
        <v>0.2622230532721858</v>
      </c>
      <c r="J2912" t="n">
        <v>0.07576855205721179</v>
      </c>
      <c r="K2912" t="n">
        <v>0.6256942601491078</v>
      </c>
      <c r="L2912" t="b">
        <v>0</v>
      </c>
      <c r="M2912" t="b">
        <v>0</v>
      </c>
      <c r="N2912" t="inlineStr">
        <is>
          <t>alt</t>
        </is>
      </c>
      <c r="O2912" t="n">
        <v>-30</v>
      </c>
      <c r="P2912" t="n">
        <v>0.00309</v>
      </c>
      <c r="Q2912" t="n">
        <v>75</v>
      </c>
      <c r="R2912" t="n">
        <v>0.06085</v>
      </c>
      <c r="S2912">
        <f>IMAGE("https://mitra.stanford.edu/kundaje/oak/projects/neuro-variants/variant_position/credible/roussos_2024/variant_figures/roussos_2024.adolescence.GLU/rs16989149_count_position.png",4,220,900)</f>
        <v/>
      </c>
      <c r="T2912">
        <f>IMAGE("https://mitra.stanford.edu/kundaje/oak/projects/neuro-variants/variant_position/credible/roussos_2024/variant_figures/roussos_2024.adolescence.GLU/rs16989149_profile_position.png",4,220,900)</f>
        <v/>
      </c>
    </row>
    <row r="2913">
      <c r="A2913" t="inlineStr">
        <is>
          <t>chr4</t>
        </is>
      </c>
      <c r="B2913" t="n">
        <v>33680838</v>
      </c>
      <c r="C2913" t="inlineStr">
        <is>
          <t>G</t>
        </is>
      </c>
      <c r="D2913" t="inlineStr">
        <is>
          <t>T</t>
        </is>
      </c>
      <c r="E2913" t="inlineStr">
        <is>
          <t>rs28379456</t>
        </is>
      </c>
      <c r="F2913" t="n">
        <v>9.266121999999988e-05</v>
      </c>
      <c r="G2913" t="n">
        <v>0.7354694072723871</v>
      </c>
      <c r="H2913" t="n">
        <v>0.019150620174294</v>
      </c>
      <c r="I2913" t="n">
        <v>0.0677206063951253</v>
      </c>
      <c r="J2913" t="n">
        <v>0.1373755992312693</v>
      </c>
      <c r="K2913" t="n">
        <v>0.507589188620866</v>
      </c>
      <c r="L2913" t="b">
        <v>0</v>
      </c>
      <c r="M2913" t="b">
        <v>0</v>
      </c>
      <c r="N2913" t="inlineStr">
        <is>
          <t>alt</t>
        </is>
      </c>
      <c r="O2913" t="n">
        <v>100</v>
      </c>
      <c r="P2913" t="n">
        <v>0.006947</v>
      </c>
      <c r="Q2913" t="n">
        <v>100</v>
      </c>
      <c r="R2913" t="n">
        <v>0.07947</v>
      </c>
      <c r="S2913">
        <f>IMAGE("https://mitra.stanford.edu/kundaje/oak/projects/neuro-variants/variant_position/credible/roussos_2024/variant_figures/roussos_2024.adolescence.GLU/rs28379456_count_position.png",4,220,900)</f>
        <v/>
      </c>
      <c r="T2913">
        <f>IMAGE("https://mitra.stanford.edu/kundaje/oak/projects/neuro-variants/variant_position/credible/roussos_2024/variant_figures/roussos_2024.adolescence.GLU/rs28379456_profile_position.png",4,220,900)</f>
        <v/>
      </c>
    </row>
    <row r="2914">
      <c r="A2914" t="inlineStr">
        <is>
          <t>chr4</t>
        </is>
      </c>
      <c r="B2914" t="n">
        <v>33682286</v>
      </c>
      <c r="C2914" t="inlineStr">
        <is>
          <t>T</t>
        </is>
      </c>
      <c r="D2914" t="inlineStr">
        <is>
          <t>G</t>
        </is>
      </c>
      <c r="E2914" t="inlineStr">
        <is>
          <t>rs35071135</t>
        </is>
      </c>
      <c r="F2914" t="n">
        <v>0.0096354389999999</v>
      </c>
      <c r="G2914" t="n">
        <v>0.5327573402642842</v>
      </c>
      <c r="H2914" t="n">
        <v>0.0143649073968369</v>
      </c>
      <c r="I2914" t="n">
        <v>0.1921021222297051</v>
      </c>
      <c r="J2914" t="n">
        <v>0.104668824256453</v>
      </c>
      <c r="K2914" t="n">
        <v>0.5589943732005322</v>
      </c>
      <c r="L2914" t="b">
        <v>0</v>
      </c>
      <c r="M2914" t="b">
        <v>0</v>
      </c>
      <c r="N2914" t="inlineStr">
        <is>
          <t>alt</t>
        </is>
      </c>
      <c r="O2914" t="n">
        <v>100</v>
      </c>
      <c r="P2914" t="n">
        <v>0.01773</v>
      </c>
      <c r="Q2914" t="n">
        <v>85</v>
      </c>
      <c r="R2914" t="n">
        <v>0.05392</v>
      </c>
      <c r="S2914">
        <f>IMAGE("https://mitra.stanford.edu/kundaje/oak/projects/neuro-variants/variant_position/credible/roussos_2024/variant_figures/roussos_2024.adolescence.GLU/rs35071135_count_position.png",4,220,900)</f>
        <v/>
      </c>
      <c r="T2914">
        <f>IMAGE("https://mitra.stanford.edu/kundaje/oak/projects/neuro-variants/variant_position/credible/roussos_2024/variant_figures/roussos_2024.adolescence.GLU/rs35071135_profile_position.png",4,220,900)</f>
        <v/>
      </c>
    </row>
    <row r="2915">
      <c r="A2915" t="inlineStr">
        <is>
          <t>chr4</t>
        </is>
      </c>
      <c r="B2915" t="n">
        <v>33691030</v>
      </c>
      <c r="C2915" t="inlineStr">
        <is>
          <t>T</t>
        </is>
      </c>
      <c r="D2915" t="inlineStr">
        <is>
          <t>G</t>
        </is>
      </c>
      <c r="E2915" t="inlineStr">
        <is>
          <t>rs1965242</t>
        </is>
      </c>
      <c r="F2915" t="n">
        <v>0.00303845288</v>
      </c>
      <c r="G2915" t="n">
        <v>0.7598650675111085</v>
      </c>
      <c r="H2915" t="n">
        <v>0.0191290596965879</v>
      </c>
      <c r="I2915" t="n">
        <v>0.0674412561933989</v>
      </c>
      <c r="J2915" t="n">
        <v>0.0907173628823113</v>
      </c>
      <c r="K2915" t="n">
        <v>0.5894315588443655</v>
      </c>
      <c r="L2915" t="b">
        <v>0</v>
      </c>
      <c r="M2915" t="b">
        <v>0</v>
      </c>
      <c r="N2915" t="inlineStr">
        <is>
          <t>alt</t>
        </is>
      </c>
      <c r="O2915" t="n">
        <v>40</v>
      </c>
      <c r="P2915" t="n">
        <v>0.00987</v>
      </c>
      <c r="Q2915" t="n">
        <v>-45</v>
      </c>
      <c r="R2915" t="n">
        <v>0.02405</v>
      </c>
      <c r="S2915">
        <f>IMAGE("https://mitra.stanford.edu/kundaje/oak/projects/neuro-variants/variant_position/credible/roussos_2024/variant_figures/roussos_2024.adolescence.GLU/rs1965242_count_position.png",4,220,900)</f>
        <v/>
      </c>
      <c r="T2915">
        <f>IMAGE("https://mitra.stanford.edu/kundaje/oak/projects/neuro-variants/variant_position/credible/roussos_2024/variant_figures/roussos_2024.adolescence.GLU/rs1965242_profile_position.png",4,220,900)</f>
        <v/>
      </c>
    </row>
    <row r="2916">
      <c r="A2916" t="inlineStr">
        <is>
          <t>chr4</t>
        </is>
      </c>
      <c r="B2916" t="n">
        <v>33691708</v>
      </c>
      <c r="C2916" t="inlineStr">
        <is>
          <t>A</t>
        </is>
      </c>
      <c r="D2916" t="inlineStr">
        <is>
          <t>G</t>
        </is>
      </c>
      <c r="E2916" t="inlineStr">
        <is>
          <t>rs12641809</t>
        </is>
      </c>
      <c r="F2916" t="n">
        <v>2.633762999999997e-05</v>
      </c>
      <c r="G2916" t="n">
        <v>0.8912348180849289</v>
      </c>
      <c r="H2916" t="n">
        <v>0.0200133821388619</v>
      </c>
      <c r="I2916" t="n">
        <v>0.0582222775184334</v>
      </c>
      <c r="J2916" t="n">
        <v>0.0473612391138163</v>
      </c>
      <c r="K2916" t="n">
        <v>0.7070243152704588</v>
      </c>
      <c r="L2916" t="b">
        <v>0</v>
      </c>
      <c r="M2916" t="b">
        <v>0</v>
      </c>
      <c r="N2916" t="inlineStr">
        <is>
          <t>alt</t>
        </is>
      </c>
      <c r="O2916" t="n">
        <v>60</v>
      </c>
      <c r="P2916" t="n">
        <v>0.007195</v>
      </c>
      <c r="Q2916" t="n">
        <v>-100</v>
      </c>
      <c r="R2916" t="n">
        <v>0.05444</v>
      </c>
      <c r="S2916">
        <f>IMAGE("https://mitra.stanford.edu/kundaje/oak/projects/neuro-variants/variant_position/credible/roussos_2024/variant_figures/roussos_2024.adolescence.GLU/rs12641809_count_position.png",4,220,900)</f>
        <v/>
      </c>
      <c r="T2916">
        <f>IMAGE("https://mitra.stanford.edu/kundaje/oak/projects/neuro-variants/variant_position/credible/roussos_2024/variant_figures/roussos_2024.adolescence.GLU/rs12641809_profile_position.png",4,220,900)</f>
        <v/>
      </c>
    </row>
    <row r="2917">
      <c r="A2917" t="inlineStr">
        <is>
          <t>chr4</t>
        </is>
      </c>
      <c r="B2917" t="n">
        <v>33696251</v>
      </c>
      <c r="C2917" t="inlineStr">
        <is>
          <t>A</t>
        </is>
      </c>
      <c r="D2917" t="inlineStr">
        <is>
          <t>G</t>
        </is>
      </c>
      <c r="E2917" t="inlineStr">
        <is>
          <t>rs67906834</t>
        </is>
      </c>
      <c r="F2917" t="n">
        <v>0.0624262426</v>
      </c>
      <c r="G2917" t="n">
        <v>0.0318908685762428</v>
      </c>
      <c r="H2917" t="n">
        <v>0.009736372272333199</v>
      </c>
      <c r="I2917" t="n">
        <v>0.5648400245079614</v>
      </c>
      <c r="J2917" t="n">
        <v>0.0719206121267976</v>
      </c>
      <c r="K2917" t="n">
        <v>0.6312415084077539</v>
      </c>
      <c r="L2917" t="b">
        <v>0</v>
      </c>
      <c r="M2917" t="b">
        <v>0</v>
      </c>
      <c r="N2917" t="inlineStr">
        <is>
          <t>alt</t>
        </is>
      </c>
      <c r="O2917" t="n">
        <v>100</v>
      </c>
      <c r="P2917" t="n">
        <v>0.004982</v>
      </c>
      <c r="Q2917" t="n">
        <v>30</v>
      </c>
      <c r="R2917" t="n">
        <v>0.02771</v>
      </c>
      <c r="S2917">
        <f>IMAGE("https://mitra.stanford.edu/kundaje/oak/projects/neuro-variants/variant_position/credible/roussos_2024/variant_figures/roussos_2024.adolescence.GLU/rs67906834_count_position.png",4,220,900)</f>
        <v/>
      </c>
      <c r="T2917">
        <f>IMAGE("https://mitra.stanford.edu/kundaje/oak/projects/neuro-variants/variant_position/credible/roussos_2024/variant_figures/roussos_2024.adolescence.GLU/rs67906834_profile_position.png",4,220,900)</f>
        <v/>
      </c>
    </row>
    <row r="2918">
      <c r="A2918" t="inlineStr">
        <is>
          <t>chr4</t>
        </is>
      </c>
      <c r="B2918" t="n">
        <v>33699839</v>
      </c>
      <c r="C2918" t="inlineStr">
        <is>
          <t>G</t>
        </is>
      </c>
      <c r="D2918" t="inlineStr">
        <is>
          <t>A</t>
        </is>
      </c>
      <c r="E2918" t="inlineStr">
        <is>
          <t>rs73127069</t>
        </is>
      </c>
      <c r="F2918" t="n">
        <v>-0.048433365</v>
      </c>
      <c r="G2918" t="n">
        <v>0.07399796856274569</v>
      </c>
      <c r="H2918" t="n">
        <v>0.0127943017632523</v>
      </c>
      <c r="I2918" t="n">
        <v>0.2644487460299625</v>
      </c>
      <c r="J2918" t="n">
        <v>0.2230804952454437</v>
      </c>
      <c r="K2918" t="n">
        <v>0.3714470122249296</v>
      </c>
      <c r="L2918" t="b">
        <v>0</v>
      </c>
      <c r="M2918" t="b">
        <v>0</v>
      </c>
      <c r="N2918" t="inlineStr">
        <is>
          <t>ref</t>
        </is>
      </c>
      <c r="O2918" t="n">
        <v>45</v>
      </c>
      <c r="P2918" t="n">
        <v>0.003403</v>
      </c>
      <c r="Q2918" t="n">
        <v>0</v>
      </c>
      <c r="R2918" t="n">
        <v>0</v>
      </c>
      <c r="S2918">
        <f>IMAGE("https://mitra.stanford.edu/kundaje/oak/projects/neuro-variants/variant_position/credible/roussos_2024/variant_figures/roussos_2024.adolescence.GLU/rs73127069_count_position.png",4,220,900)</f>
        <v/>
      </c>
      <c r="T2918">
        <f>IMAGE("https://mitra.stanford.edu/kundaje/oak/projects/neuro-variants/variant_position/credible/roussos_2024/variant_figures/roussos_2024.adolescence.GLU/rs73127069_profile_position.png",4,220,900)</f>
        <v/>
      </c>
    </row>
    <row r="2919">
      <c r="A2919" t="inlineStr">
        <is>
          <t>chr4</t>
        </is>
      </c>
      <c r="B2919" t="n">
        <v>33702967</v>
      </c>
      <c r="C2919" t="inlineStr">
        <is>
          <t>A</t>
        </is>
      </c>
      <c r="D2919" t="inlineStr">
        <is>
          <t>G</t>
        </is>
      </c>
      <c r="E2919" t="inlineStr">
        <is>
          <t>rs67509867</t>
        </is>
      </c>
      <c r="F2919" t="n">
        <v>0.01225559314</v>
      </c>
      <c r="G2919" t="n">
        <v>0.442256431461923</v>
      </c>
      <c r="H2919" t="n">
        <v>0.0084590400683734</v>
      </c>
      <c r="I2919" t="n">
        <v>0.732877771634933</v>
      </c>
      <c r="J2919" t="n">
        <v>0.0480956769616563</v>
      </c>
      <c r="K2919" t="n">
        <v>0.7074343058364223</v>
      </c>
      <c r="L2919" t="b">
        <v>0</v>
      </c>
      <c r="M2919" t="b">
        <v>0</v>
      </c>
      <c r="N2919" t="inlineStr">
        <is>
          <t>alt</t>
        </is>
      </c>
      <c r="O2919" t="n">
        <v>100</v>
      </c>
      <c r="P2919" t="n">
        <v>0.002579</v>
      </c>
      <c r="Q2919" t="n">
        <v>-90</v>
      </c>
      <c r="R2919" t="n">
        <v>0.0717</v>
      </c>
      <c r="S2919">
        <f>IMAGE("https://mitra.stanford.edu/kundaje/oak/projects/neuro-variants/variant_position/credible/roussos_2024/variant_figures/roussos_2024.adolescence.GLU/rs67509867_count_position.png",4,220,900)</f>
        <v/>
      </c>
      <c r="T2919">
        <f>IMAGE("https://mitra.stanford.edu/kundaje/oak/projects/neuro-variants/variant_position/credible/roussos_2024/variant_figures/roussos_2024.adolescence.GLU/rs67509867_profile_position.png",4,220,900)</f>
        <v/>
      </c>
    </row>
    <row r="2920">
      <c r="A2920" t="inlineStr">
        <is>
          <t>chr4</t>
        </is>
      </c>
      <c r="B2920" t="n">
        <v>33703438</v>
      </c>
      <c r="C2920" t="inlineStr">
        <is>
          <t>A</t>
        </is>
      </c>
      <c r="D2920" t="inlineStr">
        <is>
          <t>G</t>
        </is>
      </c>
      <c r="E2920" t="inlineStr">
        <is>
          <t>rs10019596</t>
        </is>
      </c>
      <c r="F2920" t="n">
        <v>0.06307835419999989</v>
      </c>
      <c r="G2920" t="n">
        <v>0.0345776102089045</v>
      </c>
      <c r="H2920" t="n">
        <v>0.0144391789132322</v>
      </c>
      <c r="I2920" t="n">
        <v>0.1987955090203137</v>
      </c>
      <c r="J2920" t="n">
        <v>0.1169142179451457</v>
      </c>
      <c r="K2920" t="n">
        <v>0.5362605600515704</v>
      </c>
      <c r="L2920" t="b">
        <v>0</v>
      </c>
      <c r="M2920" t="b">
        <v>0</v>
      </c>
      <c r="N2920" t="inlineStr">
        <is>
          <t>alt</t>
        </is>
      </c>
      <c r="O2920" t="n">
        <v>10</v>
      </c>
      <c r="P2920" t="n">
        <v>0.00058</v>
      </c>
      <c r="Q2920" t="n">
        <v>-5</v>
      </c>
      <c r="R2920" t="n">
        <v>0.001953</v>
      </c>
      <c r="S2920">
        <f>IMAGE("https://mitra.stanford.edu/kundaje/oak/projects/neuro-variants/variant_position/credible/roussos_2024/variant_figures/roussos_2024.adolescence.GLU/rs10019596_count_position.png",4,220,900)</f>
        <v/>
      </c>
      <c r="T2920">
        <f>IMAGE("https://mitra.stanford.edu/kundaje/oak/projects/neuro-variants/variant_position/credible/roussos_2024/variant_figures/roussos_2024.adolescence.GLU/rs10019596_profile_position.png",4,220,900)</f>
        <v/>
      </c>
    </row>
    <row r="2921">
      <c r="A2921" t="inlineStr">
        <is>
          <t>chr4</t>
        </is>
      </c>
      <c r="B2921" t="n">
        <v>33704374</v>
      </c>
      <c r="C2921" t="inlineStr">
        <is>
          <t>T</t>
        </is>
      </c>
      <c r="D2921" t="inlineStr">
        <is>
          <t>G</t>
        </is>
      </c>
      <c r="E2921" t="inlineStr">
        <is>
          <t>rs13130383</t>
        </is>
      </c>
      <c r="F2921" t="n">
        <v>0.3261056808</v>
      </c>
      <c r="G2921" t="n">
        <v>0.0002709988905491</v>
      </c>
      <c r="H2921" t="n">
        <v>0.1277911663598684</v>
      </c>
      <c r="I2921" t="n">
        <v>0.0001284037117953</v>
      </c>
      <c r="J2921" t="n">
        <v>0.08914846646805399</v>
      </c>
      <c r="K2921" t="n">
        <v>0.6010291768664572</v>
      </c>
      <c r="L2921" t="b">
        <v>1</v>
      </c>
      <c r="M2921" t="b">
        <v>1</v>
      </c>
      <c r="N2921" t="inlineStr">
        <is>
          <t>alt</t>
        </is>
      </c>
      <c r="O2921" t="n">
        <v>-25</v>
      </c>
      <c r="P2921" t="n">
        <v>0.001892</v>
      </c>
      <c r="Q2921" t="n">
        <v>-10</v>
      </c>
      <c r="R2921" t="n">
        <v>0.01807</v>
      </c>
      <c r="S2921">
        <f>IMAGE("https://mitra.stanford.edu/kundaje/oak/projects/neuro-variants/variant_position/credible/roussos_2024/variant_figures/roussos_2024.adolescence.GLU/rs13130383_count_position.png",4,220,900)</f>
        <v/>
      </c>
      <c r="T2921">
        <f>IMAGE("https://mitra.stanford.edu/kundaje/oak/projects/neuro-variants/variant_position/credible/roussos_2024/variant_figures/roussos_2024.adolescence.GLU/rs13130383_profile_position.png",4,220,900)</f>
        <v/>
      </c>
    </row>
    <row r="2922">
      <c r="A2922" t="inlineStr">
        <is>
          <t>chr4</t>
        </is>
      </c>
      <c r="B2922" t="n">
        <v>33707202</v>
      </c>
      <c r="C2922" t="inlineStr">
        <is>
          <t>A</t>
        </is>
      </c>
      <c r="D2922" t="inlineStr">
        <is>
          <t>C</t>
        </is>
      </c>
      <c r="E2922" t="inlineStr">
        <is>
          <t>rs34151233</t>
        </is>
      </c>
      <c r="F2922" t="n">
        <v>-0.0034564743</v>
      </c>
      <c r="G2922" t="n">
        <v>0.7755888846360312</v>
      </c>
      <c r="H2922" t="n">
        <v>0.0304822475515096</v>
      </c>
      <c r="I2922" t="n">
        <v>0.008519386686713801</v>
      </c>
      <c r="J2922" t="n">
        <v>0.0185038329368225</v>
      </c>
      <c r="K2922" t="n">
        <v>0.8242254225058755</v>
      </c>
      <c r="L2922" t="b">
        <v>1</v>
      </c>
      <c r="M2922" t="b">
        <v>0</v>
      </c>
      <c r="N2922" t="inlineStr">
        <is>
          <t>ref</t>
        </is>
      </c>
      <c r="O2922" t="n">
        <v>100</v>
      </c>
      <c r="P2922" t="n">
        <v>0.1748</v>
      </c>
      <c r="Q2922" t="n">
        <v>100</v>
      </c>
      <c r="R2922" t="n">
        <v>0.06287</v>
      </c>
      <c r="S2922">
        <f>IMAGE("https://mitra.stanford.edu/kundaje/oak/projects/neuro-variants/variant_position/credible/roussos_2024/variant_figures/roussos_2024.adolescence.GLU/rs34151233_count_position.png",4,220,900)</f>
        <v/>
      </c>
      <c r="T2922">
        <f>IMAGE("https://mitra.stanford.edu/kundaje/oak/projects/neuro-variants/variant_position/credible/roussos_2024/variant_figures/roussos_2024.adolescence.GLU/rs34151233_profile_position.png",4,220,900)</f>
        <v/>
      </c>
    </row>
    <row r="2923">
      <c r="A2923" t="inlineStr">
        <is>
          <t>chr4</t>
        </is>
      </c>
      <c r="B2923" t="n">
        <v>33709195</v>
      </c>
      <c r="C2923" t="inlineStr">
        <is>
          <t>G</t>
        </is>
      </c>
      <c r="D2923" t="inlineStr">
        <is>
          <t>T</t>
        </is>
      </c>
      <c r="E2923" t="inlineStr">
        <is>
          <t>rs10025016</t>
        </is>
      </c>
      <c r="F2923" t="n">
        <v>-0.0026277616399999</v>
      </c>
      <c r="G2923" t="n">
        <v>0.813985573834821</v>
      </c>
      <c r="H2923" t="n">
        <v>0.0208440814082689</v>
      </c>
      <c r="I2923" t="n">
        <v>0.0429388165553088</v>
      </c>
      <c r="J2923" t="n">
        <v>0.0338855905866214</v>
      </c>
      <c r="K2923" t="n">
        <v>0.7620313474862517</v>
      </c>
      <c r="L2923" t="b">
        <v>0</v>
      </c>
      <c r="M2923" t="b">
        <v>0</v>
      </c>
      <c r="N2923" t="inlineStr">
        <is>
          <t>ref</t>
        </is>
      </c>
      <c r="O2923" t="n">
        <v>55</v>
      </c>
      <c r="P2923" t="n">
        <v>0.00464</v>
      </c>
      <c r="Q2923" t="n">
        <v>-100</v>
      </c>
      <c r="R2923" t="n">
        <v>0.0382</v>
      </c>
      <c r="S2923">
        <f>IMAGE("https://mitra.stanford.edu/kundaje/oak/projects/neuro-variants/variant_position/credible/roussos_2024/variant_figures/roussos_2024.adolescence.GLU/rs10025016_count_position.png",4,220,900)</f>
        <v/>
      </c>
      <c r="T2923">
        <f>IMAGE("https://mitra.stanford.edu/kundaje/oak/projects/neuro-variants/variant_position/credible/roussos_2024/variant_figures/roussos_2024.adolescence.GLU/rs10025016_profile_position.png",4,220,900)</f>
        <v/>
      </c>
    </row>
    <row r="2924">
      <c r="A2924" t="inlineStr">
        <is>
          <t>chr4</t>
        </is>
      </c>
      <c r="B2924" t="n">
        <v>33710208</v>
      </c>
      <c r="C2924" t="inlineStr">
        <is>
          <t>G</t>
        </is>
      </c>
      <c r="D2924" t="inlineStr">
        <is>
          <t>A</t>
        </is>
      </c>
      <c r="E2924" t="inlineStr">
        <is>
          <t>rs34365744</t>
        </is>
      </c>
      <c r="F2924" t="n">
        <v>-0.0742681538</v>
      </c>
      <c r="G2924" t="n">
        <v>0.0203015213230718</v>
      </c>
      <c r="H2924" t="n">
        <v>0.0126671423331161</v>
      </c>
      <c r="I2924" t="n">
        <v>0.295369478134563</v>
      </c>
      <c r="J2924" t="n">
        <v>0.1751177029527544</v>
      </c>
      <c r="K2924" t="n">
        <v>0.4417622371719693</v>
      </c>
      <c r="L2924" t="b">
        <v>1</v>
      </c>
      <c r="M2924" t="b">
        <v>0</v>
      </c>
      <c r="N2924" t="inlineStr">
        <is>
          <t>ref</t>
        </is>
      </c>
      <c r="O2924" t="n">
        <v>85</v>
      </c>
      <c r="P2924" t="n">
        <v>0.001678</v>
      </c>
      <c r="Q2924" t="n">
        <v>-50</v>
      </c>
      <c r="R2924" t="n">
        <v>0.0528</v>
      </c>
      <c r="S2924">
        <f>IMAGE("https://mitra.stanford.edu/kundaje/oak/projects/neuro-variants/variant_position/credible/roussos_2024/variant_figures/roussos_2024.adolescence.GLU/rs34365744_count_position.png",4,220,900)</f>
        <v/>
      </c>
      <c r="T2924">
        <f>IMAGE("https://mitra.stanford.edu/kundaje/oak/projects/neuro-variants/variant_position/credible/roussos_2024/variant_figures/roussos_2024.adolescence.GLU/rs34365744_profile_position.png",4,220,900)</f>
        <v/>
      </c>
    </row>
    <row r="2925">
      <c r="A2925" t="inlineStr">
        <is>
          <t>chr4</t>
        </is>
      </c>
      <c r="B2925" t="n">
        <v>33713717</v>
      </c>
      <c r="C2925" t="inlineStr">
        <is>
          <t>A</t>
        </is>
      </c>
      <c r="D2925" t="inlineStr">
        <is>
          <t>G</t>
        </is>
      </c>
      <c r="E2925" t="inlineStr">
        <is>
          <t>rs4475134</t>
        </is>
      </c>
      <c r="F2925" t="n">
        <v>-0.0088349336599999</v>
      </c>
      <c r="G2925" t="n">
        <v>0.5965263173156513</v>
      </c>
      <c r="H2925" t="n">
        <v>0.0072454750556484</v>
      </c>
      <c r="I2925" t="n">
        <v>0.8857471598900741</v>
      </c>
      <c r="J2925" t="n">
        <v>0.0384508219559765</v>
      </c>
      <c r="K2925" t="n">
        <v>0.7421807284839597</v>
      </c>
      <c r="L2925" t="b">
        <v>0</v>
      </c>
      <c r="M2925" t="b">
        <v>0</v>
      </c>
      <c r="N2925" t="inlineStr">
        <is>
          <t>ref</t>
        </is>
      </c>
      <c r="O2925" t="n">
        <v>25</v>
      </c>
      <c r="P2925" t="n">
        <v>0.004055</v>
      </c>
      <c r="Q2925" t="n">
        <v>-100</v>
      </c>
      <c r="R2925" t="n">
        <v>0.04984</v>
      </c>
      <c r="S2925">
        <f>IMAGE("https://mitra.stanford.edu/kundaje/oak/projects/neuro-variants/variant_position/credible/roussos_2024/variant_figures/roussos_2024.adolescence.GLU/rs4475134_count_position.png",4,220,900)</f>
        <v/>
      </c>
      <c r="T2925">
        <f>IMAGE("https://mitra.stanford.edu/kundaje/oak/projects/neuro-variants/variant_position/credible/roussos_2024/variant_figures/roussos_2024.adolescence.GLU/rs4475134_profile_position.png",4,220,900)</f>
        <v/>
      </c>
    </row>
    <row r="2926">
      <c r="A2926" t="inlineStr">
        <is>
          <t>chr4</t>
        </is>
      </c>
      <c r="B2926" t="n">
        <v>33714149</v>
      </c>
      <c r="C2926" t="inlineStr">
        <is>
          <t>A</t>
        </is>
      </c>
      <c r="D2926" t="inlineStr">
        <is>
          <t>C</t>
        </is>
      </c>
      <c r="E2926" t="inlineStr">
        <is>
          <t>rs9992483</t>
        </is>
      </c>
      <c r="F2926" t="n">
        <v>-0.020582358</v>
      </c>
      <c r="G2926" t="n">
        <v>0.2870708353581698</v>
      </c>
      <c r="H2926" t="n">
        <v>0.022308583391299</v>
      </c>
      <c r="I2926" t="n">
        <v>0.0367908201342001</v>
      </c>
      <c r="J2926" t="n">
        <v>0.0139857541919397</v>
      </c>
      <c r="K2926" t="n">
        <v>0.8496341976206312</v>
      </c>
      <c r="L2926" t="b">
        <v>0</v>
      </c>
      <c r="M2926" t="b">
        <v>0</v>
      </c>
      <c r="N2926" t="inlineStr">
        <is>
          <t>ref</t>
        </is>
      </c>
      <c r="O2926" t="n">
        <v>-45</v>
      </c>
      <c r="P2926" t="n">
        <v>0.006073</v>
      </c>
      <c r="Q2926" t="n">
        <v>90</v>
      </c>
      <c r="R2926" t="n">
        <v>0.05426</v>
      </c>
      <c r="S2926">
        <f>IMAGE("https://mitra.stanford.edu/kundaje/oak/projects/neuro-variants/variant_position/credible/roussos_2024/variant_figures/roussos_2024.adolescence.GLU/rs9992483_count_position.png",4,220,900)</f>
        <v/>
      </c>
      <c r="T2926">
        <f>IMAGE("https://mitra.stanford.edu/kundaje/oak/projects/neuro-variants/variant_position/credible/roussos_2024/variant_figures/roussos_2024.adolescence.GLU/rs9992483_profile_position.png",4,220,900)</f>
        <v/>
      </c>
    </row>
    <row r="2927">
      <c r="A2927" t="inlineStr">
        <is>
          <t>chr4</t>
        </is>
      </c>
      <c r="B2927" t="n">
        <v>33714463</v>
      </c>
      <c r="C2927" t="inlineStr">
        <is>
          <t>T</t>
        </is>
      </c>
      <c r="D2927" t="inlineStr">
        <is>
          <t>G</t>
        </is>
      </c>
      <c r="E2927" t="inlineStr">
        <is>
          <t>rs9995588</t>
        </is>
      </c>
      <c r="F2927" t="n">
        <v>-0.02960717266</v>
      </c>
      <c r="G2927" t="n">
        <v>0.211351140086259</v>
      </c>
      <c r="H2927" t="n">
        <v>0.0143520601637763</v>
      </c>
      <c r="I2927" t="n">
        <v>0.2230167517439641</v>
      </c>
      <c r="J2927" t="n">
        <v>0.0216844917875845</v>
      </c>
      <c r="K2927" t="n">
        <v>0.8083339084870204</v>
      </c>
      <c r="L2927" t="b">
        <v>0</v>
      </c>
      <c r="M2927" t="b">
        <v>0</v>
      </c>
      <c r="N2927" t="inlineStr">
        <is>
          <t>ref</t>
        </is>
      </c>
      <c r="O2927" t="n">
        <v>10</v>
      </c>
      <c r="P2927" t="n">
        <v>0.0007324</v>
      </c>
      <c r="Q2927" t="n">
        <v>40</v>
      </c>
      <c r="R2927" t="n">
        <v>0.02927</v>
      </c>
      <c r="S2927">
        <f>IMAGE("https://mitra.stanford.edu/kundaje/oak/projects/neuro-variants/variant_position/credible/roussos_2024/variant_figures/roussos_2024.adolescence.GLU/rs9995588_count_position.png",4,220,900)</f>
        <v/>
      </c>
      <c r="T2927">
        <f>IMAGE("https://mitra.stanford.edu/kundaje/oak/projects/neuro-variants/variant_position/credible/roussos_2024/variant_figures/roussos_2024.adolescence.GLU/rs9995588_profile_position.png",4,220,900)</f>
        <v/>
      </c>
    </row>
    <row r="2928">
      <c r="A2928" t="inlineStr">
        <is>
          <t>chr4</t>
        </is>
      </c>
      <c r="B2928" t="n">
        <v>33717975</v>
      </c>
      <c r="C2928" t="inlineStr">
        <is>
          <t>C</t>
        </is>
      </c>
      <c r="D2928" t="inlineStr">
        <is>
          <t>T</t>
        </is>
      </c>
      <c r="E2928" t="inlineStr">
        <is>
          <t>rs1596581</t>
        </is>
      </c>
      <c r="F2928" t="n">
        <v>-0.009056831039999999</v>
      </c>
      <c r="G2928" t="n">
        <v>0.5749672792781463</v>
      </c>
      <c r="H2928" t="n">
        <v>0.0133525982664359</v>
      </c>
      <c r="I2928" t="n">
        <v>0.2327260082196048</v>
      </c>
      <c r="J2928" t="n">
        <v>0.0110465739331718</v>
      </c>
      <c r="K2928" t="n">
        <v>0.870771202985691</v>
      </c>
      <c r="L2928" t="b">
        <v>0</v>
      </c>
      <c r="M2928" t="b">
        <v>0</v>
      </c>
      <c r="N2928" t="inlineStr">
        <is>
          <t>ref</t>
        </is>
      </c>
      <c r="O2928" t="n">
        <v>85</v>
      </c>
      <c r="P2928" t="n">
        <v>0.04514</v>
      </c>
      <c r="Q2928" t="n">
        <v>-90</v>
      </c>
      <c r="R2928" t="n">
        <v>0.01942</v>
      </c>
      <c r="S2928">
        <f>IMAGE("https://mitra.stanford.edu/kundaje/oak/projects/neuro-variants/variant_position/credible/roussos_2024/variant_figures/roussos_2024.adolescence.GLU/rs1596581_count_position.png",4,220,900)</f>
        <v/>
      </c>
      <c r="T2928">
        <f>IMAGE("https://mitra.stanford.edu/kundaje/oak/projects/neuro-variants/variant_position/credible/roussos_2024/variant_figures/roussos_2024.adolescence.GLU/rs1596581_profile_position.png",4,220,900)</f>
        <v/>
      </c>
    </row>
    <row r="2929">
      <c r="A2929" t="inlineStr">
        <is>
          <t>chr4</t>
        </is>
      </c>
      <c r="B2929" t="n">
        <v>33729254</v>
      </c>
      <c r="C2929" t="inlineStr">
        <is>
          <t>G</t>
        </is>
      </c>
      <c r="D2929" t="inlineStr">
        <is>
          <t>C</t>
        </is>
      </c>
      <c r="E2929" t="inlineStr">
        <is>
          <t>rs67655711</t>
        </is>
      </c>
      <c r="F2929" t="n">
        <v>-0.01282382186</v>
      </c>
      <c r="G2929" t="n">
        <v>0.4476018181303565</v>
      </c>
      <c r="H2929" t="n">
        <v>0.0099786035221148</v>
      </c>
      <c r="I2929" t="n">
        <v>0.5300886323210242</v>
      </c>
      <c r="J2929" t="n">
        <v>0.0009116174064627</v>
      </c>
      <c r="K2929" t="n">
        <v>0.978387340048314</v>
      </c>
      <c r="L2929" t="b">
        <v>0</v>
      </c>
      <c r="M2929" t="b">
        <v>0</v>
      </c>
      <c r="N2929" t="inlineStr">
        <is>
          <t>ref</t>
        </is>
      </c>
      <c r="O2929" t="n">
        <v>45</v>
      </c>
      <c r="P2929" t="n">
        <v>0.001594</v>
      </c>
      <c r="Q2929" t="n">
        <v>60</v>
      </c>
      <c r="R2929" t="n">
        <v>0.0394</v>
      </c>
      <c r="S2929">
        <f>IMAGE("https://mitra.stanford.edu/kundaje/oak/projects/neuro-variants/variant_position/credible/roussos_2024/variant_figures/roussos_2024.adolescence.GLU/rs67655711_count_position.png",4,220,900)</f>
        <v/>
      </c>
      <c r="T2929">
        <f>IMAGE("https://mitra.stanford.edu/kundaje/oak/projects/neuro-variants/variant_position/credible/roussos_2024/variant_figures/roussos_2024.adolescence.GLU/rs67655711_profile_position.png",4,220,900)</f>
        <v/>
      </c>
    </row>
    <row r="2930">
      <c r="A2930" t="inlineStr">
        <is>
          <t>chr4</t>
        </is>
      </c>
      <c r="B2930" t="n">
        <v>33729400</v>
      </c>
      <c r="C2930" t="inlineStr">
        <is>
          <t>C</t>
        </is>
      </c>
      <c r="D2930" t="inlineStr">
        <is>
          <t>T</t>
        </is>
      </c>
      <c r="E2930" t="inlineStr">
        <is>
          <t>rs35304177</t>
        </is>
      </c>
      <c r="F2930" t="n">
        <v>-0.0542238184</v>
      </c>
      <c r="G2930" t="n">
        <v>0.0540446981436598</v>
      </c>
      <c r="H2930" t="n">
        <v>0.0173001299776784</v>
      </c>
      <c r="I2930" t="n">
        <v>0.1043820446554386</v>
      </c>
      <c r="J2930" t="n">
        <v>0.0007730172678625</v>
      </c>
      <c r="K2930" t="n">
        <v>0.98213346439981</v>
      </c>
      <c r="L2930" t="b">
        <v>0</v>
      </c>
      <c r="M2930" t="b">
        <v>0</v>
      </c>
      <c r="N2930" t="inlineStr">
        <is>
          <t>ref</t>
        </is>
      </c>
      <c r="O2930" t="n">
        <v>-100</v>
      </c>
      <c r="P2930" t="n">
        <v>0.002815</v>
      </c>
      <c r="Q2930" t="n">
        <v>-85</v>
      </c>
      <c r="R2930" t="n">
        <v>0.04944</v>
      </c>
      <c r="S2930">
        <f>IMAGE("https://mitra.stanford.edu/kundaje/oak/projects/neuro-variants/variant_position/credible/roussos_2024/variant_figures/roussos_2024.adolescence.GLU/rs35304177_count_position.png",4,220,900)</f>
        <v/>
      </c>
      <c r="T2930">
        <f>IMAGE("https://mitra.stanford.edu/kundaje/oak/projects/neuro-variants/variant_position/credible/roussos_2024/variant_figures/roussos_2024.adolescence.GLU/rs35304177_profile_position.png",4,220,900)</f>
        <v/>
      </c>
    </row>
    <row r="2931">
      <c r="A2931" t="inlineStr">
        <is>
          <t>chr4</t>
        </is>
      </c>
      <c r="B2931" t="n">
        <v>33730103</v>
      </c>
      <c r="C2931" t="inlineStr">
        <is>
          <t>T</t>
        </is>
      </c>
      <c r="D2931" t="inlineStr">
        <is>
          <t>C</t>
        </is>
      </c>
      <c r="E2931" t="inlineStr">
        <is>
          <t>rs28530710</t>
        </is>
      </c>
      <c r="F2931" t="n">
        <v>-0.000644680148</v>
      </c>
      <c r="G2931" t="n">
        <v>0.8818101852313101</v>
      </c>
      <c r="H2931" t="n">
        <v>0.0103020133459127</v>
      </c>
      <c r="I2931" t="n">
        <v>0.4784030496585675</v>
      </c>
      <c r="J2931" t="n">
        <v>0.009539118817469199</v>
      </c>
      <c r="K2931" t="n">
        <v>0.8918572815455426</v>
      </c>
      <c r="L2931" t="b">
        <v>0</v>
      </c>
      <c r="M2931" t="b">
        <v>0</v>
      </c>
      <c r="N2931" t="inlineStr">
        <is>
          <t>ref</t>
        </is>
      </c>
      <c r="O2931" t="n">
        <v>-100</v>
      </c>
      <c r="P2931" t="n">
        <v>0.01138</v>
      </c>
      <c r="Q2931" t="n">
        <v>100</v>
      </c>
      <c r="R2931" t="n">
        <v>0.0667</v>
      </c>
      <c r="S2931">
        <f>IMAGE("https://mitra.stanford.edu/kundaje/oak/projects/neuro-variants/variant_position/credible/roussos_2024/variant_figures/roussos_2024.adolescence.GLU/rs28530710_count_position.png",4,220,900)</f>
        <v/>
      </c>
      <c r="T2931">
        <f>IMAGE("https://mitra.stanford.edu/kundaje/oak/projects/neuro-variants/variant_position/credible/roussos_2024/variant_figures/roussos_2024.adolescence.GLU/rs28530710_profile_position.png",4,220,900)</f>
        <v/>
      </c>
    </row>
    <row r="2932">
      <c r="A2932" t="inlineStr">
        <is>
          <t>chr4</t>
        </is>
      </c>
      <c r="B2932" t="n">
        <v>33731591</v>
      </c>
      <c r="C2932" t="inlineStr">
        <is>
          <t>C</t>
        </is>
      </c>
      <c r="D2932" t="inlineStr">
        <is>
          <t>T</t>
        </is>
      </c>
      <c r="E2932" t="inlineStr">
        <is>
          <t>rs28801803</t>
        </is>
      </c>
      <c r="F2932" t="n">
        <v>-0.0038092934199999</v>
      </c>
      <c r="G2932" t="n">
        <v>0.7887548441211575</v>
      </c>
      <c r="H2932" t="n">
        <v>0.009773621079143299</v>
      </c>
      <c r="I2932" t="n">
        <v>0.5534004411623887</v>
      </c>
      <c r="J2932" t="n">
        <v>0.3083467289652856</v>
      </c>
      <c r="K2932" t="n">
        <v>0.2395522660226722</v>
      </c>
      <c r="L2932" t="b">
        <v>0</v>
      </c>
      <c r="M2932" t="b">
        <v>0</v>
      </c>
      <c r="N2932" t="inlineStr">
        <is>
          <t>ref</t>
        </is>
      </c>
      <c r="O2932" t="n">
        <v>-100</v>
      </c>
      <c r="P2932" t="n">
        <v>0.002258</v>
      </c>
      <c r="Q2932" t="n">
        <v>30</v>
      </c>
      <c r="R2932" t="n">
        <v>0.04858</v>
      </c>
      <c r="S2932">
        <f>IMAGE("https://mitra.stanford.edu/kundaje/oak/projects/neuro-variants/variant_position/credible/roussos_2024/variant_figures/roussos_2024.adolescence.GLU/rs28801803_count_position.png",4,220,900)</f>
        <v/>
      </c>
      <c r="T2932">
        <f>IMAGE("https://mitra.stanford.edu/kundaje/oak/projects/neuro-variants/variant_position/credible/roussos_2024/variant_figures/roussos_2024.adolescence.GLU/rs28801803_profile_position.png",4,220,900)</f>
        <v/>
      </c>
    </row>
    <row r="2933">
      <c r="A2933" t="inlineStr">
        <is>
          <t>chr4</t>
        </is>
      </c>
      <c r="B2933" t="n">
        <v>33732965</v>
      </c>
      <c r="C2933" t="inlineStr">
        <is>
          <t>T</t>
        </is>
      </c>
      <c r="D2933" t="inlineStr">
        <is>
          <t>C</t>
        </is>
      </c>
      <c r="E2933" t="inlineStr">
        <is>
          <t>rs28780405</t>
        </is>
      </c>
      <c r="F2933" t="n">
        <v>-0.07421697469999999</v>
      </c>
      <c r="G2933" t="n">
        <v>0.0419192176627149</v>
      </c>
      <c r="H2933" t="n">
        <v>0.0291472690433707</v>
      </c>
      <c r="I2933" t="n">
        <v>0.0213869489482756</v>
      </c>
      <c r="J2933" t="n">
        <v>0.2163262390066513</v>
      </c>
      <c r="K2933" t="n">
        <v>0.3775207366298286</v>
      </c>
      <c r="L2933" t="b">
        <v>0</v>
      </c>
      <c r="M2933" t="b">
        <v>0</v>
      </c>
      <c r="N2933" t="inlineStr">
        <is>
          <t>ref</t>
        </is>
      </c>
      <c r="O2933" t="n">
        <v>60</v>
      </c>
      <c r="P2933" t="n">
        <v>0.001385</v>
      </c>
      <c r="Q2933" t="n">
        <v>35</v>
      </c>
      <c r="R2933" t="n">
        <v>0.02368</v>
      </c>
      <c r="S2933">
        <f>IMAGE("https://mitra.stanford.edu/kundaje/oak/projects/neuro-variants/variant_position/credible/roussos_2024/variant_figures/roussos_2024.adolescence.GLU/rs28780405_count_position.png",4,220,900)</f>
        <v/>
      </c>
      <c r="T2933">
        <f>IMAGE("https://mitra.stanford.edu/kundaje/oak/projects/neuro-variants/variant_position/credible/roussos_2024/variant_figures/roussos_2024.adolescence.GLU/rs28780405_profile_position.png",4,220,900)</f>
        <v/>
      </c>
    </row>
    <row r="2934">
      <c r="A2934" t="inlineStr">
        <is>
          <t>chr4</t>
        </is>
      </c>
      <c r="B2934" t="n">
        <v>33733709</v>
      </c>
      <c r="C2934" t="inlineStr">
        <is>
          <t>G</t>
        </is>
      </c>
      <c r="D2934" t="inlineStr">
        <is>
          <t>A</t>
        </is>
      </c>
      <c r="E2934" t="inlineStr">
        <is>
          <t>rs61139508</t>
        </is>
      </c>
      <c r="F2934" t="n">
        <v>-0.0113054858</v>
      </c>
      <c r="G2934" t="n">
        <v>0.4811053444917174</v>
      </c>
      <c r="H2934" t="n">
        <v>0.011633299989551</v>
      </c>
      <c r="I2934" t="n">
        <v>0.3571220157536247</v>
      </c>
      <c r="J2934" t="n">
        <v>0.1015424623672046</v>
      </c>
      <c r="K2934" t="n">
        <v>0.5816413249626502</v>
      </c>
      <c r="L2934" t="b">
        <v>0</v>
      </c>
      <c r="M2934" t="b">
        <v>0</v>
      </c>
      <c r="N2934" t="inlineStr">
        <is>
          <t>ref</t>
        </is>
      </c>
      <c r="O2934" t="n">
        <v>90</v>
      </c>
      <c r="P2934" t="n">
        <v>0.005005</v>
      </c>
      <c r="Q2934" t="n">
        <v>100</v>
      </c>
      <c r="R2934" t="n">
        <v>0.01707</v>
      </c>
      <c r="S2934">
        <f>IMAGE("https://mitra.stanford.edu/kundaje/oak/projects/neuro-variants/variant_position/credible/roussos_2024/variant_figures/roussos_2024.adolescence.GLU/rs61139508_count_position.png",4,220,900)</f>
        <v/>
      </c>
      <c r="T2934">
        <f>IMAGE("https://mitra.stanford.edu/kundaje/oak/projects/neuro-variants/variant_position/credible/roussos_2024/variant_figures/roussos_2024.adolescence.GLU/rs61139508_profile_position.png",4,220,900)</f>
        <v/>
      </c>
    </row>
    <row r="2935">
      <c r="A2935" t="inlineStr">
        <is>
          <t>chr4</t>
        </is>
      </c>
      <c r="B2935" t="n">
        <v>33733813</v>
      </c>
      <c r="C2935" t="inlineStr">
        <is>
          <t>C</t>
        </is>
      </c>
      <c r="D2935" t="inlineStr">
        <is>
          <t>G</t>
        </is>
      </c>
      <c r="E2935" t="inlineStr">
        <is>
          <t>rs10017591</t>
        </is>
      </c>
      <c r="F2935" t="n">
        <v>-0.0504340041999999</v>
      </c>
      <c r="G2935" t="n">
        <v>0.0663035601030353</v>
      </c>
      <c r="H2935" t="n">
        <v>0.0139012620965693</v>
      </c>
      <c r="I2935" t="n">
        <v>0.2026067053107927</v>
      </c>
      <c r="J2935" t="n">
        <v>0.0952325838923776</v>
      </c>
      <c r="K2935" t="n">
        <v>0.5955229250741859</v>
      </c>
      <c r="L2935" t="b">
        <v>0</v>
      </c>
      <c r="M2935" t="b">
        <v>0</v>
      </c>
      <c r="N2935" t="inlineStr">
        <is>
          <t>ref</t>
        </is>
      </c>
      <c r="O2935" t="n">
        <v>-25</v>
      </c>
      <c r="P2935" t="n">
        <v>0.0003624</v>
      </c>
      <c r="Q2935" t="n">
        <v>50</v>
      </c>
      <c r="R2935" t="n">
        <v>0.005848</v>
      </c>
      <c r="S2935">
        <f>IMAGE("https://mitra.stanford.edu/kundaje/oak/projects/neuro-variants/variant_position/credible/roussos_2024/variant_figures/roussos_2024.adolescence.GLU/rs10017591_count_position.png",4,220,900)</f>
        <v/>
      </c>
      <c r="T2935">
        <f>IMAGE("https://mitra.stanford.edu/kundaje/oak/projects/neuro-variants/variant_position/credible/roussos_2024/variant_figures/roussos_2024.adolescence.GLU/rs10017591_profile_position.png",4,220,900)</f>
        <v/>
      </c>
    </row>
    <row r="2936">
      <c r="A2936" t="inlineStr">
        <is>
          <t>chr4</t>
        </is>
      </c>
      <c r="B2936" t="n">
        <v>33735000</v>
      </c>
      <c r="C2936" t="inlineStr">
        <is>
          <t>A</t>
        </is>
      </c>
      <c r="D2936" t="inlineStr">
        <is>
          <t>G</t>
        </is>
      </c>
      <c r="E2936" t="inlineStr">
        <is>
          <t>rs28764846</t>
        </is>
      </c>
      <c r="F2936" t="n">
        <v>0.0481683912</v>
      </c>
      <c r="G2936" t="n">
        <v>0.0661376248754206</v>
      </c>
      <c r="H2936" t="n">
        <v>0.0111599535022605</v>
      </c>
      <c r="I2936" t="n">
        <v>0.4052602193907405</v>
      </c>
      <c r="J2936" t="n">
        <v>0.2369862328625215</v>
      </c>
      <c r="K2936" t="n">
        <v>0.3505248290826908</v>
      </c>
      <c r="L2936" t="b">
        <v>0</v>
      </c>
      <c r="M2936" t="b">
        <v>0</v>
      </c>
      <c r="N2936" t="inlineStr">
        <is>
          <t>alt</t>
        </is>
      </c>
      <c r="O2936" t="n">
        <v>100</v>
      </c>
      <c r="P2936" t="n">
        <v>0.001129</v>
      </c>
      <c r="Q2936" t="n">
        <v>-20</v>
      </c>
      <c r="R2936" t="n">
        <v>0.02386</v>
      </c>
      <c r="S2936">
        <f>IMAGE("https://mitra.stanford.edu/kundaje/oak/projects/neuro-variants/variant_position/credible/roussos_2024/variant_figures/roussos_2024.adolescence.GLU/rs28764846_count_position.png",4,220,900)</f>
        <v/>
      </c>
      <c r="T2936">
        <f>IMAGE("https://mitra.stanford.edu/kundaje/oak/projects/neuro-variants/variant_position/credible/roussos_2024/variant_figures/roussos_2024.adolescence.GLU/rs28764846_profile_position.png",4,220,900)</f>
        <v/>
      </c>
    </row>
    <row r="2937">
      <c r="A2937" t="inlineStr">
        <is>
          <t>chr4</t>
        </is>
      </c>
      <c r="B2937" t="n">
        <v>33739693</v>
      </c>
      <c r="C2937" t="inlineStr">
        <is>
          <t>T</t>
        </is>
      </c>
      <c r="D2937" t="inlineStr">
        <is>
          <t>A</t>
        </is>
      </c>
      <c r="E2937" t="inlineStr">
        <is>
          <t>rs9996627</t>
        </is>
      </c>
      <c r="F2937" t="n">
        <v>0.004164597014</v>
      </c>
      <c r="G2937" t="n">
        <v>0.7474189650907288</v>
      </c>
      <c r="H2937" t="n">
        <v>0.017708323553468</v>
      </c>
      <c r="I2937" t="n">
        <v>0.0873356683440828</v>
      </c>
      <c r="J2937" t="n">
        <v>0.0741539318858906</v>
      </c>
      <c r="K2937" t="n">
        <v>0.6298081068625865</v>
      </c>
      <c r="L2937" t="b">
        <v>0</v>
      </c>
      <c r="M2937" t="b">
        <v>0</v>
      </c>
      <c r="N2937" t="inlineStr">
        <is>
          <t>alt</t>
        </is>
      </c>
      <c r="O2937" t="n">
        <v>-75</v>
      </c>
      <c r="P2937" t="n">
        <v>0.003845</v>
      </c>
      <c r="Q2937" t="n">
        <v>-100</v>
      </c>
      <c r="R2937" t="n">
        <v>0.09937</v>
      </c>
      <c r="S2937">
        <f>IMAGE("https://mitra.stanford.edu/kundaje/oak/projects/neuro-variants/variant_position/credible/roussos_2024/variant_figures/roussos_2024.adolescence.GLU/rs9996627_count_position.png",4,220,900)</f>
        <v/>
      </c>
      <c r="T2937">
        <f>IMAGE("https://mitra.stanford.edu/kundaje/oak/projects/neuro-variants/variant_position/credible/roussos_2024/variant_figures/roussos_2024.adolescence.GLU/rs9996627_profile_position.png",4,220,900)</f>
        <v/>
      </c>
    </row>
    <row r="2938">
      <c r="A2938" t="inlineStr">
        <is>
          <t>chr4</t>
        </is>
      </c>
      <c r="B2938" t="n">
        <v>33742285</v>
      </c>
      <c r="C2938" t="inlineStr">
        <is>
          <t>T</t>
        </is>
      </c>
      <c r="D2938" t="inlineStr">
        <is>
          <t>C</t>
        </is>
      </c>
      <c r="E2938" t="inlineStr">
        <is>
          <t>rs7674046</t>
        </is>
      </c>
      <c r="F2938" t="n">
        <v>-0.008240146659999999</v>
      </c>
      <c r="G2938" t="n">
        <v>0.5667248276045311</v>
      </c>
      <c r="H2938" t="n">
        <v>0.014035460261785</v>
      </c>
      <c r="I2938" t="n">
        <v>0.2088958277282995</v>
      </c>
      <c r="J2938" t="n">
        <v>0.3432125225939658</v>
      </c>
      <c r="K2938" t="n">
        <v>0.2223164934931668</v>
      </c>
      <c r="L2938" t="b">
        <v>0</v>
      </c>
      <c r="M2938" t="b">
        <v>0</v>
      </c>
      <c r="N2938" t="inlineStr">
        <is>
          <t>ref</t>
        </is>
      </c>
      <c r="O2938" t="n">
        <v>-65</v>
      </c>
      <c r="P2938" t="n">
        <v>0.001644</v>
      </c>
      <c r="Q2938" t="n">
        <v>95</v>
      </c>
      <c r="R2938" t="n">
        <v>0.11926</v>
      </c>
      <c r="S2938">
        <f>IMAGE("https://mitra.stanford.edu/kundaje/oak/projects/neuro-variants/variant_position/credible/roussos_2024/variant_figures/roussos_2024.adolescence.GLU/rs7674046_count_position.png",4,220,900)</f>
        <v/>
      </c>
      <c r="T2938">
        <f>IMAGE("https://mitra.stanford.edu/kundaje/oak/projects/neuro-variants/variant_position/credible/roussos_2024/variant_figures/roussos_2024.adolescence.GLU/rs7674046_profile_position.png",4,220,900)</f>
        <v/>
      </c>
    </row>
    <row r="2939">
      <c r="A2939" t="inlineStr">
        <is>
          <t>chr4</t>
        </is>
      </c>
      <c r="B2939" t="n">
        <v>33744538</v>
      </c>
      <c r="C2939" t="inlineStr">
        <is>
          <t>T</t>
        </is>
      </c>
      <c r="D2939" t="inlineStr">
        <is>
          <t>C</t>
        </is>
      </c>
      <c r="E2939" t="inlineStr">
        <is>
          <t>rs13113238</t>
        </is>
      </c>
      <c r="F2939" t="n">
        <v>0.0551128443999999</v>
      </c>
      <c r="G2939" t="n">
        <v>0.0498183201942299</v>
      </c>
      <c r="H2939" t="n">
        <v>0.012220987025654</v>
      </c>
      <c r="I2939" t="n">
        <v>0.3302854367698714</v>
      </c>
      <c r="J2939" t="n">
        <v>0.0339470318851761</v>
      </c>
      <c r="K2939" t="n">
        <v>0.7550746240321106</v>
      </c>
      <c r="L2939" t="b">
        <v>0</v>
      </c>
      <c r="M2939" t="b">
        <v>0</v>
      </c>
      <c r="N2939" t="inlineStr">
        <is>
          <t>alt</t>
        </is>
      </c>
      <c r="O2939" t="n">
        <v>-90</v>
      </c>
      <c r="P2939" t="n">
        <v>0.005234</v>
      </c>
      <c r="Q2939" t="n">
        <v>-100</v>
      </c>
      <c r="R2939" t="n">
        <v>0.02536</v>
      </c>
      <c r="S2939">
        <f>IMAGE("https://mitra.stanford.edu/kundaje/oak/projects/neuro-variants/variant_position/credible/roussos_2024/variant_figures/roussos_2024.adolescence.GLU/rs13113238_count_position.png",4,220,900)</f>
        <v/>
      </c>
      <c r="T2939">
        <f>IMAGE("https://mitra.stanford.edu/kundaje/oak/projects/neuro-variants/variant_position/credible/roussos_2024/variant_figures/roussos_2024.adolescence.GLU/rs13113238_profile_position.png",4,220,900)</f>
        <v/>
      </c>
    </row>
    <row r="2940">
      <c r="A2940" t="inlineStr">
        <is>
          <t>chr4</t>
        </is>
      </c>
      <c r="B2940" t="n">
        <v>33745786</v>
      </c>
      <c r="C2940" t="inlineStr">
        <is>
          <t>A</t>
        </is>
      </c>
      <c r="D2940" t="inlineStr">
        <is>
          <t>G</t>
        </is>
      </c>
      <c r="E2940" t="inlineStr">
        <is>
          <t>rs7693464</t>
        </is>
      </c>
      <c r="F2940" t="n">
        <v>-0.0025872284</v>
      </c>
      <c r="G2940" t="n">
        <v>0.7415974981383638</v>
      </c>
      <c r="H2940" t="n">
        <v>0.008889836309797399</v>
      </c>
      <c r="I2940" t="n">
        <v>0.6732214606178084</v>
      </c>
      <c r="J2940" t="n">
        <v>0.0193840152603038</v>
      </c>
      <c r="K2940" t="n">
        <v>0.8194380893980103</v>
      </c>
      <c r="L2940" t="b">
        <v>0</v>
      </c>
      <c r="M2940" t="b">
        <v>0</v>
      </c>
      <c r="N2940" t="inlineStr">
        <is>
          <t>ref</t>
        </is>
      </c>
      <c r="O2940" t="n">
        <v>25</v>
      </c>
      <c r="P2940" t="n">
        <v>0.001732</v>
      </c>
      <c r="Q2940" t="n">
        <v>10</v>
      </c>
      <c r="R2940" t="n">
        <v>0.007202</v>
      </c>
      <c r="S2940">
        <f>IMAGE("https://mitra.stanford.edu/kundaje/oak/projects/neuro-variants/variant_position/credible/roussos_2024/variant_figures/roussos_2024.adolescence.GLU/rs7693464_count_position.png",4,220,900)</f>
        <v/>
      </c>
      <c r="T2940">
        <f>IMAGE("https://mitra.stanford.edu/kundaje/oak/projects/neuro-variants/variant_position/credible/roussos_2024/variant_figures/roussos_2024.adolescence.GLU/rs7693464_profile_position.png",4,220,900)</f>
        <v/>
      </c>
    </row>
    <row r="2941">
      <c r="A2941" t="inlineStr">
        <is>
          <t>chr4</t>
        </is>
      </c>
      <c r="B2941" t="n">
        <v>33746904</v>
      </c>
      <c r="C2941" t="inlineStr">
        <is>
          <t>A</t>
        </is>
      </c>
      <c r="D2941" t="inlineStr">
        <is>
          <t>C</t>
        </is>
      </c>
      <c r="E2941" t="inlineStr">
        <is>
          <t>rs1373494</t>
        </is>
      </c>
      <c r="F2941" t="n">
        <v>0.0001521818</v>
      </c>
      <c r="G2941" t="n">
        <v>0.4635674043888647</v>
      </c>
      <c r="H2941" t="n">
        <v>0.009905148869792799</v>
      </c>
      <c r="I2941" t="n">
        <v>0.5432346972588556</v>
      </c>
      <c r="J2941" t="n">
        <v>0.1292081931257188</v>
      </c>
      <c r="K2941" t="n">
        <v>0.5089066833898727</v>
      </c>
      <c r="L2941" t="b">
        <v>0</v>
      </c>
      <c r="M2941" t="b">
        <v>0</v>
      </c>
      <c r="N2941" t="inlineStr">
        <is>
          <t>alt</t>
        </is>
      </c>
      <c r="O2941" t="n">
        <v>100</v>
      </c>
      <c r="P2941" t="n">
        <v>0.02126</v>
      </c>
      <c r="Q2941" t="n">
        <v>70</v>
      </c>
      <c r="R2941" t="n">
        <v>0.05554</v>
      </c>
      <c r="S2941">
        <f>IMAGE("https://mitra.stanford.edu/kundaje/oak/projects/neuro-variants/variant_position/credible/roussos_2024/variant_figures/roussos_2024.adolescence.GLU/rs1373494_count_position.png",4,220,900)</f>
        <v/>
      </c>
      <c r="T2941">
        <f>IMAGE("https://mitra.stanford.edu/kundaje/oak/projects/neuro-variants/variant_position/credible/roussos_2024/variant_figures/roussos_2024.adolescence.GLU/rs1373494_profile_position.png",4,220,900)</f>
        <v/>
      </c>
    </row>
    <row r="2942">
      <c r="A2942" t="inlineStr">
        <is>
          <t>chr4</t>
        </is>
      </c>
      <c r="B2942" t="n">
        <v>33751346</v>
      </c>
      <c r="C2942" t="inlineStr">
        <is>
          <t>C</t>
        </is>
      </c>
      <c r="D2942" t="inlineStr">
        <is>
          <t>T</t>
        </is>
      </c>
      <c r="E2942" t="inlineStr">
        <is>
          <t>rs1822683</t>
        </is>
      </c>
      <c r="F2942" t="n">
        <v>-0.0065656335</v>
      </c>
      <c r="G2942" t="n">
        <v>0.6745452297847642</v>
      </c>
      <c r="H2942" t="n">
        <v>0.0116675474448367</v>
      </c>
      <c r="I2942" t="n">
        <v>0.3479611304430021</v>
      </c>
      <c r="J2942" t="n">
        <v>0.0050110380007286</v>
      </c>
      <c r="K2942" t="n">
        <v>0.921891620838122</v>
      </c>
      <c r="L2942" t="b">
        <v>0</v>
      </c>
      <c r="M2942" t="b">
        <v>0</v>
      </c>
      <c r="N2942" t="inlineStr">
        <is>
          <t>ref</t>
        </is>
      </c>
      <c r="O2942" t="n">
        <v>65</v>
      </c>
      <c r="P2942" t="n">
        <v>0.003548</v>
      </c>
      <c r="Q2942" t="n">
        <v>-95</v>
      </c>
      <c r="R2942" t="n">
        <v>0.03662</v>
      </c>
      <c r="S2942">
        <f>IMAGE("https://mitra.stanford.edu/kundaje/oak/projects/neuro-variants/variant_position/credible/roussos_2024/variant_figures/roussos_2024.adolescence.GLU/rs1822683_count_position.png",4,220,900)</f>
        <v/>
      </c>
      <c r="T2942">
        <f>IMAGE("https://mitra.stanford.edu/kundaje/oak/projects/neuro-variants/variant_position/credible/roussos_2024/variant_figures/roussos_2024.adolescence.GLU/rs1822683_profile_position.png",4,220,900)</f>
        <v/>
      </c>
    </row>
    <row r="2943">
      <c r="A2943" t="inlineStr">
        <is>
          <t>chr4</t>
        </is>
      </c>
      <c r="B2943" t="n">
        <v>33772700</v>
      </c>
      <c r="C2943" t="inlineStr">
        <is>
          <t>G</t>
        </is>
      </c>
      <c r="D2943" t="inlineStr">
        <is>
          <t>A</t>
        </is>
      </c>
      <c r="E2943" t="inlineStr">
        <is>
          <t>rs3863828</t>
        </is>
      </c>
      <c r="F2943" t="n">
        <v>0.01537360264</v>
      </c>
      <c r="G2943" t="n">
        <v>0.3574390484980799</v>
      </c>
      <c r="H2943" t="n">
        <v>0.007222398984248</v>
      </c>
      <c r="I2943" t="n">
        <v>0.891082318804202</v>
      </c>
      <c r="J2943" t="n">
        <v>0.0177979724371476</v>
      </c>
      <c r="K2943" t="n">
        <v>0.8286369065067365</v>
      </c>
      <c r="L2943" t="b">
        <v>0</v>
      </c>
      <c r="M2943" t="b">
        <v>0</v>
      </c>
      <c r="N2943" t="inlineStr">
        <is>
          <t>alt</t>
        </is>
      </c>
      <c r="O2943" t="n">
        <v>-80</v>
      </c>
      <c r="P2943" t="n">
        <v>0.00724</v>
      </c>
      <c r="Q2943" t="n">
        <v>40</v>
      </c>
      <c r="R2943" t="n">
        <v>0.05</v>
      </c>
      <c r="S2943">
        <f>IMAGE("https://mitra.stanford.edu/kundaje/oak/projects/neuro-variants/variant_position/credible/roussos_2024/variant_figures/roussos_2024.adolescence.GLU/rs3863828_count_position.png",4,220,900)</f>
        <v/>
      </c>
      <c r="T2943">
        <f>IMAGE("https://mitra.stanford.edu/kundaje/oak/projects/neuro-variants/variant_position/credible/roussos_2024/variant_figures/roussos_2024.adolescence.GLU/rs3863828_profile_position.png",4,220,900)</f>
        <v/>
      </c>
    </row>
    <row r="2944">
      <c r="A2944" t="inlineStr">
        <is>
          <t>chr4</t>
        </is>
      </c>
      <c r="B2944" t="n">
        <v>33778147</v>
      </c>
      <c r="C2944" t="inlineStr">
        <is>
          <t>A</t>
        </is>
      </c>
      <c r="D2944" t="inlineStr">
        <is>
          <t>G</t>
        </is>
      </c>
      <c r="E2944" t="inlineStr">
        <is>
          <t>rs28538874</t>
        </is>
      </c>
      <c r="F2944" t="n">
        <v>0.0179630114</v>
      </c>
      <c r="G2944" t="n">
        <v>0.3090591030476418</v>
      </c>
      <c r="H2944" t="n">
        <v>0.0139573679968187</v>
      </c>
      <c r="I2944" t="n">
        <v>0.2043070979523945</v>
      </c>
      <c r="J2944" t="n">
        <v>0.0001000207185773</v>
      </c>
      <c r="K2944" t="n">
        <v>0.995840863087352</v>
      </c>
      <c r="L2944" t="b">
        <v>0</v>
      </c>
      <c r="M2944" t="b">
        <v>0</v>
      </c>
      <c r="N2944" t="inlineStr">
        <is>
          <t>alt</t>
        </is>
      </c>
      <c r="O2944" t="n">
        <v>95</v>
      </c>
      <c r="P2944" t="n">
        <v>0.00801</v>
      </c>
      <c r="Q2944" t="n">
        <v>100</v>
      </c>
      <c r="R2944" t="n">
        <v>0.0921</v>
      </c>
      <c r="S2944">
        <f>IMAGE("https://mitra.stanford.edu/kundaje/oak/projects/neuro-variants/variant_position/credible/roussos_2024/variant_figures/roussos_2024.adolescence.GLU/rs28538874_count_position.png",4,220,900)</f>
        <v/>
      </c>
      <c r="T2944">
        <f>IMAGE("https://mitra.stanford.edu/kundaje/oak/projects/neuro-variants/variant_position/credible/roussos_2024/variant_figures/roussos_2024.adolescence.GLU/rs28538874_profile_position.png",4,220,900)</f>
        <v/>
      </c>
    </row>
    <row r="2945">
      <c r="A2945" t="inlineStr">
        <is>
          <t>chr4</t>
        </is>
      </c>
      <c r="B2945" t="n">
        <v>33793271</v>
      </c>
      <c r="C2945" t="inlineStr">
        <is>
          <t>C</t>
        </is>
      </c>
      <c r="D2945" t="inlineStr">
        <is>
          <t>T</t>
        </is>
      </c>
      <c r="E2945" t="inlineStr">
        <is>
          <t>rs66770627</t>
        </is>
      </c>
      <c r="F2945" t="n">
        <v>-0.00158601578</v>
      </c>
      <c r="G2945" t="n">
        <v>0.8530235052151743</v>
      </c>
      <c r="H2945" t="n">
        <v>0.0169893128137345</v>
      </c>
      <c r="I2945" t="n">
        <v>0.1052342120062043</v>
      </c>
      <c r="J2945" t="n">
        <v>0.0241692922105292</v>
      </c>
      <c r="K2945" t="n">
        <v>0.7991462206638316</v>
      </c>
      <c r="L2945" t="b">
        <v>0</v>
      </c>
      <c r="M2945" t="b">
        <v>0</v>
      </c>
      <c r="N2945" t="inlineStr">
        <is>
          <t>ref</t>
        </is>
      </c>
      <c r="O2945" t="n">
        <v>-100</v>
      </c>
      <c r="P2945" t="n">
        <v>0.03754</v>
      </c>
      <c r="Q2945" t="n">
        <v>-100</v>
      </c>
      <c r="R2945" t="n">
        <v>0.05225</v>
      </c>
      <c r="S2945">
        <f>IMAGE("https://mitra.stanford.edu/kundaje/oak/projects/neuro-variants/variant_position/credible/roussos_2024/variant_figures/roussos_2024.adolescence.GLU/rs66770627_count_position.png",4,220,900)</f>
        <v/>
      </c>
      <c r="T2945">
        <f>IMAGE("https://mitra.stanford.edu/kundaje/oak/projects/neuro-variants/variant_position/credible/roussos_2024/variant_figures/roussos_2024.adolescence.GLU/rs66770627_profile_position.png",4,220,900)</f>
        <v/>
      </c>
    </row>
    <row r="2946">
      <c r="A2946" t="inlineStr">
        <is>
          <t>chr4</t>
        </is>
      </c>
      <c r="B2946" t="n">
        <v>33797580</v>
      </c>
      <c r="C2946" t="inlineStr">
        <is>
          <t>C</t>
        </is>
      </c>
      <c r="D2946" t="inlineStr">
        <is>
          <t>T</t>
        </is>
      </c>
      <c r="E2946" t="inlineStr">
        <is>
          <t>rs6832462</t>
        </is>
      </c>
      <c r="F2946" t="n">
        <v>-0.06325312380000001</v>
      </c>
      <c r="G2946" t="n">
        <v>0.038076013916992</v>
      </c>
      <c r="H2946" t="n">
        <v>0.0177874162719467</v>
      </c>
      <c r="I2946" t="n">
        <v>0.0995595073597742</v>
      </c>
      <c r="J2946" t="n">
        <v>0.002337627079895</v>
      </c>
      <c r="K2946" t="n">
        <v>0.9527744189495772</v>
      </c>
      <c r="L2946" t="b">
        <v>0</v>
      </c>
      <c r="M2946" t="b">
        <v>0</v>
      </c>
      <c r="N2946" t="inlineStr">
        <is>
          <t>ref</t>
        </is>
      </c>
      <c r="O2946" t="n">
        <v>-5</v>
      </c>
      <c r="P2946" t="n">
        <v>0.0003052</v>
      </c>
      <c r="Q2946" t="n">
        <v>100</v>
      </c>
      <c r="R2946" t="n">
        <v>0.01489</v>
      </c>
      <c r="S2946">
        <f>IMAGE("https://mitra.stanford.edu/kundaje/oak/projects/neuro-variants/variant_position/credible/roussos_2024/variant_figures/roussos_2024.adolescence.GLU/rs6832462_count_position.png",4,220,900)</f>
        <v/>
      </c>
      <c r="T2946">
        <f>IMAGE("https://mitra.stanford.edu/kundaje/oak/projects/neuro-variants/variant_position/credible/roussos_2024/variant_figures/roussos_2024.adolescence.GLU/rs6832462_profile_position.png",4,220,900)</f>
        <v/>
      </c>
    </row>
    <row r="2947">
      <c r="A2947" t="inlineStr">
        <is>
          <t>chr4</t>
        </is>
      </c>
      <c r="B2947" t="n">
        <v>33804523</v>
      </c>
      <c r="C2947" t="inlineStr">
        <is>
          <t>A</t>
        </is>
      </c>
      <c r="D2947" t="inlineStr">
        <is>
          <t>G</t>
        </is>
      </c>
      <c r="E2947" t="inlineStr">
        <is>
          <t>rs59554896</t>
        </is>
      </c>
      <c r="F2947" t="n">
        <v>-0.0003137032987999</v>
      </c>
      <c r="G2947" t="n">
        <v>0.7729905015208751</v>
      </c>
      <c r="H2947" t="n">
        <v>0.0131315662655742</v>
      </c>
      <c r="I2947" t="n">
        <v>0.2613377692254572</v>
      </c>
      <c r="J2947" t="n">
        <v>0.0099363439569624</v>
      </c>
      <c r="K2947" t="n">
        <v>0.8849981599570944</v>
      </c>
      <c r="L2947" t="b">
        <v>0</v>
      </c>
      <c r="M2947" t="b">
        <v>0</v>
      </c>
      <c r="N2947" t="inlineStr">
        <is>
          <t>ref</t>
        </is>
      </c>
      <c r="O2947" t="n">
        <v>-30</v>
      </c>
      <c r="P2947" t="n">
        <v>0.001579</v>
      </c>
      <c r="Q2947" t="n">
        <v>100</v>
      </c>
      <c r="R2947" t="n">
        <v>0.07086000000000001</v>
      </c>
      <c r="S2947">
        <f>IMAGE("https://mitra.stanford.edu/kundaje/oak/projects/neuro-variants/variant_position/credible/roussos_2024/variant_figures/roussos_2024.adolescence.GLU/rs59554896_count_position.png",4,220,900)</f>
        <v/>
      </c>
      <c r="T2947">
        <f>IMAGE("https://mitra.stanford.edu/kundaje/oak/projects/neuro-variants/variant_position/credible/roussos_2024/variant_figures/roussos_2024.adolescence.GLU/rs59554896_profile_position.png",4,220,900)</f>
        <v/>
      </c>
    </row>
    <row r="2948">
      <c r="A2948" t="inlineStr">
        <is>
          <t>chr4</t>
        </is>
      </c>
      <c r="B2948" t="n">
        <v>33805577</v>
      </c>
      <c r="C2948" t="inlineStr">
        <is>
          <t>C</t>
        </is>
      </c>
      <c r="D2948" t="inlineStr">
        <is>
          <t>A</t>
        </is>
      </c>
      <c r="E2948" t="inlineStr">
        <is>
          <t>rs67910708</t>
        </is>
      </c>
      <c r="F2948" t="n">
        <v>0.01594404693</v>
      </c>
      <c r="G2948" t="n">
        <v>0.3675606026860379</v>
      </c>
      <c r="H2948" t="n">
        <v>0.022935921841148</v>
      </c>
      <c r="I2948" t="n">
        <v>0.0309838289321921</v>
      </c>
      <c r="J2948" t="n">
        <v>0.0875781411863885</v>
      </c>
      <c r="K2948" t="n">
        <v>0.6009958887600999</v>
      </c>
      <c r="L2948" t="b">
        <v>0</v>
      </c>
      <c r="M2948" t="b">
        <v>0</v>
      </c>
      <c r="N2948" t="inlineStr">
        <is>
          <t>alt</t>
        </is>
      </c>
      <c r="O2948" t="n">
        <v>100</v>
      </c>
      <c r="P2948" t="n">
        <v>0.009735000000000001</v>
      </c>
      <c r="Q2948" t="n">
        <v>100</v>
      </c>
      <c r="R2948" t="n">
        <v>0.063</v>
      </c>
      <c r="S2948">
        <f>IMAGE("https://mitra.stanford.edu/kundaje/oak/projects/neuro-variants/variant_position/credible/roussos_2024/variant_figures/roussos_2024.adolescence.GLU/rs67910708_count_position.png",4,220,900)</f>
        <v/>
      </c>
      <c r="T2948">
        <f>IMAGE("https://mitra.stanford.edu/kundaje/oak/projects/neuro-variants/variant_position/credible/roussos_2024/variant_figures/roussos_2024.adolescence.GLU/rs67910708_profile_position.png",4,220,900)</f>
        <v/>
      </c>
    </row>
    <row r="2949">
      <c r="A2949" t="inlineStr">
        <is>
          <t>chr4</t>
        </is>
      </c>
      <c r="B2949" t="n">
        <v>33806081</v>
      </c>
      <c r="C2949" t="inlineStr">
        <is>
          <t>G</t>
        </is>
      </c>
      <c r="D2949" t="inlineStr">
        <is>
          <t>A</t>
        </is>
      </c>
      <c r="E2949" t="inlineStr">
        <is>
          <t>rs58656292</t>
        </is>
      </c>
      <c r="F2949" t="n">
        <v>0.015550658308</v>
      </c>
      <c r="G2949" t="n">
        <v>0.2467455810133823</v>
      </c>
      <c r="H2949" t="n">
        <v>0.018210770902561</v>
      </c>
      <c r="I2949" t="n">
        <v>0.1127906273554147</v>
      </c>
      <c r="J2949" t="n">
        <v>0.1563923955676532</v>
      </c>
      <c r="K2949" t="n">
        <v>0.4605956132711901</v>
      </c>
      <c r="L2949" t="b">
        <v>0</v>
      </c>
      <c r="M2949" t="b">
        <v>0</v>
      </c>
      <c r="N2949" t="inlineStr">
        <is>
          <t>alt</t>
        </is>
      </c>
      <c r="O2949" t="n">
        <v>0</v>
      </c>
      <c r="P2949" t="n">
        <v>0</v>
      </c>
      <c r="Q2949" t="n">
        <v>-85</v>
      </c>
      <c r="R2949" t="n">
        <v>0.0567</v>
      </c>
      <c r="S2949">
        <f>IMAGE("https://mitra.stanford.edu/kundaje/oak/projects/neuro-variants/variant_position/credible/roussos_2024/variant_figures/roussos_2024.adolescence.GLU/rs58656292_count_position.png",4,220,900)</f>
        <v/>
      </c>
      <c r="T2949">
        <f>IMAGE("https://mitra.stanford.edu/kundaje/oak/projects/neuro-variants/variant_position/credible/roussos_2024/variant_figures/roussos_2024.adolescence.GLU/rs58656292_profile_position.png",4,220,900)</f>
        <v/>
      </c>
    </row>
    <row r="2950">
      <c r="A2950" t="inlineStr">
        <is>
          <t>chr4</t>
        </is>
      </c>
      <c r="B2950" t="n">
        <v>33808769</v>
      </c>
      <c r="C2950" t="inlineStr">
        <is>
          <t>A</t>
        </is>
      </c>
      <c r="D2950" t="inlineStr">
        <is>
          <t>C</t>
        </is>
      </c>
      <c r="E2950" t="inlineStr">
        <is>
          <t>rs13104973</t>
        </is>
      </c>
      <c r="F2950" t="n">
        <v>0.00240650426</v>
      </c>
      <c r="G2950" t="n">
        <v>0.5147271373232468</v>
      </c>
      <c r="H2950" t="n">
        <v>0.008712440433317099</v>
      </c>
      <c r="I2950" t="n">
        <v>0.7026732355661089</v>
      </c>
      <c r="J2950" t="n">
        <v>0.0188767673303755</v>
      </c>
      <c r="K2950" t="n">
        <v>0.829310079972048</v>
      </c>
      <c r="L2950" t="b">
        <v>0</v>
      </c>
      <c r="M2950" t="b">
        <v>0</v>
      </c>
      <c r="N2950" t="inlineStr">
        <is>
          <t>alt</t>
        </is>
      </c>
      <c r="O2950" t="n">
        <v>20</v>
      </c>
      <c r="P2950" t="n">
        <v>0.00103</v>
      </c>
      <c r="Q2950" t="n">
        <v>15</v>
      </c>
      <c r="R2950" t="n">
        <v>0.04108</v>
      </c>
      <c r="S2950">
        <f>IMAGE("https://mitra.stanford.edu/kundaje/oak/projects/neuro-variants/variant_position/credible/roussos_2024/variant_figures/roussos_2024.adolescence.GLU/rs13104973_count_position.png",4,220,900)</f>
        <v/>
      </c>
      <c r="T2950">
        <f>IMAGE("https://mitra.stanford.edu/kundaje/oak/projects/neuro-variants/variant_position/credible/roussos_2024/variant_figures/roussos_2024.adolescence.GLU/rs13104973_profile_position.png",4,220,900)</f>
        <v/>
      </c>
    </row>
    <row r="2951">
      <c r="A2951" t="inlineStr">
        <is>
          <t>chr4</t>
        </is>
      </c>
      <c r="B2951" t="n">
        <v>33817320</v>
      </c>
      <c r="C2951" t="inlineStr">
        <is>
          <t>T</t>
        </is>
      </c>
      <c r="D2951" t="inlineStr">
        <is>
          <t>C</t>
        </is>
      </c>
      <c r="E2951" t="inlineStr">
        <is>
          <t>rs3910837</t>
        </is>
      </c>
      <c r="F2951" t="n">
        <v>0.0101418419399999</v>
      </c>
      <c r="G2951" t="n">
        <v>0.4936249692773982</v>
      </c>
      <c r="H2951" t="n">
        <v>0.0159066383735971</v>
      </c>
      <c r="I2951" t="n">
        <v>0.132020293706056</v>
      </c>
      <c r="J2951" t="n">
        <v>0.06844703545734469</v>
      </c>
      <c r="K2951" t="n">
        <v>0.6422582694045923</v>
      </c>
      <c r="L2951" t="b">
        <v>0</v>
      </c>
      <c r="M2951" t="b">
        <v>0</v>
      </c>
      <c r="N2951" t="inlineStr">
        <is>
          <t>alt</t>
        </is>
      </c>
      <c r="O2951" t="n">
        <v>100</v>
      </c>
      <c r="P2951" t="n">
        <v>0.00644</v>
      </c>
      <c r="Q2951" t="n">
        <v>75</v>
      </c>
      <c r="R2951" t="n">
        <v>0.07983</v>
      </c>
      <c r="S2951">
        <f>IMAGE("https://mitra.stanford.edu/kundaje/oak/projects/neuro-variants/variant_position/credible/roussos_2024/variant_figures/roussos_2024.adolescence.GLU/rs3910837_count_position.png",4,220,900)</f>
        <v/>
      </c>
      <c r="T2951">
        <f>IMAGE("https://mitra.stanford.edu/kundaje/oak/projects/neuro-variants/variant_position/credible/roussos_2024/variant_figures/roussos_2024.adolescence.GLU/rs3910837_profile_position.png",4,220,900)</f>
        <v/>
      </c>
    </row>
    <row r="2952">
      <c r="A2952" t="inlineStr">
        <is>
          <t>chr4</t>
        </is>
      </c>
      <c r="B2952" t="n">
        <v>33820204</v>
      </c>
      <c r="C2952" t="inlineStr">
        <is>
          <t>T</t>
        </is>
      </c>
      <c r="D2952" t="inlineStr">
        <is>
          <t>G</t>
        </is>
      </c>
      <c r="E2952" t="inlineStr">
        <is>
          <t>rs7689692</t>
        </is>
      </c>
      <c r="F2952" t="n">
        <v>0.00492071728</v>
      </c>
      <c r="G2952" t="n">
        <v>0.7031254848842351</v>
      </c>
      <c r="H2952" t="n">
        <v>0.018326311551687</v>
      </c>
      <c r="I2952" t="n">
        <v>0.0798053144723206</v>
      </c>
      <c r="J2952" t="n">
        <v>0.002584821141522</v>
      </c>
      <c r="K2952" t="n">
        <v>0.9471233717780886</v>
      </c>
      <c r="L2952" t="b">
        <v>0</v>
      </c>
      <c r="M2952" t="b">
        <v>0</v>
      </c>
      <c r="N2952" t="inlineStr">
        <is>
          <t>alt</t>
        </is>
      </c>
      <c r="O2952" t="n">
        <v>85</v>
      </c>
      <c r="P2952" t="n">
        <v>0.003813</v>
      </c>
      <c r="Q2952" t="n">
        <v>5</v>
      </c>
      <c r="R2952" t="n">
        <v>0.004578</v>
      </c>
      <c r="S2952">
        <f>IMAGE("https://mitra.stanford.edu/kundaje/oak/projects/neuro-variants/variant_position/credible/roussos_2024/variant_figures/roussos_2024.adolescence.GLU/rs7689692_count_position.png",4,220,900)</f>
        <v/>
      </c>
      <c r="T2952">
        <f>IMAGE("https://mitra.stanford.edu/kundaje/oak/projects/neuro-variants/variant_position/credible/roussos_2024/variant_figures/roussos_2024.adolescence.GLU/rs7689692_profile_position.png",4,220,900)</f>
        <v/>
      </c>
    </row>
    <row r="2953">
      <c r="A2953" t="inlineStr">
        <is>
          <t>chr4</t>
        </is>
      </c>
      <c r="B2953" t="n">
        <v>33881744</v>
      </c>
      <c r="C2953" t="inlineStr">
        <is>
          <t>T</t>
        </is>
      </c>
      <c r="D2953" t="inlineStr">
        <is>
          <t>C</t>
        </is>
      </c>
      <c r="E2953" t="inlineStr">
        <is>
          <t>rs10008587</t>
        </is>
      </c>
      <c r="F2953" t="n">
        <v>0.0601446464</v>
      </c>
      <c r="G2953" t="n">
        <v>0.0453685014682388</v>
      </c>
      <c r="H2953" t="n">
        <v>0.0103084415425431</v>
      </c>
      <c r="I2953" t="n">
        <v>0.5019462824827486</v>
      </c>
      <c r="J2953" t="n">
        <v>0.137712811939616</v>
      </c>
      <c r="K2953" t="n">
        <v>0.5003226056788579</v>
      </c>
      <c r="L2953" t="b">
        <v>0</v>
      </c>
      <c r="M2953" t="b">
        <v>0</v>
      </c>
      <c r="N2953" t="inlineStr">
        <is>
          <t>alt</t>
        </is>
      </c>
      <c r="O2953" t="n">
        <v>-85</v>
      </c>
      <c r="P2953" t="n">
        <v>0.01135</v>
      </c>
      <c r="Q2953" t="n">
        <v>20</v>
      </c>
      <c r="R2953" t="n">
        <v>0.003235</v>
      </c>
      <c r="S2953">
        <f>IMAGE("https://mitra.stanford.edu/kundaje/oak/projects/neuro-variants/variant_position/credible/roussos_2024/variant_figures/roussos_2024.adolescence.GLU/rs10008587_count_position.png",4,220,900)</f>
        <v/>
      </c>
      <c r="T2953">
        <f>IMAGE("https://mitra.stanford.edu/kundaje/oak/projects/neuro-variants/variant_position/credible/roussos_2024/variant_figures/roussos_2024.adolescence.GLU/rs10008587_profile_position.png",4,220,900)</f>
        <v/>
      </c>
    </row>
    <row r="2954">
      <c r="A2954" t="inlineStr">
        <is>
          <t>chr4</t>
        </is>
      </c>
      <c r="B2954" t="n">
        <v>33911934</v>
      </c>
      <c r="C2954" t="inlineStr">
        <is>
          <t>C</t>
        </is>
      </c>
      <c r="D2954" t="inlineStr">
        <is>
          <t>A</t>
        </is>
      </c>
      <c r="E2954" t="inlineStr">
        <is>
          <t>rs12640723</t>
        </is>
      </c>
      <c r="F2954" t="n">
        <v>0.0005117137399999</v>
      </c>
      <c r="G2954" t="n">
        <v>0.8209762066783517</v>
      </c>
      <c r="H2954" t="n">
        <v>0.0201291682083464</v>
      </c>
      <c r="I2954" t="n">
        <v>0.0541611902674511</v>
      </c>
      <c r="J2954" t="n">
        <v>0.0678469111458801</v>
      </c>
      <c r="K2954" t="n">
        <v>0.6462205099066797</v>
      </c>
      <c r="L2954" t="b">
        <v>0</v>
      </c>
      <c r="M2954" t="b">
        <v>0</v>
      </c>
      <c r="N2954" t="inlineStr">
        <is>
          <t>alt</t>
        </is>
      </c>
      <c r="O2954" t="n">
        <v>100</v>
      </c>
      <c r="P2954" t="n">
        <v>0.03592</v>
      </c>
      <c r="Q2954" t="n">
        <v>100</v>
      </c>
      <c r="R2954" t="n">
        <v>0.2598</v>
      </c>
      <c r="S2954">
        <f>IMAGE("https://mitra.stanford.edu/kundaje/oak/projects/neuro-variants/variant_position/credible/roussos_2024/variant_figures/roussos_2024.adolescence.GLU/rs12640723_count_position.png",4,220,900)</f>
        <v/>
      </c>
      <c r="T2954">
        <f>IMAGE("https://mitra.stanford.edu/kundaje/oak/projects/neuro-variants/variant_position/credible/roussos_2024/variant_figures/roussos_2024.adolescence.GLU/rs12640723_profile_position.png",4,220,900)</f>
        <v/>
      </c>
    </row>
    <row r="2955">
      <c r="A2955" t="inlineStr">
        <is>
          <t>chr4</t>
        </is>
      </c>
      <c r="B2955" t="n">
        <v>33920005</v>
      </c>
      <c r="C2955" t="inlineStr">
        <is>
          <t>T</t>
        </is>
      </c>
      <c r="D2955" t="inlineStr">
        <is>
          <t>G</t>
        </is>
      </c>
      <c r="E2955" t="inlineStr">
        <is>
          <t>rs7683507</t>
        </is>
      </c>
      <c r="F2955" t="n">
        <v>-0.004584690136</v>
      </c>
      <c r="G2955" t="n">
        <v>0.7120842733260947</v>
      </c>
      <c r="H2955" t="n">
        <v>0.0256857616167913</v>
      </c>
      <c r="I2955" t="n">
        <v>0.0178772065605528</v>
      </c>
      <c r="J2955" t="n">
        <v>0.0790235120132026</v>
      </c>
      <c r="K2955" t="n">
        <v>0.6192135180555509</v>
      </c>
      <c r="L2955" t="b">
        <v>1</v>
      </c>
      <c r="M2955" t="b">
        <v>0</v>
      </c>
      <c r="N2955" t="inlineStr">
        <is>
          <t>ref</t>
        </is>
      </c>
      <c r="O2955" t="n">
        <v>75</v>
      </c>
      <c r="P2955" t="n">
        <v>0.002546</v>
      </c>
      <c r="Q2955" t="n">
        <v>55</v>
      </c>
      <c r="R2955" t="n">
        <v>0.01935</v>
      </c>
      <c r="S2955">
        <f>IMAGE("https://mitra.stanford.edu/kundaje/oak/projects/neuro-variants/variant_position/credible/roussos_2024/variant_figures/roussos_2024.adolescence.GLU/rs7683507_count_position.png",4,220,900)</f>
        <v/>
      </c>
      <c r="T2955">
        <f>IMAGE("https://mitra.stanford.edu/kundaje/oak/projects/neuro-variants/variant_position/credible/roussos_2024/variant_figures/roussos_2024.adolescence.GLU/rs7683507_profile_position.png",4,220,900)</f>
        <v/>
      </c>
    </row>
    <row r="2956">
      <c r="A2956" t="inlineStr">
        <is>
          <t>chr4</t>
        </is>
      </c>
      <c r="B2956" t="n">
        <v>33935499</v>
      </c>
      <c r="C2956" t="inlineStr">
        <is>
          <t>G</t>
        </is>
      </c>
      <c r="D2956" t="inlineStr">
        <is>
          <t>A</t>
        </is>
      </c>
      <c r="E2956" t="inlineStr">
        <is>
          <t>rs28691127</t>
        </is>
      </c>
      <c r="F2956" t="n">
        <v>-0.00112631644</v>
      </c>
      <c r="G2956" t="n">
        <v>0.77492725555449</v>
      </c>
      <c r="H2956" t="n">
        <v>0.0235339856422452</v>
      </c>
      <c r="I2956" t="n">
        <v>0.0274655642788125</v>
      </c>
      <c r="J2956" t="n">
        <v>0.0389709296925791</v>
      </c>
      <c r="K2956" t="n">
        <v>0.7355829234672133</v>
      </c>
      <c r="L2956" t="b">
        <v>0</v>
      </c>
      <c r="M2956" t="b">
        <v>0</v>
      </c>
      <c r="N2956" t="inlineStr">
        <is>
          <t>ref</t>
        </is>
      </c>
      <c r="O2956" t="n">
        <v>-100</v>
      </c>
      <c r="P2956" t="n">
        <v>0.009476</v>
      </c>
      <c r="Q2956" t="n">
        <v>80</v>
      </c>
      <c r="R2956" t="n">
        <v>0.02267</v>
      </c>
      <c r="S2956">
        <f>IMAGE("https://mitra.stanford.edu/kundaje/oak/projects/neuro-variants/variant_position/credible/roussos_2024/variant_figures/roussos_2024.adolescence.GLU/rs28691127_count_position.png",4,220,900)</f>
        <v/>
      </c>
      <c r="T2956">
        <f>IMAGE("https://mitra.stanford.edu/kundaje/oak/projects/neuro-variants/variant_position/credible/roussos_2024/variant_figures/roussos_2024.adolescence.GLU/rs28691127_profile_position.png",4,220,900)</f>
        <v/>
      </c>
    </row>
    <row r="2957">
      <c r="A2957" t="inlineStr">
        <is>
          <t>chr4</t>
        </is>
      </c>
      <c r="B2957" t="n">
        <v>33965964</v>
      </c>
      <c r="C2957" t="inlineStr">
        <is>
          <t>C</t>
        </is>
      </c>
      <c r="D2957" t="inlineStr">
        <is>
          <t>A</t>
        </is>
      </c>
      <c r="E2957" t="inlineStr">
        <is>
          <t>rs16989276</t>
        </is>
      </c>
      <c r="F2957" t="n">
        <v>-0.0002645959439999</v>
      </c>
      <c r="G2957" t="n">
        <v>0.7507132329789076</v>
      </c>
      <c r="H2957" t="n">
        <v>0.0097376348459647</v>
      </c>
      <c r="I2957" t="n">
        <v>0.5482149480739533</v>
      </c>
      <c r="J2957" t="n">
        <v>0.0041251402076144</v>
      </c>
      <c r="K2957" t="n">
        <v>0.9307267736047103</v>
      </c>
      <c r="L2957" t="b">
        <v>0</v>
      </c>
      <c r="M2957" t="b">
        <v>0</v>
      </c>
      <c r="N2957" t="inlineStr">
        <is>
          <t>ref</t>
        </is>
      </c>
      <c r="O2957" t="n">
        <v>65</v>
      </c>
      <c r="P2957" t="n">
        <v>0.01335</v>
      </c>
      <c r="Q2957" t="n">
        <v>60</v>
      </c>
      <c r="R2957" t="n">
        <v>0.06055</v>
      </c>
      <c r="S2957">
        <f>IMAGE("https://mitra.stanford.edu/kundaje/oak/projects/neuro-variants/variant_position/credible/roussos_2024/variant_figures/roussos_2024.adolescence.GLU/rs16989276_count_position.png",4,220,900)</f>
        <v/>
      </c>
      <c r="T2957">
        <f>IMAGE("https://mitra.stanford.edu/kundaje/oak/projects/neuro-variants/variant_position/credible/roussos_2024/variant_figures/roussos_2024.adolescence.GLU/rs16989276_profile_position.png",4,220,900)</f>
        <v/>
      </c>
    </row>
    <row r="2958">
      <c r="A2958" t="inlineStr">
        <is>
          <t>chr4</t>
        </is>
      </c>
      <c r="B2958" t="n">
        <v>33967089</v>
      </c>
      <c r="C2958" t="inlineStr">
        <is>
          <t>G</t>
        </is>
      </c>
      <c r="D2958" t="inlineStr">
        <is>
          <t>A</t>
        </is>
      </c>
      <c r="E2958" t="inlineStr">
        <is>
          <t>rs34920686</t>
        </is>
      </c>
      <c r="F2958" t="n">
        <v>-0.0437473716</v>
      </c>
      <c r="G2958" t="n">
        <v>0.0910000466030333</v>
      </c>
      <c r="H2958" t="n">
        <v>0.0102822305546572</v>
      </c>
      <c r="I2958" t="n">
        <v>0.47617630024702</v>
      </c>
      <c r="J2958" t="n">
        <v>0.0058740739153109</v>
      </c>
      <c r="K2958" t="n">
        <v>0.9128142122510056</v>
      </c>
      <c r="L2958" t="b">
        <v>0</v>
      </c>
      <c r="M2958" t="b">
        <v>0</v>
      </c>
      <c r="N2958" t="inlineStr">
        <is>
          <t>ref</t>
        </is>
      </c>
      <c r="O2958" t="n">
        <v>25</v>
      </c>
      <c r="P2958" t="n">
        <v>0.0008545</v>
      </c>
      <c r="Q2958" t="n">
        <v>95</v>
      </c>
      <c r="R2958" t="n">
        <v>0.1229</v>
      </c>
      <c r="S2958">
        <f>IMAGE("https://mitra.stanford.edu/kundaje/oak/projects/neuro-variants/variant_position/credible/roussos_2024/variant_figures/roussos_2024.adolescence.GLU/rs34920686_count_position.png",4,220,900)</f>
        <v/>
      </c>
      <c r="T2958">
        <f>IMAGE("https://mitra.stanford.edu/kundaje/oak/projects/neuro-variants/variant_position/credible/roussos_2024/variant_figures/roussos_2024.adolescence.GLU/rs34920686_profile_position.png",4,220,900)</f>
        <v/>
      </c>
    </row>
    <row r="2959">
      <c r="A2959" t="inlineStr">
        <is>
          <t>chr4</t>
        </is>
      </c>
      <c r="B2959" t="n">
        <v>33973377</v>
      </c>
      <c r="C2959" t="inlineStr">
        <is>
          <t>C</t>
        </is>
      </c>
      <c r="D2959" t="inlineStr">
        <is>
          <t>T</t>
        </is>
      </c>
      <c r="E2959" t="inlineStr">
        <is>
          <t>rs6814473</t>
        </is>
      </c>
      <c r="F2959" t="n">
        <v>-0.011512643</v>
      </c>
      <c r="G2959" t="n">
        <v>0.4868285065314596</v>
      </c>
      <c r="H2959" t="n">
        <v>0.009397142852785201</v>
      </c>
      <c r="I2959" t="n">
        <v>0.6103639728704592</v>
      </c>
      <c r="J2959" t="n">
        <v>0.0561516314093633</v>
      </c>
      <c r="K2959" t="n">
        <v>0.6789216069230686</v>
      </c>
      <c r="L2959" t="b">
        <v>0</v>
      </c>
      <c r="M2959" t="b">
        <v>0</v>
      </c>
      <c r="N2959" t="inlineStr">
        <is>
          <t>ref</t>
        </is>
      </c>
      <c r="O2959" t="n">
        <v>-100</v>
      </c>
      <c r="P2959" t="n">
        <v>0.01355</v>
      </c>
      <c r="Q2959" t="n">
        <v>-100</v>
      </c>
      <c r="R2959" t="n">
        <v>0.07480000000000001</v>
      </c>
      <c r="S2959">
        <f>IMAGE("https://mitra.stanford.edu/kundaje/oak/projects/neuro-variants/variant_position/credible/roussos_2024/variant_figures/roussos_2024.adolescence.GLU/rs6814473_count_position.png",4,220,900)</f>
        <v/>
      </c>
      <c r="T2959">
        <f>IMAGE("https://mitra.stanford.edu/kundaje/oak/projects/neuro-variants/variant_position/credible/roussos_2024/variant_figures/roussos_2024.adolescence.GLU/rs6814473_profile_position.png",4,220,900)</f>
        <v/>
      </c>
    </row>
    <row r="2960">
      <c r="A2960" t="inlineStr">
        <is>
          <t>chr4</t>
        </is>
      </c>
      <c r="B2960" t="n">
        <v>34012097</v>
      </c>
      <c r="C2960" t="inlineStr">
        <is>
          <t>T</t>
        </is>
      </c>
      <c r="D2960" t="inlineStr">
        <is>
          <t>C</t>
        </is>
      </c>
      <c r="E2960" t="inlineStr">
        <is>
          <t>rs35883430</t>
        </is>
      </c>
      <c r="F2960" t="n">
        <v>0.0042786311799999</v>
      </c>
      <c r="G2960" t="n">
        <v>0.7272714350857211</v>
      </c>
      <c r="H2960" t="n">
        <v>0.0173060433377316</v>
      </c>
      <c r="I2960" t="n">
        <v>0.09908463443431929</v>
      </c>
      <c r="J2960" t="n">
        <v>0.0255810132098791</v>
      </c>
      <c r="K2960" t="n">
        <v>0.7918476761035538</v>
      </c>
      <c r="L2960" t="b">
        <v>0</v>
      </c>
      <c r="M2960" t="b">
        <v>0</v>
      </c>
      <c r="N2960" t="inlineStr">
        <is>
          <t>alt</t>
        </is>
      </c>
      <c r="O2960" t="n">
        <v>60</v>
      </c>
      <c r="P2960" t="n">
        <v>0.0004272</v>
      </c>
      <c r="Q2960" t="n">
        <v>100</v>
      </c>
      <c r="R2960" t="n">
        <v>0.002563</v>
      </c>
      <c r="S2960">
        <f>IMAGE("https://mitra.stanford.edu/kundaje/oak/projects/neuro-variants/variant_position/credible/roussos_2024/variant_figures/roussos_2024.adolescence.GLU/rs35883430_count_position.png",4,220,900)</f>
        <v/>
      </c>
      <c r="T2960">
        <f>IMAGE("https://mitra.stanford.edu/kundaje/oak/projects/neuro-variants/variant_position/credible/roussos_2024/variant_figures/roussos_2024.adolescence.GLU/rs35883430_profile_position.png",4,220,900)</f>
        <v/>
      </c>
    </row>
    <row r="2961">
      <c r="A2961" t="inlineStr">
        <is>
          <t>chr4</t>
        </is>
      </c>
      <c r="B2961" t="n">
        <v>34022109</v>
      </c>
      <c r="C2961" t="inlineStr">
        <is>
          <t>C</t>
        </is>
      </c>
      <c r="D2961" t="inlineStr">
        <is>
          <t>G</t>
        </is>
      </c>
      <c r="E2961" t="inlineStr">
        <is>
          <t>rs7665880</t>
        </is>
      </c>
      <c r="F2961" t="n">
        <v>-0.06964205900000001</v>
      </c>
      <c r="G2961" t="n">
        <v>0.0407694675439824</v>
      </c>
      <c r="H2961" t="n">
        <v>0.0214122302670306</v>
      </c>
      <c r="I2961" t="n">
        <v>0.07561908008133759</v>
      </c>
      <c r="J2961" t="n">
        <v>0.1745490137242714</v>
      </c>
      <c r="K2961" t="n">
        <v>0.4345045177660882</v>
      </c>
      <c r="L2961" t="b">
        <v>0</v>
      </c>
      <c r="M2961" t="b">
        <v>0</v>
      </c>
      <c r="N2961" t="inlineStr">
        <is>
          <t>ref</t>
        </is>
      </c>
      <c r="O2961" t="n">
        <v>85</v>
      </c>
      <c r="P2961" t="n">
        <v>0.00586</v>
      </c>
      <c r="Q2961" t="n">
        <v>90</v>
      </c>
      <c r="R2961" t="n">
        <v>0.0906</v>
      </c>
      <c r="S2961">
        <f>IMAGE("https://mitra.stanford.edu/kundaje/oak/projects/neuro-variants/variant_position/credible/roussos_2024/variant_figures/roussos_2024.adolescence.GLU/rs7665880_count_position.png",4,220,900)</f>
        <v/>
      </c>
      <c r="T2961">
        <f>IMAGE("https://mitra.stanford.edu/kundaje/oak/projects/neuro-variants/variant_position/credible/roussos_2024/variant_figures/roussos_2024.adolescence.GLU/rs7665880_profile_position.png",4,220,900)</f>
        <v/>
      </c>
    </row>
    <row r="2962">
      <c r="A2962" t="inlineStr">
        <is>
          <t>chr4</t>
        </is>
      </c>
      <c r="B2962" t="n">
        <v>34022788</v>
      </c>
      <c r="C2962" t="inlineStr">
        <is>
          <t>T</t>
        </is>
      </c>
      <c r="D2962" t="inlineStr">
        <is>
          <t>G</t>
        </is>
      </c>
      <c r="E2962" t="inlineStr">
        <is>
          <t>rs13130693</t>
        </is>
      </c>
      <c r="F2962" t="n">
        <v>0.00355852074</v>
      </c>
      <c r="G2962" t="n">
        <v>0.6994706159260522</v>
      </c>
      <c r="H2962" t="n">
        <v>0.0265224765127428</v>
      </c>
      <c r="I2962" t="n">
        <v>0.0162591682335148</v>
      </c>
      <c r="J2962" t="n">
        <v>0.1076322952611612</v>
      </c>
      <c r="K2962" t="n">
        <v>0.5546181896342169</v>
      </c>
      <c r="L2962" t="b">
        <v>1</v>
      </c>
      <c r="M2962" t="b">
        <v>0</v>
      </c>
      <c r="N2962" t="inlineStr">
        <is>
          <t>alt</t>
        </is>
      </c>
      <c r="O2962" t="n">
        <v>10</v>
      </c>
      <c r="P2962" t="n">
        <v>0.0004482</v>
      </c>
      <c r="Q2962" t="n">
        <v>-75</v>
      </c>
      <c r="R2962" t="n">
        <v>0.03473</v>
      </c>
      <c r="S2962">
        <f>IMAGE("https://mitra.stanford.edu/kundaje/oak/projects/neuro-variants/variant_position/credible/roussos_2024/variant_figures/roussos_2024.adolescence.GLU/rs13130693_count_position.png",4,220,900)</f>
        <v/>
      </c>
      <c r="T2962">
        <f>IMAGE("https://mitra.stanford.edu/kundaje/oak/projects/neuro-variants/variant_position/credible/roussos_2024/variant_figures/roussos_2024.adolescence.GLU/rs13130693_profile_position.png",4,220,900)</f>
        <v/>
      </c>
    </row>
    <row r="2963">
      <c r="A2963" t="inlineStr">
        <is>
          <t>chr4</t>
        </is>
      </c>
      <c r="B2963" t="n">
        <v>34025177</v>
      </c>
      <c r="C2963" t="inlineStr">
        <is>
          <t>C</t>
        </is>
      </c>
      <c r="D2963" t="inlineStr">
        <is>
          <t>A</t>
        </is>
      </c>
      <c r="E2963" t="inlineStr">
        <is>
          <t>rs12647107</t>
        </is>
      </c>
      <c r="F2963" t="n">
        <v>-0.01821138446</v>
      </c>
      <c r="G2963" t="n">
        <v>0.3245734361025509</v>
      </c>
      <c r="H2963" t="n">
        <v>0.0085617719732281</v>
      </c>
      <c r="I2963" t="n">
        <v>0.7267247511902742</v>
      </c>
      <c r="J2963" t="n">
        <v>0.1148466468054096</v>
      </c>
      <c r="K2963" t="n">
        <v>0.5354632089002335</v>
      </c>
      <c r="L2963" t="b">
        <v>0</v>
      </c>
      <c r="M2963" t="b">
        <v>0</v>
      </c>
      <c r="N2963" t="inlineStr">
        <is>
          <t>ref</t>
        </is>
      </c>
      <c r="O2963" t="n">
        <v>-90</v>
      </c>
      <c r="P2963" t="n">
        <v>0.01238</v>
      </c>
      <c r="Q2963" t="n">
        <v>-45</v>
      </c>
      <c r="R2963" t="n">
        <v>0.0232</v>
      </c>
      <c r="S2963">
        <f>IMAGE("https://mitra.stanford.edu/kundaje/oak/projects/neuro-variants/variant_position/credible/roussos_2024/variant_figures/roussos_2024.adolescence.GLU/rs12647107_count_position.png",4,220,900)</f>
        <v/>
      </c>
      <c r="T2963">
        <f>IMAGE("https://mitra.stanford.edu/kundaje/oak/projects/neuro-variants/variant_position/credible/roussos_2024/variant_figures/roussos_2024.adolescence.GLU/rs12647107_profile_position.png",4,220,900)</f>
        <v/>
      </c>
    </row>
    <row r="2964">
      <c r="A2964" t="inlineStr">
        <is>
          <t>chr4</t>
        </is>
      </c>
      <c r="B2964" t="n">
        <v>34039357</v>
      </c>
      <c r="C2964" t="inlineStr">
        <is>
          <t>C</t>
        </is>
      </c>
      <c r="D2964" t="inlineStr">
        <is>
          <t>G</t>
        </is>
      </c>
      <c r="E2964" t="inlineStr">
        <is>
          <t>rs35930604</t>
        </is>
      </c>
      <c r="F2964" t="n">
        <v>0.06917035419999989</v>
      </c>
      <c r="G2964" t="n">
        <v>0.0308727376329272</v>
      </c>
      <c r="H2964" t="n">
        <v>0.0169493857419689</v>
      </c>
      <c r="I2964" t="n">
        <v>0.1196725029409719</v>
      </c>
      <c r="J2964" t="n">
        <v>0.249081595473348</v>
      </c>
      <c r="K2964" t="n">
        <v>0.3340193609924784</v>
      </c>
      <c r="L2964" t="b">
        <v>0</v>
      </c>
      <c r="M2964" t="b">
        <v>0</v>
      </c>
      <c r="N2964" t="inlineStr">
        <is>
          <t>alt</t>
        </is>
      </c>
      <c r="O2964" t="n">
        <v>95</v>
      </c>
      <c r="P2964" t="n">
        <v>0.002502</v>
      </c>
      <c r="Q2964" t="n">
        <v>-50</v>
      </c>
      <c r="R2964" t="n">
        <v>0.05005</v>
      </c>
      <c r="S2964">
        <f>IMAGE("https://mitra.stanford.edu/kundaje/oak/projects/neuro-variants/variant_position/credible/roussos_2024/variant_figures/roussos_2024.adolescence.GLU/rs35930604_count_position.png",4,220,900)</f>
        <v/>
      </c>
      <c r="T2964">
        <f>IMAGE("https://mitra.stanford.edu/kundaje/oak/projects/neuro-variants/variant_position/credible/roussos_2024/variant_figures/roussos_2024.adolescence.GLU/rs35930604_profile_position.png",4,220,900)</f>
        <v/>
      </c>
    </row>
    <row r="2965">
      <c r="A2965" t="inlineStr">
        <is>
          <t>chr4</t>
        </is>
      </c>
      <c r="B2965" t="n">
        <v>34039921</v>
      </c>
      <c r="C2965" t="inlineStr">
        <is>
          <t>G</t>
        </is>
      </c>
      <c r="D2965" t="inlineStr">
        <is>
          <t>A</t>
        </is>
      </c>
      <c r="E2965" t="inlineStr">
        <is>
          <t>rs67951022</t>
        </is>
      </c>
      <c r="F2965" t="n">
        <v>-0.00662218612</v>
      </c>
      <c r="G2965" t="n">
        <v>0.5114292902413721</v>
      </c>
      <c r="H2965" t="n">
        <v>0.016463575236015</v>
      </c>
      <c r="I2965" t="n">
        <v>0.115137315190139</v>
      </c>
      <c r="J2965" t="n">
        <v>0.3061562752284402</v>
      </c>
      <c r="K2965" t="n">
        <v>0.2645848648695415</v>
      </c>
      <c r="L2965" t="b">
        <v>0</v>
      </c>
      <c r="M2965" t="b">
        <v>0</v>
      </c>
      <c r="N2965" t="inlineStr">
        <is>
          <t>ref</t>
        </is>
      </c>
      <c r="O2965" t="n">
        <v>-100</v>
      </c>
      <c r="P2965" t="n">
        <v>0.007736</v>
      </c>
      <c r="Q2965" t="n">
        <v>60</v>
      </c>
      <c r="R2965" t="n">
        <v>0.05444</v>
      </c>
      <c r="S2965">
        <f>IMAGE("https://mitra.stanford.edu/kundaje/oak/projects/neuro-variants/variant_position/credible/roussos_2024/variant_figures/roussos_2024.adolescence.GLU/rs67951022_count_position.png",4,220,900)</f>
        <v/>
      </c>
      <c r="T2965">
        <f>IMAGE("https://mitra.stanford.edu/kundaje/oak/projects/neuro-variants/variant_position/credible/roussos_2024/variant_figures/roussos_2024.adolescence.GLU/rs67951022_profile_position.png",4,220,900)</f>
        <v/>
      </c>
    </row>
    <row r="2966">
      <c r="A2966" t="inlineStr">
        <is>
          <t>chr4</t>
        </is>
      </c>
      <c r="B2966" t="n">
        <v>34041165</v>
      </c>
      <c r="C2966" t="inlineStr">
        <is>
          <t>A</t>
        </is>
      </c>
      <c r="D2966" t="inlineStr">
        <is>
          <t>G</t>
        </is>
      </c>
      <c r="E2966" t="inlineStr">
        <is>
          <t>rs6531289</t>
        </is>
      </c>
      <c r="F2966" t="n">
        <v>0.0793460258</v>
      </c>
      <c r="G2966" t="n">
        <v>0.0174892967498723</v>
      </c>
      <c r="H2966" t="n">
        <v>0.0160442490748585</v>
      </c>
      <c r="I2966" t="n">
        <v>0.1409396150582867</v>
      </c>
      <c r="J2966" t="n">
        <v>0.0127769323645612</v>
      </c>
      <c r="K2966" t="n">
        <v>0.8567414651197283</v>
      </c>
      <c r="L2966" t="b">
        <v>1</v>
      </c>
      <c r="M2966" t="b">
        <v>0</v>
      </c>
      <c r="N2966" t="inlineStr">
        <is>
          <t>alt</t>
        </is>
      </c>
      <c r="O2966" t="n">
        <v>25</v>
      </c>
      <c r="P2966" t="n">
        <v>0.007849999999999999</v>
      </c>
      <c r="Q2966" t="n">
        <v>65</v>
      </c>
      <c r="R2966" t="n">
        <v>0.013916</v>
      </c>
      <c r="S2966">
        <f>IMAGE("https://mitra.stanford.edu/kundaje/oak/projects/neuro-variants/variant_position/credible/roussos_2024/variant_figures/roussos_2024.adolescence.GLU/rs6531289_count_position.png",4,220,900)</f>
        <v/>
      </c>
      <c r="T2966">
        <f>IMAGE("https://mitra.stanford.edu/kundaje/oak/projects/neuro-variants/variant_position/credible/roussos_2024/variant_figures/roussos_2024.adolescence.GLU/rs6531289_profile_position.png",4,220,900)</f>
        <v/>
      </c>
    </row>
    <row r="2967">
      <c r="A2967" t="inlineStr">
        <is>
          <t>chr4</t>
        </is>
      </c>
      <c r="B2967" t="n">
        <v>34065590</v>
      </c>
      <c r="C2967" t="inlineStr">
        <is>
          <t>T</t>
        </is>
      </c>
      <c r="D2967" t="inlineStr">
        <is>
          <t>C</t>
        </is>
      </c>
      <c r="E2967" t="inlineStr">
        <is>
          <t>rs6824096</t>
        </is>
      </c>
      <c r="F2967" t="n">
        <v>0.0315506738</v>
      </c>
      <c r="G2967" t="n">
        <v>0.1556710656430421</v>
      </c>
      <c r="H2967" t="n">
        <v>0.0087488601616995</v>
      </c>
      <c r="I2967" t="n">
        <v>0.704260539013696</v>
      </c>
      <c r="J2967" t="n">
        <v>0.0231319344721406</v>
      </c>
      <c r="K2967" t="n">
        <v>0.8056669111982946</v>
      </c>
      <c r="L2967" t="b">
        <v>0</v>
      </c>
      <c r="M2967" t="b">
        <v>0</v>
      </c>
      <c r="N2967" t="inlineStr">
        <is>
          <t>alt</t>
        </is>
      </c>
      <c r="O2967" t="n">
        <v>-100</v>
      </c>
      <c r="P2967" t="n">
        <v>0.00461</v>
      </c>
      <c r="Q2967" t="n">
        <v>-20</v>
      </c>
      <c r="R2967" t="n">
        <v>0.04257</v>
      </c>
      <c r="S2967">
        <f>IMAGE("https://mitra.stanford.edu/kundaje/oak/projects/neuro-variants/variant_position/credible/roussos_2024/variant_figures/roussos_2024.adolescence.GLU/rs6824096_count_position.png",4,220,900)</f>
        <v/>
      </c>
      <c r="T2967">
        <f>IMAGE("https://mitra.stanford.edu/kundaje/oak/projects/neuro-variants/variant_position/credible/roussos_2024/variant_figures/roussos_2024.adolescence.GLU/rs6824096_profile_position.png",4,220,900)</f>
        <v/>
      </c>
    </row>
    <row r="2968">
      <c r="A2968" t="inlineStr">
        <is>
          <t>chr4</t>
        </is>
      </c>
      <c r="B2968" t="n">
        <v>34066372</v>
      </c>
      <c r="C2968" t="inlineStr">
        <is>
          <t>G</t>
        </is>
      </c>
      <c r="D2968" t="inlineStr">
        <is>
          <t>A</t>
        </is>
      </c>
      <c r="E2968" t="inlineStr">
        <is>
          <t>rs59339146</t>
        </is>
      </c>
      <c r="F2968" t="n">
        <v>0.0320200986</v>
      </c>
      <c r="G2968" t="n">
        <v>0.1539486852810012</v>
      </c>
      <c r="H2968" t="n">
        <v>0.0196417866677446</v>
      </c>
      <c r="I2968" t="n">
        <v>0.06553873581911659</v>
      </c>
      <c r="J2968" t="n">
        <v>0.0737667088182551</v>
      </c>
      <c r="K2968" t="n">
        <v>0.6345554493868251</v>
      </c>
      <c r="L2968" t="b">
        <v>0</v>
      </c>
      <c r="M2968" t="b">
        <v>0</v>
      </c>
      <c r="N2968" t="inlineStr">
        <is>
          <t>alt</t>
        </is>
      </c>
      <c r="O2968" t="n">
        <v>50</v>
      </c>
      <c r="P2968" t="n">
        <v>0.004517</v>
      </c>
      <c r="Q2968" t="n">
        <v>0</v>
      </c>
      <c r="R2968" t="n">
        <v>0</v>
      </c>
      <c r="S2968">
        <f>IMAGE("https://mitra.stanford.edu/kundaje/oak/projects/neuro-variants/variant_position/credible/roussos_2024/variant_figures/roussos_2024.adolescence.GLU/rs59339146_count_position.png",4,220,900)</f>
        <v/>
      </c>
      <c r="T2968">
        <f>IMAGE("https://mitra.stanford.edu/kundaje/oak/projects/neuro-variants/variant_position/credible/roussos_2024/variant_figures/roussos_2024.adolescence.GLU/rs59339146_profile_position.png",4,220,900)</f>
        <v/>
      </c>
    </row>
    <row r="2969">
      <c r="A2969" t="inlineStr">
        <is>
          <t>chr4</t>
        </is>
      </c>
      <c r="B2969" t="n">
        <v>34068348</v>
      </c>
      <c r="C2969" t="inlineStr">
        <is>
          <t>T</t>
        </is>
      </c>
      <c r="D2969" t="inlineStr">
        <is>
          <t>A</t>
        </is>
      </c>
      <c r="E2969" t="inlineStr">
        <is>
          <t>rs35776025</t>
        </is>
      </c>
      <c r="F2969" t="n">
        <v>-0.0158563403</v>
      </c>
      <c r="G2969" t="n">
        <v>0.3734578263166004</v>
      </c>
      <c r="H2969" t="n">
        <v>0.0125598810832863</v>
      </c>
      <c r="I2969" t="n">
        <v>0.2870604443167121</v>
      </c>
      <c r="J2969" t="n">
        <v>0.114733766280158</v>
      </c>
      <c r="K2969" t="n">
        <v>0.5496838289870206</v>
      </c>
      <c r="L2969" t="b">
        <v>0</v>
      </c>
      <c r="M2969" t="b">
        <v>0</v>
      </c>
      <c r="N2969" t="inlineStr">
        <is>
          <t>ref</t>
        </is>
      </c>
      <c r="O2969" t="n">
        <v>-100</v>
      </c>
      <c r="P2969" t="n">
        <v>0.03668</v>
      </c>
      <c r="Q2969" t="n">
        <v>-100</v>
      </c>
      <c r="R2969" t="n">
        <v>0.1511</v>
      </c>
      <c r="S2969">
        <f>IMAGE("https://mitra.stanford.edu/kundaje/oak/projects/neuro-variants/variant_position/credible/roussos_2024/variant_figures/roussos_2024.adolescence.GLU/rs35776025_count_position.png",4,220,900)</f>
        <v/>
      </c>
      <c r="T2969">
        <f>IMAGE("https://mitra.stanford.edu/kundaje/oak/projects/neuro-variants/variant_position/credible/roussos_2024/variant_figures/roussos_2024.adolescence.GLU/rs35776025_profile_position.png",4,220,900)</f>
        <v/>
      </c>
    </row>
    <row r="2970">
      <c r="A2970" t="inlineStr">
        <is>
          <t>chr4</t>
        </is>
      </c>
      <c r="B2970" t="n">
        <v>34068367</v>
      </c>
      <c r="C2970" t="inlineStr">
        <is>
          <t>T</t>
        </is>
      </c>
      <c r="D2970" t="inlineStr">
        <is>
          <t>C</t>
        </is>
      </c>
      <c r="E2970" t="inlineStr">
        <is>
          <t>rs6844408</t>
        </is>
      </c>
      <c r="F2970" t="n">
        <v>0.049054721</v>
      </c>
      <c r="G2970" t="n">
        <v>0.0620577773809116</v>
      </c>
      <c r="H2970" t="n">
        <v>0.0097530758367688</v>
      </c>
      <c r="I2970" t="n">
        <v>0.5448137855712817</v>
      </c>
      <c r="J2970" t="n">
        <v>0.1303612891241756</v>
      </c>
      <c r="K2970" t="n">
        <v>0.5200392171543325</v>
      </c>
      <c r="L2970" t="b">
        <v>0</v>
      </c>
      <c r="M2970" t="b">
        <v>0</v>
      </c>
      <c r="N2970" t="inlineStr">
        <is>
          <t>alt</t>
        </is>
      </c>
      <c r="O2970" t="n">
        <v>-100</v>
      </c>
      <c r="P2970" t="n">
        <v>0.037</v>
      </c>
      <c r="Q2970" t="n">
        <v>-100</v>
      </c>
      <c r="R2970" t="n">
        <v>0.1959</v>
      </c>
      <c r="S2970">
        <f>IMAGE("https://mitra.stanford.edu/kundaje/oak/projects/neuro-variants/variant_position/credible/roussos_2024/variant_figures/roussos_2024.adolescence.GLU/rs6844408_count_position.png",4,220,900)</f>
        <v/>
      </c>
      <c r="T2970">
        <f>IMAGE("https://mitra.stanford.edu/kundaje/oak/projects/neuro-variants/variant_position/credible/roussos_2024/variant_figures/roussos_2024.adolescence.GLU/rs6844408_profile_position.png",4,220,900)</f>
        <v/>
      </c>
    </row>
    <row r="2971">
      <c r="A2971" t="inlineStr">
        <is>
          <t>chr4</t>
        </is>
      </c>
      <c r="B2971" t="n">
        <v>34069768</v>
      </c>
      <c r="C2971" t="inlineStr">
        <is>
          <t>T</t>
        </is>
      </c>
      <c r="D2971" t="inlineStr">
        <is>
          <t>C</t>
        </is>
      </c>
      <c r="E2971" t="inlineStr">
        <is>
          <t>rs10461117</t>
        </is>
      </c>
      <c r="F2971" t="n">
        <v>3.647615800000008e-05</v>
      </c>
      <c r="G2971" t="n">
        <v>0.8940246248880246</v>
      </c>
      <c r="H2971" t="n">
        <v>0.0256316656680635</v>
      </c>
      <c r="I2971" t="n">
        <v>0.0182740388002294</v>
      </c>
      <c r="J2971" t="n">
        <v>0.0546927577855412</v>
      </c>
      <c r="K2971" t="n">
        <v>0.6980573088701898</v>
      </c>
      <c r="L2971" t="b">
        <v>1</v>
      </c>
      <c r="M2971" t="b">
        <v>0</v>
      </c>
      <c r="N2971" t="inlineStr">
        <is>
          <t>alt</t>
        </is>
      </c>
      <c r="O2971" t="n">
        <v>-90</v>
      </c>
      <c r="P2971" t="n">
        <v>0.00653</v>
      </c>
      <c r="Q2971" t="n">
        <v>-15</v>
      </c>
      <c r="R2971" t="n">
        <v>0.02994</v>
      </c>
      <c r="S2971">
        <f>IMAGE("https://mitra.stanford.edu/kundaje/oak/projects/neuro-variants/variant_position/credible/roussos_2024/variant_figures/roussos_2024.adolescence.GLU/rs10461117_count_position.png",4,220,900)</f>
        <v/>
      </c>
      <c r="T2971">
        <f>IMAGE("https://mitra.stanford.edu/kundaje/oak/projects/neuro-variants/variant_position/credible/roussos_2024/variant_figures/roussos_2024.adolescence.GLU/rs10461117_profile_position.png",4,220,900)</f>
        <v/>
      </c>
    </row>
    <row r="2972">
      <c r="A2972" t="inlineStr">
        <is>
          <t>chr4</t>
        </is>
      </c>
      <c r="B2972" t="n">
        <v>34073046</v>
      </c>
      <c r="C2972" t="inlineStr">
        <is>
          <t>A</t>
        </is>
      </c>
      <c r="D2972" t="inlineStr">
        <is>
          <t>C</t>
        </is>
      </c>
      <c r="E2972" t="inlineStr">
        <is>
          <t>rs113731541</t>
        </is>
      </c>
      <c r="F2972" t="n">
        <v>-0.0057390522196</v>
      </c>
      <c r="G2972" t="n">
        <v>0.7075056688858564</v>
      </c>
      <c r="H2972" t="n">
        <v>0.0354820775248606</v>
      </c>
      <c r="I2972" t="n">
        <v>0.0042041609704863</v>
      </c>
      <c r="J2972" t="n">
        <v>0.0507633724128569</v>
      </c>
      <c r="K2972" t="n">
        <v>0.6944400331938321</v>
      </c>
      <c r="L2972" t="b">
        <v>1</v>
      </c>
      <c r="M2972" t="b">
        <v>1</v>
      </c>
      <c r="N2972" t="inlineStr">
        <is>
          <t>ref</t>
        </is>
      </c>
      <c r="O2972" t="n">
        <v>-100</v>
      </c>
      <c r="P2972" t="n">
        <v>0.003845</v>
      </c>
      <c r="Q2972" t="n">
        <v>-100</v>
      </c>
      <c r="R2972" t="n">
        <v>0.08799999999999999</v>
      </c>
      <c r="S2972">
        <f>IMAGE("https://mitra.stanford.edu/kundaje/oak/projects/neuro-variants/variant_position/credible/roussos_2024/variant_figures/roussos_2024.adolescence.GLU/rs113731541_count_position.png",4,220,900)</f>
        <v/>
      </c>
      <c r="T2972">
        <f>IMAGE("https://mitra.stanford.edu/kundaje/oak/projects/neuro-variants/variant_position/credible/roussos_2024/variant_figures/roussos_2024.adolescence.GLU/rs113731541_profile_position.png",4,220,900)</f>
        <v/>
      </c>
    </row>
    <row r="2973">
      <c r="A2973" t="inlineStr">
        <is>
          <t>chr4</t>
        </is>
      </c>
      <c r="B2973" t="n">
        <v>34073066</v>
      </c>
      <c r="C2973" t="inlineStr">
        <is>
          <t>C</t>
        </is>
      </c>
      <c r="D2973" t="inlineStr">
        <is>
          <t>A</t>
        </is>
      </c>
      <c r="E2973" t="inlineStr">
        <is>
          <t>rs34334195</t>
        </is>
      </c>
      <c r="F2973" t="n">
        <v>0.004096169866</v>
      </c>
      <c r="G2973" t="n">
        <v>0.7546424203092909</v>
      </c>
      <c r="H2973" t="n">
        <v>0.02411373496538</v>
      </c>
      <c r="I2973" t="n">
        <v>0.0243446057679991</v>
      </c>
      <c r="J2973" t="n">
        <v>0.052440862750141</v>
      </c>
      <c r="K2973" t="n">
        <v>0.6892999071860008</v>
      </c>
      <c r="L2973" t="b">
        <v>0</v>
      </c>
      <c r="M2973" t="b">
        <v>0</v>
      </c>
      <c r="N2973" t="inlineStr">
        <is>
          <t>alt</t>
        </is>
      </c>
      <c r="O2973" t="n">
        <v>-65</v>
      </c>
      <c r="P2973" t="n">
        <v>0.004395</v>
      </c>
      <c r="Q2973" t="n">
        <v>-70</v>
      </c>
      <c r="R2973" t="n">
        <v>0.05127</v>
      </c>
      <c r="S2973">
        <f>IMAGE("https://mitra.stanford.edu/kundaje/oak/projects/neuro-variants/variant_position/credible/roussos_2024/variant_figures/roussos_2024.adolescence.GLU/rs34334195_count_position.png",4,220,900)</f>
        <v/>
      </c>
      <c r="T2973">
        <f>IMAGE("https://mitra.stanford.edu/kundaje/oak/projects/neuro-variants/variant_position/credible/roussos_2024/variant_figures/roussos_2024.adolescence.GLU/rs34334195_profile_position.png",4,220,900)</f>
        <v/>
      </c>
    </row>
    <row r="2974">
      <c r="A2974" t="inlineStr">
        <is>
          <t>chr4</t>
        </is>
      </c>
      <c r="B2974" t="n">
        <v>34073564</v>
      </c>
      <c r="C2974" t="inlineStr">
        <is>
          <t>T</t>
        </is>
      </c>
      <c r="D2974" t="inlineStr">
        <is>
          <t>C</t>
        </is>
      </c>
      <c r="E2974" t="inlineStr">
        <is>
          <t>rs35361741</t>
        </is>
      </c>
      <c r="F2974" t="n">
        <v>0.00069848156</v>
      </c>
      <c r="G2974" t="n">
        <v>0.7602062128674818</v>
      </c>
      <c r="H2974" t="n">
        <v>0.0265200875509252</v>
      </c>
      <c r="I2974" t="n">
        <v>0.0158221330582657</v>
      </c>
      <c r="J2974" t="n">
        <v>0.0547570568189124</v>
      </c>
      <c r="K2974" t="n">
        <v>0.6813490748698994</v>
      </c>
      <c r="L2974" t="b">
        <v>1</v>
      </c>
      <c r="M2974" t="b">
        <v>0</v>
      </c>
      <c r="N2974" t="inlineStr">
        <is>
          <t>alt</t>
        </is>
      </c>
      <c r="O2974" t="n">
        <v>-75</v>
      </c>
      <c r="P2974" t="n">
        <v>0.01822</v>
      </c>
      <c r="Q2974" t="n">
        <v>-10</v>
      </c>
      <c r="R2974" t="n">
        <v>0.00915</v>
      </c>
      <c r="S2974">
        <f>IMAGE("https://mitra.stanford.edu/kundaje/oak/projects/neuro-variants/variant_position/credible/roussos_2024/variant_figures/roussos_2024.adolescence.GLU/rs35361741_count_position.png",4,220,900)</f>
        <v/>
      </c>
      <c r="T2974">
        <f>IMAGE("https://mitra.stanford.edu/kundaje/oak/projects/neuro-variants/variant_position/credible/roussos_2024/variant_figures/roussos_2024.adolescence.GLU/rs35361741_profile_position.png",4,220,900)</f>
        <v/>
      </c>
    </row>
    <row r="2975">
      <c r="A2975" t="inlineStr">
        <is>
          <t>chr4</t>
        </is>
      </c>
      <c r="B2975" t="n">
        <v>34075163</v>
      </c>
      <c r="C2975" t="inlineStr">
        <is>
          <t>C</t>
        </is>
      </c>
      <c r="D2975" t="inlineStr">
        <is>
          <t>T</t>
        </is>
      </c>
      <c r="E2975" t="inlineStr">
        <is>
          <t>rs13146184</t>
        </is>
      </c>
      <c r="F2975" t="n">
        <v>-0.0499779538</v>
      </c>
      <c r="G2975" t="n">
        <v>0.0787739583528163</v>
      </c>
      <c r="H2975" t="n">
        <v>0.0194549080264201</v>
      </c>
      <c r="I2975" t="n">
        <v>0.0854026742642273</v>
      </c>
      <c r="J2975" t="n">
        <v>0.0151659986711532</v>
      </c>
      <c r="K2975" t="n">
        <v>0.8475263351988395</v>
      </c>
      <c r="L2975" t="b">
        <v>0</v>
      </c>
      <c r="M2975" t="b">
        <v>0</v>
      </c>
      <c r="N2975" t="inlineStr">
        <is>
          <t>ref</t>
        </is>
      </c>
      <c r="O2975" t="n">
        <v>10</v>
      </c>
      <c r="P2975" t="n">
        <v>0.00058</v>
      </c>
      <c r="Q2975" t="n">
        <v>-40</v>
      </c>
      <c r="R2975" t="n">
        <v>0.06067</v>
      </c>
      <c r="S2975">
        <f>IMAGE("https://mitra.stanford.edu/kundaje/oak/projects/neuro-variants/variant_position/credible/roussos_2024/variant_figures/roussos_2024.adolescence.GLU/rs13146184_count_position.png",4,220,900)</f>
        <v/>
      </c>
      <c r="T2975">
        <f>IMAGE("https://mitra.stanford.edu/kundaje/oak/projects/neuro-variants/variant_position/credible/roussos_2024/variant_figures/roussos_2024.adolescence.GLU/rs13146184_profile_position.png",4,220,900)</f>
        <v/>
      </c>
    </row>
    <row r="2976">
      <c r="A2976" t="inlineStr">
        <is>
          <t>chr4</t>
        </is>
      </c>
      <c r="B2976" t="n">
        <v>34077033</v>
      </c>
      <c r="C2976" t="inlineStr">
        <is>
          <t>C</t>
        </is>
      </c>
      <c r="D2976" t="inlineStr">
        <is>
          <t>A</t>
        </is>
      </c>
      <c r="E2976" t="inlineStr">
        <is>
          <t>rs3924935</t>
        </is>
      </c>
      <c r="F2976" t="n">
        <v>0.00048099424</v>
      </c>
      <c r="G2976" t="n">
        <v>0.8757403044760885</v>
      </c>
      <c r="H2976" t="n">
        <v>0.0210226738733939</v>
      </c>
      <c r="I2976" t="n">
        <v>0.0461427913483556</v>
      </c>
      <c r="J2976" t="n">
        <v>0.0352758785748475</v>
      </c>
      <c r="K2976" t="n">
        <v>0.750689347610602</v>
      </c>
      <c r="L2976" t="b">
        <v>0</v>
      </c>
      <c r="M2976" t="b">
        <v>0</v>
      </c>
      <c r="N2976" t="inlineStr">
        <is>
          <t>alt</t>
        </is>
      </c>
      <c r="O2976" t="n">
        <v>95</v>
      </c>
      <c r="P2976" t="n">
        <v>0.02484</v>
      </c>
      <c r="Q2976" t="n">
        <v>100</v>
      </c>
      <c r="R2976" t="n">
        <v>0.2046</v>
      </c>
      <c r="S2976">
        <f>IMAGE("https://mitra.stanford.edu/kundaje/oak/projects/neuro-variants/variant_position/credible/roussos_2024/variant_figures/roussos_2024.adolescence.GLU/rs3924935_count_position.png",4,220,900)</f>
        <v/>
      </c>
      <c r="T2976">
        <f>IMAGE("https://mitra.stanford.edu/kundaje/oak/projects/neuro-variants/variant_position/credible/roussos_2024/variant_figures/roussos_2024.adolescence.GLU/rs3924935_profile_position.png",4,220,900)</f>
        <v/>
      </c>
    </row>
    <row r="2977">
      <c r="A2977" t="inlineStr">
        <is>
          <t>chr4</t>
        </is>
      </c>
      <c r="B2977" t="n">
        <v>34078601</v>
      </c>
      <c r="C2977" t="inlineStr">
        <is>
          <t>G</t>
        </is>
      </c>
      <c r="D2977" t="inlineStr">
        <is>
          <t>T</t>
        </is>
      </c>
      <c r="E2977" t="inlineStr">
        <is>
          <t>rs35921722</t>
        </is>
      </c>
      <c r="F2977" t="n">
        <v>0.00184426821</v>
      </c>
      <c r="G2977" t="n">
        <v>0.8610686750243007</v>
      </c>
      <c r="H2977" t="n">
        <v>0.0231843746612768</v>
      </c>
      <c r="I2977" t="n">
        <v>0.0296597168856335</v>
      </c>
      <c r="J2977" t="n">
        <v>0.0911231612262539</v>
      </c>
      <c r="K2977" t="n">
        <v>0.594189708794939</v>
      </c>
      <c r="L2977" t="b">
        <v>0</v>
      </c>
      <c r="M2977" t="b">
        <v>0</v>
      </c>
      <c r="N2977" t="inlineStr">
        <is>
          <t>alt</t>
        </is>
      </c>
      <c r="O2977" t="n">
        <v>-20</v>
      </c>
      <c r="P2977" t="n">
        <v>0.0001383</v>
      </c>
      <c r="Q2977" t="n">
        <v>10</v>
      </c>
      <c r="R2977" t="n">
        <v>0.01727</v>
      </c>
      <c r="S2977">
        <f>IMAGE("https://mitra.stanford.edu/kundaje/oak/projects/neuro-variants/variant_position/credible/roussos_2024/variant_figures/roussos_2024.adolescence.GLU/rs35921722_count_position.png",4,220,900)</f>
        <v/>
      </c>
      <c r="T2977">
        <f>IMAGE("https://mitra.stanford.edu/kundaje/oak/projects/neuro-variants/variant_position/credible/roussos_2024/variant_figures/roussos_2024.adolescence.GLU/rs35921722_profile_position.png",4,220,900)</f>
        <v/>
      </c>
    </row>
    <row r="2978">
      <c r="A2978" t="inlineStr">
        <is>
          <t>chr4</t>
        </is>
      </c>
      <c r="B2978" t="n">
        <v>34086572</v>
      </c>
      <c r="C2978" t="inlineStr">
        <is>
          <t>A</t>
        </is>
      </c>
      <c r="D2978" t="inlineStr">
        <is>
          <t>C</t>
        </is>
      </c>
      <c r="E2978" t="inlineStr">
        <is>
          <t>rs9985883</t>
        </is>
      </c>
      <c r="F2978" t="n">
        <v>0.00910829428</v>
      </c>
      <c r="G2978" t="n">
        <v>0.5326724946787721</v>
      </c>
      <c r="H2978" t="n">
        <v>0.0114141570765907</v>
      </c>
      <c r="I2978" t="n">
        <v>0.3847410461344772</v>
      </c>
      <c r="J2978" t="n">
        <v>0.0022061712783361</v>
      </c>
      <c r="K2978" t="n">
        <v>0.9499624081251398</v>
      </c>
      <c r="L2978" t="b">
        <v>0</v>
      </c>
      <c r="M2978" t="b">
        <v>0</v>
      </c>
      <c r="N2978" t="inlineStr">
        <is>
          <t>alt</t>
        </is>
      </c>
      <c r="O2978" t="n">
        <v>-35</v>
      </c>
      <c r="P2978" t="n">
        <v>0.00209</v>
      </c>
      <c r="Q2978" t="n">
        <v>-100</v>
      </c>
      <c r="R2978" t="n">
        <v>0.1682</v>
      </c>
      <c r="S2978">
        <f>IMAGE("https://mitra.stanford.edu/kundaje/oak/projects/neuro-variants/variant_position/credible/roussos_2024/variant_figures/roussos_2024.adolescence.GLU/rs9985883_count_position.png",4,220,900)</f>
        <v/>
      </c>
      <c r="T2978">
        <f>IMAGE("https://mitra.stanford.edu/kundaje/oak/projects/neuro-variants/variant_position/credible/roussos_2024/variant_figures/roussos_2024.adolescence.GLU/rs9985883_profile_position.png",4,220,900)</f>
        <v/>
      </c>
    </row>
    <row r="2979">
      <c r="A2979" t="inlineStr">
        <is>
          <t>chr4</t>
        </is>
      </c>
      <c r="B2979" t="n">
        <v>34089846</v>
      </c>
      <c r="C2979" t="inlineStr">
        <is>
          <t>A</t>
        </is>
      </c>
      <c r="D2979" t="inlineStr">
        <is>
          <t>G</t>
        </is>
      </c>
      <c r="E2979" t="inlineStr">
        <is>
          <t>rs13152643</t>
        </is>
      </c>
      <c r="F2979" t="n">
        <v>0.0178363736</v>
      </c>
      <c r="G2979" t="n">
        <v>0.3078103879576047</v>
      </c>
      <c r="H2979" t="n">
        <v>0.0120605688404827</v>
      </c>
      <c r="I2979" t="n">
        <v>0.3228604335246761</v>
      </c>
      <c r="J2979" t="n">
        <v>0.0074158218488114</v>
      </c>
      <c r="K2979" t="n">
        <v>0.8954264984778277</v>
      </c>
      <c r="L2979" t="b">
        <v>0</v>
      </c>
      <c r="M2979" t="b">
        <v>0</v>
      </c>
      <c r="N2979" t="inlineStr">
        <is>
          <t>alt</t>
        </is>
      </c>
      <c r="O2979" t="n">
        <v>-75</v>
      </c>
      <c r="P2979" t="n">
        <v>1.526e-05</v>
      </c>
      <c r="Q2979" t="n">
        <v>20</v>
      </c>
      <c r="R2979" t="n">
        <v>0.008449999999999999</v>
      </c>
      <c r="S2979">
        <f>IMAGE("https://mitra.stanford.edu/kundaje/oak/projects/neuro-variants/variant_position/credible/roussos_2024/variant_figures/roussos_2024.adolescence.GLU/rs13152643_count_position.png",4,220,900)</f>
        <v/>
      </c>
      <c r="T2979">
        <f>IMAGE("https://mitra.stanford.edu/kundaje/oak/projects/neuro-variants/variant_position/credible/roussos_2024/variant_figures/roussos_2024.adolescence.GLU/rs13152643_profile_position.png",4,220,900)</f>
        <v/>
      </c>
    </row>
    <row r="2980">
      <c r="A2980" t="inlineStr">
        <is>
          <t>chr4</t>
        </is>
      </c>
      <c r="B2980" t="n">
        <v>34092585</v>
      </c>
      <c r="C2980" t="inlineStr">
        <is>
          <t>T</t>
        </is>
      </c>
      <c r="D2980" t="inlineStr">
        <is>
          <t>C</t>
        </is>
      </c>
      <c r="E2980" t="inlineStr">
        <is>
          <t>rs10022287</t>
        </is>
      </c>
      <c r="F2980" t="n">
        <v>0.0073758617999999</v>
      </c>
      <c r="G2980" t="n">
        <v>0.5998504566489229</v>
      </c>
      <c r="H2980" t="n">
        <v>0.023918520320106</v>
      </c>
      <c r="I2980" t="n">
        <v>0.0251448460516921</v>
      </c>
      <c r="J2980" t="n">
        <v>0.0098520407798757</v>
      </c>
      <c r="K2980" t="n">
        <v>0.8776210390974304</v>
      </c>
      <c r="L2980" t="b">
        <v>0</v>
      </c>
      <c r="M2980" t="b">
        <v>0</v>
      </c>
      <c r="N2980" t="inlineStr">
        <is>
          <t>alt</t>
        </is>
      </c>
      <c r="O2980" t="n">
        <v>50</v>
      </c>
      <c r="P2980" t="n">
        <v>0.0009959999999999999</v>
      </c>
      <c r="Q2980" t="n">
        <v>-70</v>
      </c>
      <c r="R2980" t="n">
        <v>0.02524</v>
      </c>
      <c r="S2980">
        <f>IMAGE("https://mitra.stanford.edu/kundaje/oak/projects/neuro-variants/variant_position/credible/roussos_2024/variant_figures/roussos_2024.adolescence.GLU/rs10022287_count_position.png",4,220,900)</f>
        <v/>
      </c>
      <c r="T2980">
        <f>IMAGE("https://mitra.stanford.edu/kundaje/oak/projects/neuro-variants/variant_position/credible/roussos_2024/variant_figures/roussos_2024.adolescence.GLU/rs10022287_profile_position.png",4,220,900)</f>
        <v/>
      </c>
    </row>
    <row r="2981">
      <c r="A2981" t="inlineStr">
        <is>
          <t>chr4</t>
        </is>
      </c>
      <c r="B2981" t="n">
        <v>34093031</v>
      </c>
      <c r="C2981" t="inlineStr">
        <is>
          <t>C</t>
        </is>
      </c>
      <c r="D2981" t="inlineStr">
        <is>
          <t>G</t>
        </is>
      </c>
      <c r="E2981" t="inlineStr">
        <is>
          <t>rs10010927</t>
        </is>
      </c>
      <c r="F2981" t="n">
        <v>-0.06654416539999999</v>
      </c>
      <c r="G2981" t="n">
        <v>0.0319561622358899</v>
      </c>
      <c r="H2981" t="n">
        <v>0.0190170639352262</v>
      </c>
      <c r="I2981" t="n">
        <v>0.0705188498746623</v>
      </c>
      <c r="J2981" t="n">
        <v>0.009437669231483601</v>
      </c>
      <c r="K2981" t="n">
        <v>0.8805897859901159</v>
      </c>
      <c r="L2981" t="b">
        <v>0</v>
      </c>
      <c r="M2981" t="b">
        <v>0</v>
      </c>
      <c r="N2981" t="inlineStr">
        <is>
          <t>ref</t>
        </is>
      </c>
      <c r="O2981" t="n">
        <v>60</v>
      </c>
      <c r="P2981" t="n">
        <v>0.0448</v>
      </c>
      <c r="Q2981" t="n">
        <v>-45</v>
      </c>
      <c r="R2981" t="n">
        <v>0.02051</v>
      </c>
      <c r="S2981">
        <f>IMAGE("https://mitra.stanford.edu/kundaje/oak/projects/neuro-variants/variant_position/credible/roussos_2024/variant_figures/roussos_2024.adolescence.GLU/rs10010927_count_position.png",4,220,900)</f>
        <v/>
      </c>
      <c r="T2981">
        <f>IMAGE("https://mitra.stanford.edu/kundaje/oak/projects/neuro-variants/variant_position/credible/roussos_2024/variant_figures/roussos_2024.adolescence.GLU/rs10010927_profile_position.png",4,220,900)</f>
        <v/>
      </c>
    </row>
    <row r="2982">
      <c r="A2982" t="inlineStr">
        <is>
          <t>chr4</t>
        </is>
      </c>
      <c r="B2982" t="n">
        <v>34093997</v>
      </c>
      <c r="C2982" t="inlineStr">
        <is>
          <t>C</t>
        </is>
      </c>
      <c r="D2982" t="inlineStr">
        <is>
          <t>T</t>
        </is>
      </c>
      <c r="E2982" t="inlineStr">
        <is>
          <t>rs28473456</t>
        </is>
      </c>
      <c r="F2982" t="n">
        <v>-0.064055554</v>
      </c>
      <c r="G2982" t="n">
        <v>0.0343363285695214</v>
      </c>
      <c r="H2982" t="n">
        <v>0.0112930832599599</v>
      </c>
      <c r="I2982" t="n">
        <v>0.3897544602473378</v>
      </c>
      <c r="J2982" t="n">
        <v>0.0010959413021268</v>
      </c>
      <c r="K2982" t="n">
        <v>0.9707819202024188</v>
      </c>
      <c r="L2982" t="b">
        <v>0</v>
      </c>
      <c r="M2982" t="b">
        <v>0</v>
      </c>
      <c r="N2982" t="inlineStr">
        <is>
          <t>ref</t>
        </is>
      </c>
      <c r="O2982" t="n">
        <v>100</v>
      </c>
      <c r="P2982" t="n">
        <v>0.008803999999999999</v>
      </c>
      <c r="Q2982" t="n">
        <v>-20</v>
      </c>
      <c r="R2982" t="n">
        <v>0.02289</v>
      </c>
      <c r="S2982">
        <f>IMAGE("https://mitra.stanford.edu/kundaje/oak/projects/neuro-variants/variant_position/credible/roussos_2024/variant_figures/roussos_2024.adolescence.GLU/rs28473456_count_position.png",4,220,900)</f>
        <v/>
      </c>
      <c r="T2982">
        <f>IMAGE("https://mitra.stanford.edu/kundaje/oak/projects/neuro-variants/variant_position/credible/roussos_2024/variant_figures/roussos_2024.adolescence.GLU/rs28473456_profile_position.png",4,220,900)</f>
        <v/>
      </c>
    </row>
    <row r="2983">
      <c r="A2983" t="inlineStr">
        <is>
          <t>chr4</t>
        </is>
      </c>
      <c r="B2983" t="n">
        <v>34096803</v>
      </c>
      <c r="C2983" t="inlineStr">
        <is>
          <t>C</t>
        </is>
      </c>
      <c r="D2983" t="inlineStr">
        <is>
          <t>T</t>
        </is>
      </c>
      <c r="E2983" t="inlineStr">
        <is>
          <t>rs6854464</t>
        </is>
      </c>
      <c r="F2983" t="n">
        <v>-0.040593319</v>
      </c>
      <c r="G2983" t="n">
        <v>0.1116855756344357</v>
      </c>
      <c r="H2983" t="n">
        <v>0.0106087426421352</v>
      </c>
      <c r="I2983" t="n">
        <v>0.4686777646766626</v>
      </c>
      <c r="J2983" t="n">
        <v>0.0029477534632173</v>
      </c>
      <c r="K2983" t="n">
        <v>0.9458575244557508</v>
      </c>
      <c r="L2983" t="b">
        <v>0</v>
      </c>
      <c r="M2983" t="b">
        <v>0</v>
      </c>
      <c r="N2983" t="inlineStr">
        <is>
          <t>ref</t>
        </is>
      </c>
      <c r="O2983" t="n">
        <v>100</v>
      </c>
      <c r="P2983" t="n">
        <v>0.004974</v>
      </c>
      <c r="Q2983" t="n">
        <v>-30</v>
      </c>
      <c r="R2983" t="n">
        <v>0.009705</v>
      </c>
      <c r="S2983">
        <f>IMAGE("https://mitra.stanford.edu/kundaje/oak/projects/neuro-variants/variant_position/credible/roussos_2024/variant_figures/roussos_2024.adolescence.GLU/rs6854464_count_position.png",4,220,900)</f>
        <v/>
      </c>
      <c r="T2983">
        <f>IMAGE("https://mitra.stanford.edu/kundaje/oak/projects/neuro-variants/variant_position/credible/roussos_2024/variant_figures/roussos_2024.adolescence.GLU/rs6854464_profile_position.png",4,220,900)</f>
        <v/>
      </c>
    </row>
    <row r="2984">
      <c r="A2984" t="inlineStr">
        <is>
          <t>chr4</t>
        </is>
      </c>
      <c r="B2984" t="n">
        <v>34106771</v>
      </c>
      <c r="C2984" t="inlineStr">
        <is>
          <t>A</t>
        </is>
      </c>
      <c r="D2984" t="inlineStr">
        <is>
          <t>G</t>
        </is>
      </c>
      <c r="E2984" t="inlineStr">
        <is>
          <t>rs34045875</t>
        </is>
      </c>
      <c r="F2984" t="n">
        <v>0.0581138242</v>
      </c>
      <c r="G2984" t="n">
        <v>0.0392127846591515</v>
      </c>
      <c r="H2984" t="n">
        <v>0.01440256408213</v>
      </c>
      <c r="I2984" t="n">
        <v>0.1872956287273251</v>
      </c>
      <c r="J2984" t="n">
        <v>0.0014174364689828</v>
      </c>
      <c r="K2984" t="n">
        <v>0.9680345404700722</v>
      </c>
      <c r="L2984" t="b">
        <v>0</v>
      </c>
      <c r="M2984" t="b">
        <v>0</v>
      </c>
      <c r="N2984" t="inlineStr">
        <is>
          <t>alt</t>
        </is>
      </c>
      <c r="O2984" t="n">
        <v>0</v>
      </c>
      <c r="P2984" t="n">
        <v>0</v>
      </c>
      <c r="Q2984" t="n">
        <v>90</v>
      </c>
      <c r="R2984" t="n">
        <v>0.01395</v>
      </c>
      <c r="S2984">
        <f>IMAGE("https://mitra.stanford.edu/kundaje/oak/projects/neuro-variants/variant_position/credible/roussos_2024/variant_figures/roussos_2024.adolescence.GLU/rs34045875_count_position.png",4,220,900)</f>
        <v/>
      </c>
      <c r="T2984">
        <f>IMAGE("https://mitra.stanford.edu/kundaje/oak/projects/neuro-variants/variant_position/credible/roussos_2024/variant_figures/roussos_2024.adolescence.GLU/rs34045875_profile_position.png",4,220,900)</f>
        <v/>
      </c>
    </row>
    <row r="2985">
      <c r="A2985" t="inlineStr">
        <is>
          <t>chr4</t>
        </is>
      </c>
      <c r="B2985" t="n">
        <v>34108692</v>
      </c>
      <c r="C2985" t="inlineStr">
        <is>
          <t>T</t>
        </is>
      </c>
      <c r="D2985" t="inlineStr">
        <is>
          <t>C</t>
        </is>
      </c>
      <c r="E2985" t="inlineStr">
        <is>
          <t>rs13149553</t>
        </is>
      </c>
      <c r="F2985" t="n">
        <v>0.004338670672</v>
      </c>
      <c r="G2985" t="n">
        <v>0.6822123859301442</v>
      </c>
      <c r="H2985" t="n">
        <v>0.0092531597230248</v>
      </c>
      <c r="I2985" t="n">
        <v>0.6344806949875083</v>
      </c>
      <c r="J2985" t="n">
        <v>0.0654378406955726</v>
      </c>
      <c r="K2985" t="n">
        <v>0.6528173766519938</v>
      </c>
      <c r="L2985" t="b">
        <v>0</v>
      </c>
      <c r="M2985" t="b">
        <v>0</v>
      </c>
      <c r="N2985" t="inlineStr">
        <is>
          <t>alt</t>
        </is>
      </c>
      <c r="O2985" t="n">
        <v>-100</v>
      </c>
      <c r="P2985" t="n">
        <v>0.0267</v>
      </c>
      <c r="Q2985" t="n">
        <v>-80</v>
      </c>
      <c r="R2985" t="n">
        <v>0.0829</v>
      </c>
      <c r="S2985">
        <f>IMAGE("https://mitra.stanford.edu/kundaje/oak/projects/neuro-variants/variant_position/credible/roussos_2024/variant_figures/roussos_2024.adolescence.GLU/rs13149553_count_position.png",4,220,900)</f>
        <v/>
      </c>
      <c r="T2985">
        <f>IMAGE("https://mitra.stanford.edu/kundaje/oak/projects/neuro-variants/variant_position/credible/roussos_2024/variant_figures/roussos_2024.adolescence.GLU/rs13149553_profile_position.png",4,220,900)</f>
        <v/>
      </c>
    </row>
    <row r="2986">
      <c r="A2986" t="inlineStr">
        <is>
          <t>chr4</t>
        </is>
      </c>
      <c r="B2986" t="n">
        <v>34108823</v>
      </c>
      <c r="C2986" t="inlineStr">
        <is>
          <t>A</t>
        </is>
      </c>
      <c r="D2986" t="inlineStr">
        <is>
          <t>G</t>
        </is>
      </c>
      <c r="E2986" t="inlineStr">
        <is>
          <t>rs13149360</t>
        </is>
      </c>
      <c r="F2986" t="n">
        <v>-0.0005812986419999</v>
      </c>
      <c r="G2986" t="n">
        <v>0.929029904692136</v>
      </c>
      <c r="H2986" t="n">
        <v>0.0256742910175188</v>
      </c>
      <c r="I2986" t="n">
        <v>0.0173200621436822</v>
      </c>
      <c r="J2986" t="n">
        <v>0.050557615506069</v>
      </c>
      <c r="K2986" t="n">
        <v>0.6960389426314176</v>
      </c>
      <c r="L2986" t="b">
        <v>1</v>
      </c>
      <c r="M2986" t="b">
        <v>0</v>
      </c>
      <c r="N2986" t="inlineStr">
        <is>
          <t>ref</t>
        </is>
      </c>
      <c r="O2986" t="n">
        <v>-90</v>
      </c>
      <c r="P2986" t="n">
        <v>0.007538</v>
      </c>
      <c r="Q2986" t="n">
        <v>-100</v>
      </c>
      <c r="R2986" t="n">
        <v>0.0561</v>
      </c>
      <c r="S2986">
        <f>IMAGE("https://mitra.stanford.edu/kundaje/oak/projects/neuro-variants/variant_position/credible/roussos_2024/variant_figures/roussos_2024.adolescence.GLU/rs13149360_count_position.png",4,220,900)</f>
        <v/>
      </c>
      <c r="T2986">
        <f>IMAGE("https://mitra.stanford.edu/kundaje/oak/projects/neuro-variants/variant_position/credible/roussos_2024/variant_figures/roussos_2024.adolescence.GLU/rs13149360_profile_position.png",4,220,900)</f>
        <v/>
      </c>
    </row>
    <row r="2987">
      <c r="A2987" t="inlineStr">
        <is>
          <t>chr4</t>
        </is>
      </c>
      <c r="B2987" t="n">
        <v>34114145</v>
      </c>
      <c r="C2987" t="inlineStr">
        <is>
          <t>C</t>
        </is>
      </c>
      <c r="D2987" t="inlineStr">
        <is>
          <t>T</t>
        </is>
      </c>
      <c r="E2987" t="inlineStr">
        <is>
          <t>rs3924385</t>
        </is>
      </c>
      <c r="F2987" t="n">
        <v>-0.0475591488</v>
      </c>
      <c r="G2987" t="n">
        <v>0.0759745193560091</v>
      </c>
      <c r="H2987" t="n">
        <v>0.0103915242543016</v>
      </c>
      <c r="I2987" t="n">
        <v>0.4744540286699132</v>
      </c>
      <c r="J2987" t="n">
        <v>0.0077644654964242</v>
      </c>
      <c r="K2987" t="n">
        <v>0.9009025490268984</v>
      </c>
      <c r="L2987" t="b">
        <v>0</v>
      </c>
      <c r="M2987" t="b">
        <v>0</v>
      </c>
      <c r="N2987" t="inlineStr">
        <is>
          <t>ref</t>
        </is>
      </c>
      <c r="O2987" t="n">
        <v>100</v>
      </c>
      <c r="P2987" t="n">
        <v>0.03876</v>
      </c>
      <c r="Q2987" t="n">
        <v>-45</v>
      </c>
      <c r="R2987" t="n">
        <v>0.05762</v>
      </c>
      <c r="S2987">
        <f>IMAGE("https://mitra.stanford.edu/kundaje/oak/projects/neuro-variants/variant_position/credible/roussos_2024/variant_figures/roussos_2024.adolescence.GLU/rs3924385_count_position.png",4,220,900)</f>
        <v/>
      </c>
      <c r="T2987">
        <f>IMAGE("https://mitra.stanford.edu/kundaje/oak/projects/neuro-variants/variant_position/credible/roussos_2024/variant_figures/roussos_2024.adolescence.GLU/rs3924385_profile_position.png",4,220,900)</f>
        <v/>
      </c>
    </row>
    <row r="2988">
      <c r="A2988" t="inlineStr">
        <is>
          <t>chr4</t>
        </is>
      </c>
      <c r="B2988" t="n">
        <v>34117837</v>
      </c>
      <c r="C2988" t="inlineStr">
        <is>
          <t>C</t>
        </is>
      </c>
      <c r="D2988" t="inlineStr">
        <is>
          <t>T</t>
        </is>
      </c>
      <c r="E2988" t="inlineStr">
        <is>
          <t>rs28491432</t>
        </is>
      </c>
      <c r="F2988" t="n">
        <v>-0.0064123355879999</v>
      </c>
      <c r="G2988" t="n">
        <v>0.6987392398775375</v>
      </c>
      <c r="H2988" t="n">
        <v>0.008275110575612201</v>
      </c>
      <c r="I2988" t="n">
        <v>0.7536013449754811</v>
      </c>
      <c r="J2988" t="n">
        <v>0.0116395539075951</v>
      </c>
      <c r="K2988" t="n">
        <v>0.8638280630544778</v>
      </c>
      <c r="L2988" t="b">
        <v>0</v>
      </c>
      <c r="M2988" t="b">
        <v>0</v>
      </c>
      <c r="N2988" t="inlineStr">
        <is>
          <t>ref</t>
        </is>
      </c>
      <c r="O2988" t="n">
        <v>-100</v>
      </c>
      <c r="P2988" t="n">
        <v>0.008574999999999999</v>
      </c>
      <c r="Q2988" t="n">
        <v>-100</v>
      </c>
      <c r="R2988" t="n">
        <v>0.07666000000000001</v>
      </c>
      <c r="S2988">
        <f>IMAGE("https://mitra.stanford.edu/kundaje/oak/projects/neuro-variants/variant_position/credible/roussos_2024/variant_figures/roussos_2024.adolescence.GLU/rs28491432_count_position.png",4,220,900)</f>
        <v/>
      </c>
      <c r="T2988">
        <f>IMAGE("https://mitra.stanford.edu/kundaje/oak/projects/neuro-variants/variant_position/credible/roussos_2024/variant_figures/roussos_2024.adolescence.GLU/rs28491432_profile_position.png",4,220,900)</f>
        <v/>
      </c>
    </row>
    <row r="2989">
      <c r="A2989" t="inlineStr">
        <is>
          <t>chr4</t>
        </is>
      </c>
      <c r="B2989" t="n">
        <v>34120165</v>
      </c>
      <c r="C2989" t="inlineStr">
        <is>
          <t>C</t>
        </is>
      </c>
      <c r="D2989" t="inlineStr">
        <is>
          <t>A</t>
        </is>
      </c>
      <c r="E2989" t="inlineStr">
        <is>
          <t>rs13126801</t>
        </is>
      </c>
      <c r="F2989" t="n">
        <v>0.0276282376</v>
      </c>
      <c r="G2989" t="n">
        <v>0.1967891009067682</v>
      </c>
      <c r="H2989" t="n">
        <v>0.0190429933656726</v>
      </c>
      <c r="I2989" t="n">
        <v>0.07441987236460219</v>
      </c>
      <c r="J2989" t="n">
        <v>0.2099506326310449</v>
      </c>
      <c r="K2989" t="n">
        <v>0.378509950978059</v>
      </c>
      <c r="L2989" t="b">
        <v>0</v>
      </c>
      <c r="M2989" t="b">
        <v>0</v>
      </c>
      <c r="N2989" t="inlineStr">
        <is>
          <t>alt</t>
        </is>
      </c>
      <c r="O2989" t="n">
        <v>-35</v>
      </c>
      <c r="P2989" t="n">
        <v>0.00842</v>
      </c>
      <c r="Q2989" t="n">
        <v>100</v>
      </c>
      <c r="R2989" t="n">
        <v>0.06419999999999999</v>
      </c>
      <c r="S2989">
        <f>IMAGE("https://mitra.stanford.edu/kundaje/oak/projects/neuro-variants/variant_position/credible/roussos_2024/variant_figures/roussos_2024.adolescence.GLU/rs13126801_count_position.png",4,220,900)</f>
        <v/>
      </c>
      <c r="T2989">
        <f>IMAGE("https://mitra.stanford.edu/kundaje/oak/projects/neuro-variants/variant_position/credible/roussos_2024/variant_figures/roussos_2024.adolescence.GLU/rs13126801_profile_position.png",4,220,900)</f>
        <v/>
      </c>
    </row>
    <row r="2990">
      <c r="A2990" t="inlineStr">
        <is>
          <t>chr4</t>
        </is>
      </c>
      <c r="B2990" t="n">
        <v>34121752</v>
      </c>
      <c r="C2990" t="inlineStr">
        <is>
          <t>T</t>
        </is>
      </c>
      <c r="D2990" t="inlineStr">
        <is>
          <t>C</t>
        </is>
      </c>
      <c r="E2990" t="inlineStr">
        <is>
          <t>rs80143073</t>
        </is>
      </c>
      <c r="F2990" t="n">
        <v>0.00087168858</v>
      </c>
      <c r="G2990" t="n">
        <v>0.7389021554295621</v>
      </c>
      <c r="H2990" t="n">
        <v>0.0381500998303788</v>
      </c>
      <c r="I2990" t="n">
        <v>0.0035482057880302</v>
      </c>
      <c r="J2990" t="n">
        <v>0.1360496102764143</v>
      </c>
      <c r="K2990" t="n">
        <v>0.5069409070795456</v>
      </c>
      <c r="L2990" t="b">
        <v>1</v>
      </c>
      <c r="M2990" t="b">
        <v>1</v>
      </c>
      <c r="N2990" t="inlineStr">
        <is>
          <t>alt</t>
        </is>
      </c>
      <c r="O2990" t="n">
        <v>-85</v>
      </c>
      <c r="P2990" t="n">
        <v>0.008460000000000001</v>
      </c>
      <c r="Q2990" t="n">
        <v>100</v>
      </c>
      <c r="R2990" t="n">
        <v>0.02524</v>
      </c>
      <c r="S2990">
        <f>IMAGE("https://mitra.stanford.edu/kundaje/oak/projects/neuro-variants/variant_position/credible/roussos_2024/variant_figures/roussos_2024.adolescence.GLU/rs80143073_count_position.png",4,220,900)</f>
        <v/>
      </c>
      <c r="T2990">
        <f>IMAGE("https://mitra.stanford.edu/kundaje/oak/projects/neuro-variants/variant_position/credible/roussos_2024/variant_figures/roussos_2024.adolescence.GLU/rs80143073_profile_position.png",4,220,900)</f>
        <v/>
      </c>
    </row>
    <row r="2991">
      <c r="A2991" t="inlineStr">
        <is>
          <t>chr4</t>
        </is>
      </c>
      <c r="B2991" t="n">
        <v>34126545</v>
      </c>
      <c r="C2991" t="inlineStr">
        <is>
          <t>A</t>
        </is>
      </c>
      <c r="D2991" t="inlineStr">
        <is>
          <t>G</t>
        </is>
      </c>
      <c r="E2991" t="inlineStr">
        <is>
          <t>rs28576298</t>
        </is>
      </c>
      <c r="F2991" t="n">
        <v>-0.00138840938</v>
      </c>
      <c r="G2991" t="n">
        <v>0.7508831375959077</v>
      </c>
      <c r="H2991" t="n">
        <v>0.0216179825257016</v>
      </c>
      <c r="I2991" t="n">
        <v>0.0408171739807969</v>
      </c>
      <c r="J2991" t="n">
        <v>0.0018718163048059</v>
      </c>
      <c r="K2991" t="n">
        <v>0.9617100973051808</v>
      </c>
      <c r="L2991" t="b">
        <v>0</v>
      </c>
      <c r="M2991" t="b">
        <v>0</v>
      </c>
      <c r="N2991" t="inlineStr">
        <is>
          <t>ref</t>
        </is>
      </c>
      <c r="O2991" t="n">
        <v>95</v>
      </c>
      <c r="P2991" t="n">
        <v>0.001999</v>
      </c>
      <c r="Q2991" t="n">
        <v>100</v>
      </c>
      <c r="R2991" t="n">
        <v>0.02919</v>
      </c>
      <c r="S2991">
        <f>IMAGE("https://mitra.stanford.edu/kundaje/oak/projects/neuro-variants/variant_position/credible/roussos_2024/variant_figures/roussos_2024.adolescence.GLU/rs28576298_count_position.png",4,220,900)</f>
        <v/>
      </c>
      <c r="T2991">
        <f>IMAGE("https://mitra.stanford.edu/kundaje/oak/projects/neuro-variants/variant_position/credible/roussos_2024/variant_figures/roussos_2024.adolescence.GLU/rs28576298_profile_position.png",4,220,900)</f>
        <v/>
      </c>
    </row>
    <row r="2992">
      <c r="A2992" t="inlineStr">
        <is>
          <t>chr4</t>
        </is>
      </c>
      <c r="B2992" t="n">
        <v>34130538</v>
      </c>
      <c r="C2992" t="inlineStr">
        <is>
          <t>C</t>
        </is>
      </c>
      <c r="D2992" t="inlineStr">
        <is>
          <t>A</t>
        </is>
      </c>
      <c r="E2992" t="inlineStr">
        <is>
          <t>rs59815841</t>
        </is>
      </c>
      <c r="F2992" t="n">
        <v>-0.0006558527859999</v>
      </c>
      <c r="G2992" t="n">
        <v>0.8594029053876152</v>
      </c>
      <c r="H2992" t="n">
        <v>0.0124604485713055</v>
      </c>
      <c r="I2992" t="n">
        <v>0.2982538454568603</v>
      </c>
      <c r="J2992" t="n">
        <v>0.032918247351237</v>
      </c>
      <c r="K2992" t="n">
        <v>0.7581708112300357</v>
      </c>
      <c r="L2992" t="b">
        <v>0</v>
      </c>
      <c r="M2992" t="b">
        <v>0</v>
      </c>
      <c r="N2992" t="inlineStr">
        <is>
          <t>ref</t>
        </is>
      </c>
      <c r="O2992" t="n">
        <v>-95</v>
      </c>
      <c r="P2992" t="n">
        <v>0.005005</v>
      </c>
      <c r="Q2992" t="n">
        <v>-100</v>
      </c>
      <c r="R2992" t="n">
        <v>0.04608</v>
      </c>
      <c r="S2992">
        <f>IMAGE("https://mitra.stanford.edu/kundaje/oak/projects/neuro-variants/variant_position/credible/roussos_2024/variant_figures/roussos_2024.adolescence.GLU/rs59815841_count_position.png",4,220,900)</f>
        <v/>
      </c>
      <c r="T2992">
        <f>IMAGE("https://mitra.stanford.edu/kundaje/oak/projects/neuro-variants/variant_position/credible/roussos_2024/variant_figures/roussos_2024.adolescence.GLU/rs59815841_profile_position.png",4,220,900)</f>
        <v/>
      </c>
    </row>
    <row r="2993">
      <c r="A2993" t="inlineStr">
        <is>
          <t>chr4</t>
        </is>
      </c>
      <c r="B2993" t="n">
        <v>34141538</v>
      </c>
      <c r="C2993" t="inlineStr">
        <is>
          <t>A</t>
        </is>
      </c>
      <c r="D2993" t="inlineStr">
        <is>
          <t>C</t>
        </is>
      </c>
      <c r="E2993" t="inlineStr">
        <is>
          <t>rs7697283</t>
        </is>
      </c>
      <c r="F2993" t="n">
        <v>-0.0097351840799999</v>
      </c>
      <c r="G2993" t="n">
        <v>0.5610431489829898</v>
      </c>
      <c r="H2993" t="n">
        <v>0.0249803597497915</v>
      </c>
      <c r="I2993" t="n">
        <v>0.0202805335243091</v>
      </c>
      <c r="J2993" t="n">
        <v>0.030289131320059</v>
      </c>
      <c r="K2993" t="n">
        <v>0.7764612464411594</v>
      </c>
      <c r="L2993" t="b">
        <v>0</v>
      </c>
      <c r="M2993" t="b">
        <v>0</v>
      </c>
      <c r="N2993" t="inlineStr">
        <is>
          <t>ref</t>
        </is>
      </c>
      <c r="O2993" t="n">
        <v>25</v>
      </c>
      <c r="P2993" t="n">
        <v>0.0054</v>
      </c>
      <c r="Q2993" t="n">
        <v>90</v>
      </c>
      <c r="R2993" t="n">
        <v>0.05954</v>
      </c>
      <c r="S2993">
        <f>IMAGE("https://mitra.stanford.edu/kundaje/oak/projects/neuro-variants/variant_position/credible/roussos_2024/variant_figures/roussos_2024.adolescence.GLU/rs7697283_count_position.png",4,220,900)</f>
        <v/>
      </c>
      <c r="T2993">
        <f>IMAGE("https://mitra.stanford.edu/kundaje/oak/projects/neuro-variants/variant_position/credible/roussos_2024/variant_figures/roussos_2024.adolescence.GLU/rs7697283_profile_position.png",4,220,900)</f>
        <v/>
      </c>
    </row>
    <row r="2994">
      <c r="A2994" t="inlineStr">
        <is>
          <t>chr4</t>
        </is>
      </c>
      <c r="B2994" t="n">
        <v>34145116</v>
      </c>
      <c r="C2994" t="inlineStr">
        <is>
          <t>C</t>
        </is>
      </c>
      <c r="D2994" t="inlineStr">
        <is>
          <t>G</t>
        </is>
      </c>
      <c r="E2994" t="inlineStr">
        <is>
          <t>rs9784438</t>
        </is>
      </c>
      <c r="F2994" t="n">
        <v>0.0560289722</v>
      </c>
      <c r="G2994" t="n">
        <v>0.0466588794103828</v>
      </c>
      <c r="H2994" t="n">
        <v>0.0137950128818283</v>
      </c>
      <c r="I2994" t="n">
        <v>0.2204684141053936</v>
      </c>
      <c r="J2994" t="n">
        <v>0.0559587343092497</v>
      </c>
      <c r="K2994" t="n">
        <v>0.6809663990826873</v>
      </c>
      <c r="L2994" t="b">
        <v>0</v>
      </c>
      <c r="M2994" t="b">
        <v>0</v>
      </c>
      <c r="N2994" t="inlineStr">
        <is>
          <t>alt</t>
        </is>
      </c>
      <c r="O2994" t="n">
        <v>-65</v>
      </c>
      <c r="P2994" t="n">
        <v>0.01605</v>
      </c>
      <c r="Q2994" t="n">
        <v>-55</v>
      </c>
      <c r="R2994" t="n">
        <v>0.01904</v>
      </c>
      <c r="S2994">
        <f>IMAGE("https://mitra.stanford.edu/kundaje/oak/projects/neuro-variants/variant_position/credible/roussos_2024/variant_figures/roussos_2024.adolescence.GLU/rs9784438_count_position.png",4,220,900)</f>
        <v/>
      </c>
      <c r="T2994">
        <f>IMAGE("https://mitra.stanford.edu/kundaje/oak/projects/neuro-variants/variant_position/credible/roussos_2024/variant_figures/roussos_2024.adolescence.GLU/rs9784438_profile_position.png",4,220,900)</f>
        <v/>
      </c>
    </row>
    <row r="2995">
      <c r="A2995" t="inlineStr">
        <is>
          <t>chr4</t>
        </is>
      </c>
      <c r="B2995" t="n">
        <v>34147877</v>
      </c>
      <c r="C2995" t="inlineStr">
        <is>
          <t>T</t>
        </is>
      </c>
      <c r="D2995" t="inlineStr">
        <is>
          <t>A</t>
        </is>
      </c>
      <c r="E2995" t="inlineStr">
        <is>
          <t>rs7434297</t>
        </is>
      </c>
      <c r="F2995" t="n">
        <v>0.008091015199999999</v>
      </c>
      <c r="G2995" t="n">
        <v>0.5760125970522741</v>
      </c>
      <c r="H2995" t="n">
        <v>0.0100933486396565</v>
      </c>
      <c r="I2995" t="n">
        <v>0.4894449460623361</v>
      </c>
      <c r="J2995" t="n">
        <v>0.0386737252716633</v>
      </c>
      <c r="K2995" t="n">
        <v>0.7385641606418203</v>
      </c>
      <c r="L2995" t="b">
        <v>0</v>
      </c>
      <c r="M2995" t="b">
        <v>0</v>
      </c>
      <c r="N2995" t="inlineStr">
        <is>
          <t>alt</t>
        </is>
      </c>
      <c r="O2995" t="n">
        <v>-65</v>
      </c>
      <c r="P2995" t="n">
        <v>0.003021</v>
      </c>
      <c r="Q2995" t="n">
        <v>100</v>
      </c>
      <c r="R2995" t="n">
        <v>0.02219</v>
      </c>
      <c r="S2995">
        <f>IMAGE("https://mitra.stanford.edu/kundaje/oak/projects/neuro-variants/variant_position/credible/roussos_2024/variant_figures/roussos_2024.adolescence.GLU/rs7434297_count_position.png",4,220,900)</f>
        <v/>
      </c>
      <c r="T2995">
        <f>IMAGE("https://mitra.stanford.edu/kundaje/oak/projects/neuro-variants/variant_position/credible/roussos_2024/variant_figures/roussos_2024.adolescence.GLU/rs7434297_profile_position.png",4,220,900)</f>
        <v/>
      </c>
    </row>
    <row r="2996">
      <c r="A2996" t="inlineStr">
        <is>
          <t>chr4</t>
        </is>
      </c>
      <c r="B2996" t="n">
        <v>34154339</v>
      </c>
      <c r="C2996" t="inlineStr">
        <is>
          <t>A</t>
        </is>
      </c>
      <c r="D2996" t="inlineStr">
        <is>
          <t>G</t>
        </is>
      </c>
      <c r="E2996" t="inlineStr">
        <is>
          <t>rs13146507</t>
        </is>
      </c>
      <c r="F2996" t="n">
        <v>0.002665011716</v>
      </c>
      <c r="G2996" t="n">
        <v>0.8229110512379091</v>
      </c>
      <c r="H2996" t="n">
        <v>0.0224147398231189</v>
      </c>
      <c r="I2996" t="n">
        <v>0.0357318187430505</v>
      </c>
      <c r="J2996" t="n">
        <v>2.857734816497704e-05</v>
      </c>
      <c r="K2996" t="n">
        <v>0.9981515114011916</v>
      </c>
      <c r="L2996" t="b">
        <v>0</v>
      </c>
      <c r="M2996" t="b">
        <v>0</v>
      </c>
      <c r="N2996" t="inlineStr">
        <is>
          <t>alt</t>
        </is>
      </c>
      <c r="O2996" t="n">
        <v>55</v>
      </c>
      <c r="P2996" t="n">
        <v>0.001032</v>
      </c>
      <c r="Q2996" t="n">
        <v>-100</v>
      </c>
      <c r="R2996" t="n">
        <v>0.05753</v>
      </c>
      <c r="S2996">
        <f>IMAGE("https://mitra.stanford.edu/kundaje/oak/projects/neuro-variants/variant_position/credible/roussos_2024/variant_figures/roussos_2024.adolescence.GLU/rs13146507_count_position.png",4,220,900)</f>
        <v/>
      </c>
      <c r="T2996">
        <f>IMAGE("https://mitra.stanford.edu/kundaje/oak/projects/neuro-variants/variant_position/credible/roussos_2024/variant_figures/roussos_2024.adolescence.GLU/rs13146507_profile_position.png",4,220,900)</f>
        <v/>
      </c>
    </row>
    <row r="2997">
      <c r="A2997" t="inlineStr">
        <is>
          <t>chr4</t>
        </is>
      </c>
      <c r="B2997" t="n">
        <v>34156746</v>
      </c>
      <c r="C2997" t="inlineStr">
        <is>
          <t>A</t>
        </is>
      </c>
      <c r="D2997" t="inlineStr">
        <is>
          <t>T</t>
        </is>
      </c>
      <c r="E2997" t="inlineStr">
        <is>
          <t>rs77453134</t>
        </is>
      </c>
      <c r="F2997" t="n">
        <v>-0.0062298849399999</v>
      </c>
      <c r="G2997" t="n">
        <v>0.6916198909215792</v>
      </c>
      <c r="H2997" t="n">
        <v>0.02018118511173</v>
      </c>
      <c r="I2997" t="n">
        <v>0.054304937370825</v>
      </c>
      <c r="J2997" t="n">
        <v>0.007861628480185101</v>
      </c>
      <c r="K2997" t="n">
        <v>0.8952643796512298</v>
      </c>
      <c r="L2997" t="b">
        <v>0</v>
      </c>
      <c r="M2997" t="b">
        <v>0</v>
      </c>
      <c r="N2997" t="inlineStr">
        <is>
          <t>ref</t>
        </is>
      </c>
      <c r="O2997" t="n">
        <v>-95</v>
      </c>
      <c r="P2997" t="n">
        <v>0.0324</v>
      </c>
      <c r="Q2997" t="n">
        <v>95</v>
      </c>
      <c r="R2997" t="n">
        <v>0.0359</v>
      </c>
      <c r="S2997">
        <f>IMAGE("https://mitra.stanford.edu/kundaje/oak/projects/neuro-variants/variant_position/credible/roussos_2024/variant_figures/roussos_2024.adolescence.GLU/rs77453134_count_position.png",4,220,900)</f>
        <v/>
      </c>
      <c r="T2997">
        <f>IMAGE("https://mitra.stanford.edu/kundaje/oak/projects/neuro-variants/variant_position/credible/roussos_2024/variant_figures/roussos_2024.adolescence.GLU/rs77453134_profile_position.png",4,220,900)</f>
        <v/>
      </c>
    </row>
    <row r="2998">
      <c r="A2998" t="inlineStr">
        <is>
          <t>chr4</t>
        </is>
      </c>
      <c r="B2998" t="n">
        <v>34156941</v>
      </c>
      <c r="C2998" t="inlineStr">
        <is>
          <t>A</t>
        </is>
      </c>
      <c r="D2998" t="inlineStr">
        <is>
          <t>G</t>
        </is>
      </c>
      <c r="E2998" t="inlineStr">
        <is>
          <t>rs10019288</t>
        </is>
      </c>
      <c r="F2998" t="n">
        <v>0.0439160722</v>
      </c>
      <c r="G2998" t="n">
        <v>0.09410737549099001</v>
      </c>
      <c r="H2998" t="n">
        <v>0.0180235690947154</v>
      </c>
      <c r="I2998" t="n">
        <v>0.1012143837001098</v>
      </c>
      <c r="J2998" t="n">
        <v>0.0069757306870708</v>
      </c>
      <c r="K2998" t="n">
        <v>0.9049699938788568</v>
      </c>
      <c r="L2998" t="b">
        <v>0</v>
      </c>
      <c r="M2998" t="b">
        <v>0</v>
      </c>
      <c r="N2998" t="inlineStr">
        <is>
          <t>alt</t>
        </is>
      </c>
      <c r="O2998" t="n">
        <v>100</v>
      </c>
      <c r="P2998" t="n">
        <v>0.01404</v>
      </c>
      <c r="Q2998" t="n">
        <v>-85</v>
      </c>
      <c r="R2998" t="n">
        <v>0.01001</v>
      </c>
      <c r="S2998">
        <f>IMAGE("https://mitra.stanford.edu/kundaje/oak/projects/neuro-variants/variant_position/credible/roussos_2024/variant_figures/roussos_2024.adolescence.GLU/rs10019288_count_position.png",4,220,900)</f>
        <v/>
      </c>
      <c r="T2998">
        <f>IMAGE("https://mitra.stanford.edu/kundaje/oak/projects/neuro-variants/variant_position/credible/roussos_2024/variant_figures/roussos_2024.adolescence.GLU/rs10019288_profile_position.png",4,220,900)</f>
        <v/>
      </c>
    </row>
    <row r="2999">
      <c r="A2999" t="inlineStr">
        <is>
          <t>chr4</t>
        </is>
      </c>
      <c r="B2999" t="n">
        <v>34164475</v>
      </c>
      <c r="C2999" t="inlineStr">
        <is>
          <t>C</t>
        </is>
      </c>
      <c r="D2999" t="inlineStr">
        <is>
          <t>G</t>
        </is>
      </c>
      <c r="E2999" t="inlineStr">
        <is>
          <t>rs13102895</t>
        </is>
      </c>
      <c r="F2999" t="n">
        <v>-0.093440368</v>
      </c>
      <c r="G2999" t="n">
        <v>0.009351970159317999</v>
      </c>
      <c r="H2999" t="n">
        <v>0.0300901178240964</v>
      </c>
      <c r="I2999" t="n">
        <v>0.009111810255445</v>
      </c>
      <c r="J2999" t="n">
        <v>0.012644047695594</v>
      </c>
      <c r="K2999" t="n">
        <v>0.8584616334898222</v>
      </c>
      <c r="L2999" t="b">
        <v>1</v>
      </c>
      <c r="M2999" t="b">
        <v>1</v>
      </c>
      <c r="N2999" t="inlineStr">
        <is>
          <t>ref</t>
        </is>
      </c>
      <c r="O2999" t="n">
        <v>-15</v>
      </c>
      <c r="P2999" t="n">
        <v>0.004562</v>
      </c>
      <c r="Q2999" t="n">
        <v>-80</v>
      </c>
      <c r="R2999" t="n">
        <v>0.04425</v>
      </c>
      <c r="S2999">
        <f>IMAGE("https://mitra.stanford.edu/kundaje/oak/projects/neuro-variants/variant_position/credible/roussos_2024/variant_figures/roussos_2024.adolescence.GLU/rs13102895_count_position.png",4,220,900)</f>
        <v/>
      </c>
      <c r="T2999">
        <f>IMAGE("https://mitra.stanford.edu/kundaje/oak/projects/neuro-variants/variant_position/credible/roussos_2024/variant_figures/roussos_2024.adolescence.GLU/rs13102895_profile_position.png",4,220,900)</f>
        <v/>
      </c>
    </row>
    <row r="3000">
      <c r="A3000" t="inlineStr">
        <is>
          <t>chr4</t>
        </is>
      </c>
      <c r="B3000" t="n">
        <v>34164875</v>
      </c>
      <c r="C3000" t="inlineStr">
        <is>
          <t>A</t>
        </is>
      </c>
      <c r="D3000" t="inlineStr">
        <is>
          <t>G</t>
        </is>
      </c>
      <c r="E3000" t="inlineStr">
        <is>
          <t>rs7435170</t>
        </is>
      </c>
      <c r="F3000" t="n">
        <v>-0.002661089608</v>
      </c>
      <c r="G3000" t="n">
        <v>0.8040789939188164</v>
      </c>
      <c r="H3000" t="n">
        <v>0.0215781869324312</v>
      </c>
      <c r="I3000" t="n">
        <v>0.0388391325099697</v>
      </c>
      <c r="J3000" t="n">
        <v>0.0036536139628922</v>
      </c>
      <c r="K3000" t="n">
        <v>0.932253489715438</v>
      </c>
      <c r="L3000" t="b">
        <v>0</v>
      </c>
      <c r="M3000" t="b">
        <v>0</v>
      </c>
      <c r="N3000" t="inlineStr">
        <is>
          <t>ref</t>
        </is>
      </c>
      <c r="O3000" t="n">
        <v>-30</v>
      </c>
      <c r="P3000" t="n">
        <v>0.000553</v>
      </c>
      <c r="Q3000" t="n">
        <v>-100</v>
      </c>
      <c r="R3000" t="n">
        <v>0.05756</v>
      </c>
      <c r="S3000">
        <f>IMAGE("https://mitra.stanford.edu/kundaje/oak/projects/neuro-variants/variant_position/credible/roussos_2024/variant_figures/roussos_2024.adolescence.GLU/rs7435170_count_position.png",4,220,900)</f>
        <v/>
      </c>
      <c r="T3000">
        <f>IMAGE("https://mitra.stanford.edu/kundaje/oak/projects/neuro-variants/variant_position/credible/roussos_2024/variant_figures/roussos_2024.adolescence.GLU/rs7435170_profile_position.png",4,220,900)</f>
        <v/>
      </c>
    </row>
    <row r="3001">
      <c r="A3001" t="inlineStr">
        <is>
          <t>chr4</t>
        </is>
      </c>
      <c r="B3001" t="n">
        <v>34170690</v>
      </c>
      <c r="C3001" t="inlineStr">
        <is>
          <t>T</t>
        </is>
      </c>
      <c r="D3001" t="inlineStr">
        <is>
          <t>C</t>
        </is>
      </c>
      <c r="E3001" t="inlineStr">
        <is>
          <t>rs7435994</t>
        </is>
      </c>
      <c r="F3001" t="n">
        <v>0.06528517</v>
      </c>
      <c r="G3001" t="n">
        <v>0.0301201665711239</v>
      </c>
      <c r="H3001" t="n">
        <v>0.015870010033291</v>
      </c>
      <c r="I3001" t="n">
        <v>0.1379638365350114</v>
      </c>
      <c r="J3001" t="n">
        <v>0.0321052217959434</v>
      </c>
      <c r="K3001" t="n">
        <v>0.7632178473574914</v>
      </c>
      <c r="L3001" t="b">
        <v>0</v>
      </c>
      <c r="M3001" t="b">
        <v>0</v>
      </c>
      <c r="N3001" t="inlineStr">
        <is>
          <t>alt</t>
        </is>
      </c>
      <c r="O3001" t="n">
        <v>35</v>
      </c>
      <c r="P3001" t="n">
        <v>0.008789999999999999</v>
      </c>
      <c r="Q3001" t="n">
        <v>35</v>
      </c>
      <c r="R3001" t="n">
        <v>0.04675</v>
      </c>
      <c r="S3001">
        <f>IMAGE("https://mitra.stanford.edu/kundaje/oak/projects/neuro-variants/variant_position/credible/roussos_2024/variant_figures/roussos_2024.adolescence.GLU/rs7435994_count_position.png",4,220,900)</f>
        <v/>
      </c>
      <c r="T3001">
        <f>IMAGE("https://mitra.stanford.edu/kundaje/oak/projects/neuro-variants/variant_position/credible/roussos_2024/variant_figures/roussos_2024.adolescence.GLU/rs7435994_profile_position.png",4,220,900)</f>
        <v/>
      </c>
    </row>
    <row r="3002">
      <c r="A3002" t="inlineStr">
        <is>
          <t>chr4</t>
        </is>
      </c>
      <c r="B3002" t="n">
        <v>34170728</v>
      </c>
      <c r="C3002" t="inlineStr">
        <is>
          <t>G</t>
        </is>
      </c>
      <c r="D3002" t="inlineStr">
        <is>
          <t>A</t>
        </is>
      </c>
      <c r="E3002" t="inlineStr">
        <is>
          <t>rs28581574</t>
        </is>
      </c>
      <c r="F3002" t="n">
        <v>0.00619887652</v>
      </c>
      <c r="G3002" t="n">
        <v>0.625675623302246</v>
      </c>
      <c r="H3002" t="n">
        <v>0.0146612971645452</v>
      </c>
      <c r="I3002" t="n">
        <v>0.1776674794550743</v>
      </c>
      <c r="J3002" t="n">
        <v>0.0240749869615848</v>
      </c>
      <c r="K3002" t="n">
        <v>0.79934704389672</v>
      </c>
      <c r="L3002" t="b">
        <v>0</v>
      </c>
      <c r="M3002" t="b">
        <v>0</v>
      </c>
      <c r="N3002" t="inlineStr">
        <is>
          <t>alt</t>
        </is>
      </c>
      <c r="O3002" t="n">
        <v>-5</v>
      </c>
      <c r="P3002" t="n">
        <v>0.0003357</v>
      </c>
      <c r="Q3002" t="n">
        <v>-5</v>
      </c>
      <c r="R3002" t="n">
        <v>0.005615</v>
      </c>
      <c r="S3002">
        <f>IMAGE("https://mitra.stanford.edu/kundaje/oak/projects/neuro-variants/variant_position/credible/roussos_2024/variant_figures/roussos_2024.adolescence.GLU/rs28581574_count_position.png",4,220,900)</f>
        <v/>
      </c>
      <c r="T3002">
        <f>IMAGE("https://mitra.stanford.edu/kundaje/oak/projects/neuro-variants/variant_position/credible/roussos_2024/variant_figures/roussos_2024.adolescence.GLU/rs28581574_profile_position.png",4,220,900)</f>
        <v/>
      </c>
    </row>
    <row r="3003">
      <c r="A3003" t="inlineStr">
        <is>
          <t>chr4</t>
        </is>
      </c>
      <c r="B3003" t="n">
        <v>34179905</v>
      </c>
      <c r="C3003" t="inlineStr">
        <is>
          <t>A</t>
        </is>
      </c>
      <c r="D3003" t="inlineStr">
        <is>
          <t>T</t>
        </is>
      </c>
      <c r="E3003" t="inlineStr">
        <is>
          <t>rs35684722</t>
        </is>
      </c>
      <c r="F3003" t="n">
        <v>-0.000173803746</v>
      </c>
      <c r="G3003" t="n">
        <v>0.8802550811546315</v>
      </c>
      <c r="H3003" t="n">
        <v>0.0181836240997835</v>
      </c>
      <c r="I3003" t="n">
        <v>0.08096298286834799</v>
      </c>
      <c r="J3003" t="n">
        <v>0.0072243536161061</v>
      </c>
      <c r="K3003" t="n">
        <v>0.906087804694343</v>
      </c>
      <c r="L3003" t="b">
        <v>0</v>
      </c>
      <c r="M3003" t="b">
        <v>0</v>
      </c>
      <c r="N3003" t="inlineStr">
        <is>
          <t>ref</t>
        </is>
      </c>
      <c r="O3003" t="n">
        <v>85</v>
      </c>
      <c r="P3003" t="n">
        <v>0.00725</v>
      </c>
      <c r="Q3003" t="n">
        <v>-30</v>
      </c>
      <c r="R3003" t="n">
        <v>0.01413</v>
      </c>
      <c r="S3003">
        <f>IMAGE("https://mitra.stanford.edu/kundaje/oak/projects/neuro-variants/variant_position/credible/roussos_2024/variant_figures/roussos_2024.adolescence.GLU/rs35684722_count_position.png",4,220,900)</f>
        <v/>
      </c>
      <c r="T3003">
        <f>IMAGE("https://mitra.stanford.edu/kundaje/oak/projects/neuro-variants/variant_position/credible/roussos_2024/variant_figures/roussos_2024.adolescence.GLU/rs35684722_profile_position.png",4,220,900)</f>
        <v/>
      </c>
    </row>
    <row r="3004">
      <c r="A3004" t="inlineStr">
        <is>
          <t>chr4</t>
        </is>
      </c>
      <c r="B3004" t="n">
        <v>34188299</v>
      </c>
      <c r="C3004" t="inlineStr">
        <is>
          <t>G</t>
        </is>
      </c>
      <c r="D3004" t="inlineStr">
        <is>
          <t>A</t>
        </is>
      </c>
      <c r="E3004" t="inlineStr">
        <is>
          <t>rs58186080</t>
        </is>
      </c>
      <c r="F3004" t="n">
        <v>-0.055436693</v>
      </c>
      <c r="G3004" t="n">
        <v>0.0499341341332414</v>
      </c>
      <c r="H3004" t="n">
        <v>0.0133179923922942</v>
      </c>
      <c r="I3004" t="n">
        <v>0.2403888571381497</v>
      </c>
      <c r="J3004" t="n">
        <v>0.0702674125354537</v>
      </c>
      <c r="K3004" t="n">
        <v>0.6474970870435254</v>
      </c>
      <c r="L3004" t="b">
        <v>0</v>
      </c>
      <c r="M3004" t="b">
        <v>0</v>
      </c>
      <c r="N3004" t="inlineStr">
        <is>
          <t>ref</t>
        </is>
      </c>
      <c r="O3004" t="n">
        <v>95</v>
      </c>
      <c r="P3004" t="n">
        <v>0.006634</v>
      </c>
      <c r="Q3004" t="n">
        <v>100</v>
      </c>
      <c r="R3004" t="n">
        <v>0.1234</v>
      </c>
      <c r="S3004">
        <f>IMAGE("https://mitra.stanford.edu/kundaje/oak/projects/neuro-variants/variant_position/credible/roussos_2024/variant_figures/roussos_2024.adolescence.GLU/rs58186080_count_position.png",4,220,900)</f>
        <v/>
      </c>
      <c r="T3004">
        <f>IMAGE("https://mitra.stanford.edu/kundaje/oak/projects/neuro-variants/variant_position/credible/roussos_2024/variant_figures/roussos_2024.adolescence.GLU/rs58186080_profile_position.png",4,220,900)</f>
        <v/>
      </c>
    </row>
    <row r="3005">
      <c r="A3005" t="inlineStr">
        <is>
          <t>chr4</t>
        </is>
      </c>
      <c r="B3005" t="n">
        <v>34192231</v>
      </c>
      <c r="C3005" t="inlineStr">
        <is>
          <t>G</t>
        </is>
      </c>
      <c r="D3005" t="inlineStr">
        <is>
          <t>A</t>
        </is>
      </c>
      <c r="E3005" t="inlineStr">
        <is>
          <t>rs10028563</t>
        </is>
      </c>
      <c r="F3005" t="n">
        <v>-0.0640833812</v>
      </c>
      <c r="G3005" t="n">
        <v>0.0361047124534143</v>
      </c>
      <c r="H3005" t="n">
        <v>0.0135885155151329</v>
      </c>
      <c r="I3005" t="n">
        <v>0.2271203253359879</v>
      </c>
      <c r="J3005" t="n">
        <v>0.177153839009509</v>
      </c>
      <c r="K3005" t="n">
        <v>0.4303774377784051</v>
      </c>
      <c r="L3005" t="b">
        <v>0</v>
      </c>
      <c r="M3005" t="b">
        <v>0</v>
      </c>
      <c r="N3005" t="inlineStr">
        <is>
          <t>ref</t>
        </is>
      </c>
      <c r="O3005" t="n">
        <v>100</v>
      </c>
      <c r="P3005" t="n">
        <v>0.0129</v>
      </c>
      <c r="Q3005" t="n">
        <v>80</v>
      </c>
      <c r="R3005" t="n">
        <v>0.04663</v>
      </c>
      <c r="S3005">
        <f>IMAGE("https://mitra.stanford.edu/kundaje/oak/projects/neuro-variants/variant_position/credible/roussos_2024/variant_figures/roussos_2024.adolescence.GLU/rs10028563_count_position.png",4,220,900)</f>
        <v/>
      </c>
      <c r="T3005">
        <f>IMAGE("https://mitra.stanford.edu/kundaje/oak/projects/neuro-variants/variant_position/credible/roussos_2024/variant_figures/roussos_2024.adolescence.GLU/rs10028563_profile_position.png",4,220,900)</f>
        <v/>
      </c>
    </row>
    <row r="3006">
      <c r="A3006" t="inlineStr">
        <is>
          <t>chr4</t>
        </is>
      </c>
      <c r="B3006" t="n">
        <v>34194071</v>
      </c>
      <c r="C3006" t="inlineStr">
        <is>
          <t>T</t>
        </is>
      </c>
      <c r="D3006" t="inlineStr">
        <is>
          <t>C</t>
        </is>
      </c>
      <c r="E3006" t="inlineStr">
        <is>
          <t>rs6531299</t>
        </is>
      </c>
      <c r="F3006" t="n">
        <v>0.01356785114</v>
      </c>
      <c r="G3006" t="n">
        <v>0.3924129590087425</v>
      </c>
      <c r="H3006" t="n">
        <v>0.009028108401545399</v>
      </c>
      <c r="I3006" t="n">
        <v>0.6479936520528304</v>
      </c>
      <c r="J3006" t="n">
        <v>0.0067771181173242</v>
      </c>
      <c r="K3006" t="n">
        <v>0.9066961012420702</v>
      </c>
      <c r="L3006" t="b">
        <v>0</v>
      </c>
      <c r="M3006" t="b">
        <v>0</v>
      </c>
      <c r="N3006" t="inlineStr">
        <is>
          <t>alt</t>
        </is>
      </c>
      <c r="O3006" t="n">
        <v>-100</v>
      </c>
      <c r="P3006" t="n">
        <v>0.01874</v>
      </c>
      <c r="Q3006" t="n">
        <v>95</v>
      </c>
      <c r="R3006" t="n">
        <v>0.02837</v>
      </c>
      <c r="S3006">
        <f>IMAGE("https://mitra.stanford.edu/kundaje/oak/projects/neuro-variants/variant_position/credible/roussos_2024/variant_figures/roussos_2024.adolescence.GLU/rs6531299_count_position.png",4,220,900)</f>
        <v/>
      </c>
      <c r="T3006">
        <f>IMAGE("https://mitra.stanford.edu/kundaje/oak/projects/neuro-variants/variant_position/credible/roussos_2024/variant_figures/roussos_2024.adolescence.GLU/rs6531299_profile_position.png",4,220,900)</f>
        <v/>
      </c>
    </row>
    <row r="3007">
      <c r="A3007" t="inlineStr">
        <is>
          <t>chr4</t>
        </is>
      </c>
      <c r="B3007" t="n">
        <v>34196663</v>
      </c>
      <c r="C3007" t="inlineStr">
        <is>
          <t>C</t>
        </is>
      </c>
      <c r="D3007" t="inlineStr">
        <is>
          <t>T</t>
        </is>
      </c>
      <c r="E3007" t="inlineStr">
        <is>
          <t>rs67368133</t>
        </is>
      </c>
      <c r="F3007" t="n">
        <v>0.00358149398</v>
      </c>
      <c r="G3007" t="n">
        <v>0.7816469663122695</v>
      </c>
      <c r="H3007" t="n">
        <v>0.0217609281581105</v>
      </c>
      <c r="I3007" t="n">
        <v>0.0375274358607457</v>
      </c>
      <c r="J3007" t="n">
        <v>0.0268155546506061</v>
      </c>
      <c r="K3007" t="n">
        <v>0.7855452409439865</v>
      </c>
      <c r="L3007" t="b">
        <v>0</v>
      </c>
      <c r="M3007" t="b">
        <v>0</v>
      </c>
      <c r="N3007" t="inlineStr">
        <is>
          <t>alt</t>
        </is>
      </c>
      <c r="O3007" t="n">
        <v>-20</v>
      </c>
      <c r="P3007" t="n">
        <v>0.000828</v>
      </c>
      <c r="Q3007" t="n">
        <v>-20</v>
      </c>
      <c r="R3007" t="n">
        <v>0.03363</v>
      </c>
      <c r="S3007">
        <f>IMAGE("https://mitra.stanford.edu/kundaje/oak/projects/neuro-variants/variant_position/credible/roussos_2024/variant_figures/roussos_2024.adolescence.GLU/rs67368133_count_position.png",4,220,900)</f>
        <v/>
      </c>
      <c r="T3007">
        <f>IMAGE("https://mitra.stanford.edu/kundaje/oak/projects/neuro-variants/variant_position/credible/roussos_2024/variant_figures/roussos_2024.adolescence.GLU/rs67368133_profile_position.png",4,220,900)</f>
        <v/>
      </c>
    </row>
    <row r="3008">
      <c r="A3008" t="inlineStr">
        <is>
          <t>chr4</t>
        </is>
      </c>
      <c r="B3008" t="n">
        <v>34197307</v>
      </c>
      <c r="C3008" t="inlineStr">
        <is>
          <t>T</t>
        </is>
      </c>
      <c r="D3008" t="inlineStr">
        <is>
          <t>G</t>
        </is>
      </c>
      <c r="E3008" t="inlineStr">
        <is>
          <t>rs6834907</t>
        </is>
      </c>
      <c r="F3008" t="n">
        <v>0.001187353912</v>
      </c>
      <c r="G3008" t="n">
        <v>0.8577997332310809</v>
      </c>
      <c r="H3008" t="n">
        <v>0.0238031713391133</v>
      </c>
      <c r="I3008" t="n">
        <v>0.0249923171159443</v>
      </c>
      <c r="J3008" t="n">
        <v>0.0172178522693986</v>
      </c>
      <c r="K3008" t="n">
        <v>0.8318597834045262</v>
      </c>
      <c r="L3008" t="b">
        <v>0</v>
      </c>
      <c r="M3008" t="b">
        <v>0</v>
      </c>
      <c r="N3008" t="inlineStr">
        <is>
          <t>alt</t>
        </is>
      </c>
      <c r="O3008" t="n">
        <v>-90</v>
      </c>
      <c r="P3008" t="n">
        <v>0.006405</v>
      </c>
      <c r="Q3008" t="n">
        <v>-40</v>
      </c>
      <c r="R3008" t="n">
        <v>0.02802</v>
      </c>
      <c r="S3008">
        <f>IMAGE("https://mitra.stanford.edu/kundaje/oak/projects/neuro-variants/variant_position/credible/roussos_2024/variant_figures/roussos_2024.adolescence.GLU/rs6834907_count_position.png",4,220,900)</f>
        <v/>
      </c>
      <c r="T3008">
        <f>IMAGE("https://mitra.stanford.edu/kundaje/oak/projects/neuro-variants/variant_position/credible/roussos_2024/variant_figures/roussos_2024.adolescence.GLU/rs6834907_profile_position.png",4,220,900)</f>
        <v/>
      </c>
    </row>
    <row r="3009">
      <c r="A3009" t="inlineStr">
        <is>
          <t>chr4</t>
        </is>
      </c>
      <c r="B3009" t="n">
        <v>34203755</v>
      </c>
      <c r="C3009" t="inlineStr">
        <is>
          <t>A</t>
        </is>
      </c>
      <c r="D3009" t="inlineStr">
        <is>
          <t>G</t>
        </is>
      </c>
      <c r="E3009" t="inlineStr">
        <is>
          <t>rs13110566</t>
        </is>
      </c>
      <c r="F3009" t="n">
        <v>0.07315641859999999</v>
      </c>
      <c r="G3009" t="n">
        <v>0.0183537218079796</v>
      </c>
      <c r="H3009" t="n">
        <v>0.014927023150152</v>
      </c>
      <c r="I3009" t="n">
        <v>0.1511366959203291</v>
      </c>
      <c r="J3009" t="n">
        <v>0.1253402490515892</v>
      </c>
      <c r="K3009" t="n">
        <v>0.5226514455868523</v>
      </c>
      <c r="L3009" t="b">
        <v>1</v>
      </c>
      <c r="M3009" t="b">
        <v>0</v>
      </c>
      <c r="N3009" t="inlineStr">
        <is>
          <t>alt</t>
        </is>
      </c>
      <c r="O3009" t="n">
        <v>-100</v>
      </c>
      <c r="P3009" t="n">
        <v>0.004078</v>
      </c>
      <c r="Q3009" t="n">
        <v>-95</v>
      </c>
      <c r="R3009" t="n">
        <v>0.06335</v>
      </c>
      <c r="S3009">
        <f>IMAGE("https://mitra.stanford.edu/kundaje/oak/projects/neuro-variants/variant_position/credible/roussos_2024/variant_figures/roussos_2024.adolescence.GLU/rs13110566_count_position.png",4,220,900)</f>
        <v/>
      </c>
      <c r="T3009">
        <f>IMAGE("https://mitra.stanford.edu/kundaje/oak/projects/neuro-variants/variant_position/credible/roussos_2024/variant_figures/roussos_2024.adolescence.GLU/rs13110566_profile_position.png",4,220,900)</f>
        <v/>
      </c>
    </row>
    <row r="3010">
      <c r="A3010" t="inlineStr">
        <is>
          <t>chr4</t>
        </is>
      </c>
      <c r="B3010" t="n">
        <v>34206356</v>
      </c>
      <c r="C3010" t="inlineStr">
        <is>
          <t>T</t>
        </is>
      </c>
      <c r="D3010" t="inlineStr">
        <is>
          <t>C</t>
        </is>
      </c>
      <c r="E3010" t="inlineStr">
        <is>
          <t>rs34522421</t>
        </is>
      </c>
      <c r="F3010" t="n">
        <v>0.020868628</v>
      </c>
      <c r="G3010" t="n">
        <v>0.2828205743351338</v>
      </c>
      <c r="H3010" t="n">
        <v>0.0136770727463862</v>
      </c>
      <c r="I3010" t="n">
        <v>0.2256557296896148</v>
      </c>
      <c r="J3010" t="n">
        <v>0.1326446192425573</v>
      </c>
      <c r="K3010" t="n">
        <v>0.5121650832891914</v>
      </c>
      <c r="L3010" t="b">
        <v>0</v>
      </c>
      <c r="M3010" t="b">
        <v>0</v>
      </c>
      <c r="N3010" t="inlineStr">
        <is>
          <t>alt</t>
        </is>
      </c>
      <c r="O3010" t="n">
        <v>95</v>
      </c>
      <c r="P3010" t="n">
        <v>0.001221</v>
      </c>
      <c r="Q3010" t="n">
        <v>-60</v>
      </c>
      <c r="R3010" t="n">
        <v>0.05954</v>
      </c>
      <c r="S3010">
        <f>IMAGE("https://mitra.stanford.edu/kundaje/oak/projects/neuro-variants/variant_position/credible/roussos_2024/variant_figures/roussos_2024.adolescence.GLU/rs34522421_count_position.png",4,220,900)</f>
        <v/>
      </c>
      <c r="T3010">
        <f>IMAGE("https://mitra.stanford.edu/kundaje/oak/projects/neuro-variants/variant_position/credible/roussos_2024/variant_figures/roussos_2024.adolescence.GLU/rs34522421_profile_position.png",4,220,900)</f>
        <v/>
      </c>
    </row>
    <row r="3011">
      <c r="A3011" t="inlineStr">
        <is>
          <t>chr4</t>
        </is>
      </c>
      <c r="B3011" t="n">
        <v>34213494</v>
      </c>
      <c r="C3011" t="inlineStr">
        <is>
          <t>G</t>
        </is>
      </c>
      <c r="D3011" t="inlineStr">
        <is>
          <t>A</t>
        </is>
      </c>
      <c r="E3011" t="inlineStr">
        <is>
          <t>rs7683171</t>
        </is>
      </c>
      <c r="F3011" t="n">
        <v>-0.044860414</v>
      </c>
      <c r="G3011" t="n">
        <v>0.08583864918977351</v>
      </c>
      <c r="H3011" t="n">
        <v>0.0113280105605407</v>
      </c>
      <c r="I3011" t="n">
        <v>0.37442038733317</v>
      </c>
      <c r="J3011" t="n">
        <v>0.0274999821391573</v>
      </c>
      <c r="K3011" t="n">
        <v>0.7818880882696182</v>
      </c>
      <c r="L3011" t="b">
        <v>0</v>
      </c>
      <c r="M3011" t="b">
        <v>0</v>
      </c>
      <c r="N3011" t="inlineStr">
        <is>
          <t>ref</t>
        </is>
      </c>
      <c r="O3011" t="n">
        <v>-75</v>
      </c>
      <c r="P3011" t="n">
        <v>0.01041</v>
      </c>
      <c r="Q3011" t="n">
        <v>100</v>
      </c>
      <c r="R3011" t="n">
        <v>0.0842</v>
      </c>
      <c r="S3011">
        <f>IMAGE("https://mitra.stanford.edu/kundaje/oak/projects/neuro-variants/variant_position/credible/roussos_2024/variant_figures/roussos_2024.adolescence.GLU/rs7683171_count_position.png",4,220,900)</f>
        <v/>
      </c>
      <c r="T3011">
        <f>IMAGE("https://mitra.stanford.edu/kundaje/oak/projects/neuro-variants/variant_position/credible/roussos_2024/variant_figures/roussos_2024.adolescence.GLU/rs7683171_profile_position.png",4,220,900)</f>
        <v/>
      </c>
    </row>
    <row r="3012">
      <c r="A3012" t="inlineStr">
        <is>
          <t>chr4</t>
        </is>
      </c>
      <c r="B3012" t="n">
        <v>34234902</v>
      </c>
      <c r="C3012" t="inlineStr">
        <is>
          <t>G</t>
        </is>
      </c>
      <c r="D3012" t="inlineStr">
        <is>
          <t>A</t>
        </is>
      </c>
      <c r="E3012" t="inlineStr">
        <is>
          <t>rs34250047</t>
        </is>
      </c>
      <c r="F3012" t="n">
        <v>-0.0207800324</v>
      </c>
      <c r="G3012" t="n">
        <v>0.2858522929822648</v>
      </c>
      <c r="H3012" t="n">
        <v>0.0147011295047042</v>
      </c>
      <c r="I3012" t="n">
        <v>0.1687617118030258</v>
      </c>
      <c r="J3012" t="n">
        <v>0.0369990926691956</v>
      </c>
      <c r="K3012" t="n">
        <v>0.7423804128525359</v>
      </c>
      <c r="L3012" t="b">
        <v>0</v>
      </c>
      <c r="M3012" t="b">
        <v>0</v>
      </c>
      <c r="N3012" t="inlineStr">
        <is>
          <t>ref</t>
        </is>
      </c>
      <c r="O3012" t="n">
        <v>95</v>
      </c>
      <c r="P3012" t="n">
        <v>0.00403</v>
      </c>
      <c r="Q3012" t="n">
        <v>-55</v>
      </c>
      <c r="R3012" t="n">
        <v>0.01257</v>
      </c>
      <c r="S3012">
        <f>IMAGE("https://mitra.stanford.edu/kundaje/oak/projects/neuro-variants/variant_position/credible/roussos_2024/variant_figures/roussos_2024.adolescence.GLU/rs34250047_count_position.png",4,220,900)</f>
        <v/>
      </c>
      <c r="T3012">
        <f>IMAGE("https://mitra.stanford.edu/kundaje/oak/projects/neuro-variants/variant_position/credible/roussos_2024/variant_figures/roussos_2024.adolescence.GLU/rs34250047_profile_position.png",4,220,900)</f>
        <v/>
      </c>
    </row>
    <row r="3013">
      <c r="A3013" t="inlineStr">
        <is>
          <t>chr4</t>
        </is>
      </c>
      <c r="B3013" t="n">
        <v>34235892</v>
      </c>
      <c r="C3013" t="inlineStr">
        <is>
          <t>T</t>
        </is>
      </c>
      <c r="D3013" t="inlineStr">
        <is>
          <t>C</t>
        </is>
      </c>
      <c r="E3013" t="inlineStr">
        <is>
          <t>rs28731006</t>
        </is>
      </c>
      <c r="F3013" t="n">
        <v>0.06787882119999999</v>
      </c>
      <c r="G3013" t="n">
        <v>0.0249806159682355</v>
      </c>
      <c r="H3013" t="n">
        <v>0.0191952370743321</v>
      </c>
      <c r="I3013" t="n">
        <v>0.0730608681109846</v>
      </c>
      <c r="J3013" t="n">
        <v>0.0660522536811196</v>
      </c>
      <c r="K3013" t="n">
        <v>0.6555002161801587</v>
      </c>
      <c r="L3013" t="b">
        <v>0</v>
      </c>
      <c r="M3013" t="b">
        <v>0</v>
      </c>
      <c r="N3013" t="inlineStr">
        <is>
          <t>alt</t>
        </is>
      </c>
      <c r="O3013" t="n">
        <v>-65</v>
      </c>
      <c r="P3013" t="n">
        <v>0.00436</v>
      </c>
      <c r="Q3013" t="n">
        <v>95</v>
      </c>
      <c r="R3013" t="n">
        <v>0.08716</v>
      </c>
      <c r="S3013">
        <f>IMAGE("https://mitra.stanford.edu/kundaje/oak/projects/neuro-variants/variant_position/credible/roussos_2024/variant_figures/roussos_2024.adolescence.GLU/rs28731006_count_position.png",4,220,900)</f>
        <v/>
      </c>
      <c r="T3013">
        <f>IMAGE("https://mitra.stanford.edu/kundaje/oak/projects/neuro-variants/variant_position/credible/roussos_2024/variant_figures/roussos_2024.adolescence.GLU/rs28731006_profile_position.png",4,220,900)</f>
        <v/>
      </c>
    </row>
    <row r="3014">
      <c r="A3014" t="inlineStr">
        <is>
          <t>chr4</t>
        </is>
      </c>
      <c r="B3014" t="n">
        <v>34239457</v>
      </c>
      <c r="C3014" t="inlineStr">
        <is>
          <t>G</t>
        </is>
      </c>
      <c r="D3014" t="inlineStr">
        <is>
          <t>A</t>
        </is>
      </c>
      <c r="E3014" t="inlineStr">
        <is>
          <t>rs34202234</t>
        </is>
      </c>
      <c r="F3014" t="n">
        <v>-0.0152944138399999</v>
      </c>
      <c r="G3014" t="n">
        <v>0.4043731714072363</v>
      </c>
      <c r="H3014" t="n">
        <v>0.0102939864262164</v>
      </c>
      <c r="I3014" t="n">
        <v>0.4947067008447657</v>
      </c>
      <c r="J3014" t="n">
        <v>0.0081959834537153</v>
      </c>
      <c r="K3014" t="n">
        <v>0.8922891640975911</v>
      </c>
      <c r="L3014" t="b">
        <v>0</v>
      </c>
      <c r="M3014" t="b">
        <v>0</v>
      </c>
      <c r="N3014" t="inlineStr">
        <is>
          <t>ref</t>
        </is>
      </c>
      <c r="O3014" t="n">
        <v>-80</v>
      </c>
      <c r="P3014" t="n">
        <v>0.000496</v>
      </c>
      <c r="Q3014" t="n">
        <v>-80</v>
      </c>
      <c r="R3014" t="n">
        <v>0.02422</v>
      </c>
      <c r="S3014">
        <f>IMAGE("https://mitra.stanford.edu/kundaje/oak/projects/neuro-variants/variant_position/credible/roussos_2024/variant_figures/roussos_2024.adolescence.GLU/rs34202234_count_position.png",4,220,900)</f>
        <v/>
      </c>
      <c r="T3014">
        <f>IMAGE("https://mitra.stanford.edu/kundaje/oak/projects/neuro-variants/variant_position/credible/roussos_2024/variant_figures/roussos_2024.adolescence.GLU/rs34202234_profile_position.png",4,220,900)</f>
        <v/>
      </c>
    </row>
    <row r="3015">
      <c r="A3015" t="inlineStr">
        <is>
          <t>chr4</t>
        </is>
      </c>
      <c r="B3015" t="n">
        <v>34247663</v>
      </c>
      <c r="C3015" t="inlineStr">
        <is>
          <t>C</t>
        </is>
      </c>
      <c r="D3015" t="inlineStr">
        <is>
          <t>T</t>
        </is>
      </c>
      <c r="E3015" t="inlineStr">
        <is>
          <t>rs4266314</t>
        </is>
      </c>
      <c r="F3015" t="n">
        <v>0.01180947178</v>
      </c>
      <c r="G3015" t="n">
        <v>0.4752000343084479</v>
      </c>
      <c r="H3015" t="n">
        <v>0.0225418797715488</v>
      </c>
      <c r="I3015" t="n">
        <v>0.0367759001825915</v>
      </c>
      <c r="J3015" t="n">
        <v>0.0490015788984861</v>
      </c>
      <c r="K3015" t="n">
        <v>0.7000735927026386</v>
      </c>
      <c r="L3015" t="b">
        <v>0</v>
      </c>
      <c r="M3015" t="b">
        <v>0</v>
      </c>
      <c r="N3015" t="inlineStr">
        <is>
          <t>alt</t>
        </is>
      </c>
      <c r="O3015" t="n">
        <v>35</v>
      </c>
      <c r="P3015" t="n">
        <v>0.00383</v>
      </c>
      <c r="Q3015" t="n">
        <v>-95</v>
      </c>
      <c r="R3015" t="n">
        <v>0.0522</v>
      </c>
      <c r="S3015">
        <f>IMAGE("https://mitra.stanford.edu/kundaje/oak/projects/neuro-variants/variant_position/credible/roussos_2024/variant_figures/roussos_2024.adolescence.GLU/rs4266314_count_position.png",4,220,900)</f>
        <v/>
      </c>
      <c r="T3015">
        <f>IMAGE("https://mitra.stanford.edu/kundaje/oak/projects/neuro-variants/variant_position/credible/roussos_2024/variant_figures/roussos_2024.adolescence.GLU/rs4266314_profile_position.png",4,220,900)</f>
        <v/>
      </c>
    </row>
    <row r="3016">
      <c r="A3016" t="inlineStr">
        <is>
          <t>chr4</t>
        </is>
      </c>
      <c r="B3016" t="n">
        <v>34259025</v>
      </c>
      <c r="C3016" t="inlineStr">
        <is>
          <t>T</t>
        </is>
      </c>
      <c r="D3016" t="inlineStr">
        <is>
          <t>C</t>
        </is>
      </c>
      <c r="E3016" t="inlineStr">
        <is>
          <t>rs34352361</t>
        </is>
      </c>
      <c r="F3016" t="n">
        <v>0.00348504614</v>
      </c>
      <c r="G3016" t="n">
        <v>0.7421264686075844</v>
      </c>
      <c r="H3016" t="n">
        <v>0.0071551778947341</v>
      </c>
      <c r="I3016" t="n">
        <v>0.9033747763715668</v>
      </c>
      <c r="J3016" t="n">
        <v>0.0016489129891191</v>
      </c>
      <c r="K3016" t="n">
        <v>0.9609199864573004</v>
      </c>
      <c r="L3016" t="b">
        <v>0</v>
      </c>
      <c r="M3016" t="b">
        <v>0</v>
      </c>
      <c r="N3016" t="inlineStr">
        <is>
          <t>alt</t>
        </is>
      </c>
      <c r="O3016" t="n">
        <v>100</v>
      </c>
      <c r="P3016" t="n">
        <v>0.008189999999999999</v>
      </c>
      <c r="Q3016" t="n">
        <v>-100</v>
      </c>
      <c r="R3016" t="n">
        <v>0.0605</v>
      </c>
      <c r="S3016">
        <f>IMAGE("https://mitra.stanford.edu/kundaje/oak/projects/neuro-variants/variant_position/credible/roussos_2024/variant_figures/roussos_2024.adolescence.GLU/rs34352361_count_position.png",4,220,900)</f>
        <v/>
      </c>
      <c r="T3016">
        <f>IMAGE("https://mitra.stanford.edu/kundaje/oak/projects/neuro-variants/variant_position/credible/roussos_2024/variant_figures/roussos_2024.adolescence.GLU/rs34352361_profile_position.png",4,220,900)</f>
        <v/>
      </c>
    </row>
    <row r="3017">
      <c r="A3017" t="inlineStr">
        <is>
          <t>chr4</t>
        </is>
      </c>
      <c r="B3017" t="n">
        <v>34260311</v>
      </c>
      <c r="C3017" t="inlineStr">
        <is>
          <t>T</t>
        </is>
      </c>
      <c r="D3017" t="inlineStr">
        <is>
          <t>C</t>
        </is>
      </c>
      <c r="E3017" t="inlineStr">
        <is>
          <t>rs35210319</t>
        </is>
      </c>
      <c r="F3017" t="n">
        <v>0.07606260619999999</v>
      </c>
      <c r="G3017" t="n">
        <v>0.01698752238872</v>
      </c>
      <c r="H3017" t="n">
        <v>0.0162208231873141</v>
      </c>
      <c r="I3017" t="n">
        <v>0.1224930304914115</v>
      </c>
      <c r="J3017" t="n">
        <v>0.0096491416079044</v>
      </c>
      <c r="K3017" t="n">
        <v>0.8797372892322104</v>
      </c>
      <c r="L3017" t="b">
        <v>1</v>
      </c>
      <c r="M3017" t="b">
        <v>0</v>
      </c>
      <c r="N3017" t="inlineStr">
        <is>
          <t>alt</t>
        </is>
      </c>
      <c r="O3017" t="n">
        <v>-50</v>
      </c>
      <c r="P3017" t="n">
        <v>0.003643</v>
      </c>
      <c r="Q3017" t="n">
        <v>-100</v>
      </c>
      <c r="R3017" t="n">
        <v>0.02179</v>
      </c>
      <c r="S3017">
        <f>IMAGE("https://mitra.stanford.edu/kundaje/oak/projects/neuro-variants/variant_position/credible/roussos_2024/variant_figures/roussos_2024.adolescence.GLU/rs35210319_count_position.png",4,220,900)</f>
        <v/>
      </c>
      <c r="T3017">
        <f>IMAGE("https://mitra.stanford.edu/kundaje/oak/projects/neuro-variants/variant_position/credible/roussos_2024/variant_figures/roussos_2024.adolescence.GLU/rs35210319_profile_position.png",4,220,900)</f>
        <v/>
      </c>
    </row>
    <row r="3018">
      <c r="A3018" t="inlineStr">
        <is>
          <t>chr4</t>
        </is>
      </c>
      <c r="B3018" t="n">
        <v>34262740</v>
      </c>
      <c r="C3018" t="inlineStr">
        <is>
          <t>T</t>
        </is>
      </c>
      <c r="D3018" t="inlineStr">
        <is>
          <t>G</t>
        </is>
      </c>
      <c r="E3018" t="inlineStr">
        <is>
          <t>rs4645234</t>
        </is>
      </c>
      <c r="F3018" t="n">
        <v>0.1555707192</v>
      </c>
      <c r="G3018" t="n">
        <v>0.0021418395140349</v>
      </c>
      <c r="H3018" t="n">
        <v>0.0325737103001198</v>
      </c>
      <c r="I3018" t="n">
        <v>0.0066502412820898</v>
      </c>
      <c r="J3018" t="n">
        <v>0.2934822213172728</v>
      </c>
      <c r="K3018" t="n">
        <v>0.2773311609840444</v>
      </c>
      <c r="L3018" t="b">
        <v>1</v>
      </c>
      <c r="M3018" t="b">
        <v>1</v>
      </c>
      <c r="N3018" t="inlineStr">
        <is>
          <t>alt</t>
        </is>
      </c>
      <c r="O3018" t="n">
        <v>-35</v>
      </c>
      <c r="P3018" t="n">
        <v>0.0195</v>
      </c>
      <c r="Q3018" t="n">
        <v>-35</v>
      </c>
      <c r="R3018" t="n">
        <v>0.0824</v>
      </c>
      <c r="S3018">
        <f>IMAGE("https://mitra.stanford.edu/kundaje/oak/projects/neuro-variants/variant_position/credible/roussos_2024/variant_figures/roussos_2024.adolescence.GLU/rs4645234_count_position.png",4,220,900)</f>
        <v/>
      </c>
      <c r="T3018">
        <f>IMAGE("https://mitra.stanford.edu/kundaje/oak/projects/neuro-variants/variant_position/credible/roussos_2024/variant_figures/roussos_2024.adolescence.GLU/rs4645234_profile_position.png",4,220,900)</f>
        <v/>
      </c>
    </row>
    <row r="3019">
      <c r="A3019" t="inlineStr">
        <is>
          <t>chr4</t>
        </is>
      </c>
      <c r="B3019" t="n">
        <v>34271016</v>
      </c>
      <c r="C3019" t="inlineStr">
        <is>
          <t>C</t>
        </is>
      </c>
      <c r="D3019" t="inlineStr">
        <is>
          <t>T</t>
        </is>
      </c>
      <c r="E3019" t="inlineStr">
        <is>
          <t>rs6841728</t>
        </is>
      </c>
      <c r="F3019" t="n">
        <v>-0.08947542880000001</v>
      </c>
      <c r="G3019" t="n">
        <v>0.0108972599391233</v>
      </c>
      <c r="H3019" t="n">
        <v>0.0150981443957796</v>
      </c>
      <c r="I3019" t="n">
        <v>0.1721361132560905</v>
      </c>
      <c r="J3019" t="n">
        <v>0.2237877846125268</v>
      </c>
      <c r="K3019" t="n">
        <v>0.3672513136506882</v>
      </c>
      <c r="L3019" t="b">
        <v>1</v>
      </c>
      <c r="M3019" t="b">
        <v>0</v>
      </c>
      <c r="N3019" t="inlineStr">
        <is>
          <t>ref</t>
        </is>
      </c>
      <c r="O3019" t="n">
        <v>-100</v>
      </c>
      <c r="P3019" t="n">
        <v>0.005604</v>
      </c>
      <c r="Q3019" t="n">
        <v>40</v>
      </c>
      <c r="R3019" t="n">
        <v>0.0636</v>
      </c>
      <c r="S3019">
        <f>IMAGE("https://mitra.stanford.edu/kundaje/oak/projects/neuro-variants/variant_position/credible/roussos_2024/variant_figures/roussos_2024.adolescence.GLU/rs6841728_count_position.png",4,220,900)</f>
        <v/>
      </c>
      <c r="T3019">
        <f>IMAGE("https://mitra.stanford.edu/kundaje/oak/projects/neuro-variants/variant_position/credible/roussos_2024/variant_figures/roussos_2024.adolescence.GLU/rs6841728_profile_position.png",4,220,900)</f>
        <v/>
      </c>
    </row>
    <row r="3020">
      <c r="A3020" t="inlineStr">
        <is>
          <t>chr4</t>
        </is>
      </c>
      <c r="B3020" t="n">
        <v>34277823</v>
      </c>
      <c r="C3020" t="inlineStr">
        <is>
          <t>G</t>
        </is>
      </c>
      <c r="D3020" t="inlineStr">
        <is>
          <t>A</t>
        </is>
      </c>
      <c r="E3020" t="inlineStr">
        <is>
          <t>rs9968413</t>
        </is>
      </c>
      <c r="F3020" t="n">
        <v>-0.009111251728</v>
      </c>
      <c r="G3020" t="n">
        <v>0.5778109459878235</v>
      </c>
      <c r="H3020" t="n">
        <v>0.0090940362700978</v>
      </c>
      <c r="I3020" t="n">
        <v>0.6491900654924595</v>
      </c>
      <c r="J3020" t="n">
        <v>0.0007430110522893</v>
      </c>
      <c r="K3020" t="n">
        <v>0.9771123662029162</v>
      </c>
      <c r="L3020" t="b">
        <v>0</v>
      </c>
      <c r="M3020" t="b">
        <v>0</v>
      </c>
      <c r="N3020" t="inlineStr">
        <is>
          <t>ref</t>
        </is>
      </c>
      <c r="O3020" t="n">
        <v>90</v>
      </c>
      <c r="P3020" t="n">
        <v>0.0562</v>
      </c>
      <c r="Q3020" t="n">
        <v>85</v>
      </c>
      <c r="R3020" t="n">
        <v>0.01953</v>
      </c>
      <c r="S3020">
        <f>IMAGE("https://mitra.stanford.edu/kundaje/oak/projects/neuro-variants/variant_position/credible/roussos_2024/variant_figures/roussos_2024.adolescence.GLU/rs9968413_count_position.png",4,220,900)</f>
        <v/>
      </c>
      <c r="T3020">
        <f>IMAGE("https://mitra.stanford.edu/kundaje/oak/projects/neuro-variants/variant_position/credible/roussos_2024/variant_figures/roussos_2024.adolescence.GLU/rs9968413_profile_position.png",4,220,900)</f>
        <v/>
      </c>
    </row>
    <row r="3021">
      <c r="A3021" t="inlineStr">
        <is>
          <t>chr4</t>
        </is>
      </c>
      <c r="B3021" t="n">
        <v>34279425</v>
      </c>
      <c r="C3021" t="inlineStr">
        <is>
          <t>G</t>
        </is>
      </c>
      <c r="D3021" t="inlineStr">
        <is>
          <t>A</t>
        </is>
      </c>
      <c r="E3021" t="inlineStr">
        <is>
          <t>rs4547813</t>
        </is>
      </c>
      <c r="F3021" t="n">
        <v>-0.0067788738</v>
      </c>
      <c r="G3021" t="n">
        <v>0.6511699216093711</v>
      </c>
      <c r="H3021" t="n">
        <v>0.0076768719179138</v>
      </c>
      <c r="I3021" t="n">
        <v>0.8456933179148886</v>
      </c>
      <c r="J3021" t="n">
        <v>0.0041594330254123</v>
      </c>
      <c r="K3021" t="n">
        <v>0.926321847601404</v>
      </c>
      <c r="L3021" t="b">
        <v>0</v>
      </c>
      <c r="M3021" t="b">
        <v>0</v>
      </c>
      <c r="N3021" t="inlineStr">
        <is>
          <t>ref</t>
        </is>
      </c>
      <c r="O3021" t="n">
        <v>100</v>
      </c>
      <c r="P3021" t="n">
        <v>0.0234</v>
      </c>
      <c r="Q3021" t="n">
        <v>65</v>
      </c>
      <c r="R3021" t="n">
        <v>0.02606</v>
      </c>
      <c r="S3021">
        <f>IMAGE("https://mitra.stanford.edu/kundaje/oak/projects/neuro-variants/variant_position/credible/roussos_2024/variant_figures/roussos_2024.adolescence.GLU/rs4547813_count_position.png",4,220,900)</f>
        <v/>
      </c>
      <c r="T3021">
        <f>IMAGE("https://mitra.stanford.edu/kundaje/oak/projects/neuro-variants/variant_position/credible/roussos_2024/variant_figures/roussos_2024.adolescence.GLU/rs4547813_profile_position.png",4,220,900)</f>
        <v/>
      </c>
    </row>
    <row r="3022">
      <c r="A3022" t="inlineStr">
        <is>
          <t>chr4</t>
        </is>
      </c>
      <c r="B3022" t="n">
        <v>34286733</v>
      </c>
      <c r="C3022" t="inlineStr">
        <is>
          <t>G</t>
        </is>
      </c>
      <c r="D3022" t="inlineStr">
        <is>
          <t>A</t>
        </is>
      </c>
      <c r="E3022" t="inlineStr">
        <is>
          <t>rs13131483</t>
        </is>
      </c>
      <c r="F3022" t="n">
        <v>-0.0196940514</v>
      </c>
      <c r="G3022" t="n">
        <v>0.3125409012855666</v>
      </c>
      <c r="H3022" t="n">
        <v>0.0129609609719097</v>
      </c>
      <c r="I3022" t="n">
        <v>0.2792717779250621</v>
      </c>
      <c r="J3022" t="n">
        <v>0.0042923176943795</v>
      </c>
      <c r="K3022" t="n">
        <v>0.9288042569306232</v>
      </c>
      <c r="L3022" t="b">
        <v>0</v>
      </c>
      <c r="M3022" t="b">
        <v>0</v>
      </c>
      <c r="N3022" t="inlineStr">
        <is>
          <t>ref</t>
        </is>
      </c>
      <c r="O3022" t="n">
        <v>-50</v>
      </c>
      <c r="P3022" t="n">
        <v>0.01075</v>
      </c>
      <c r="Q3022" t="n">
        <v>35</v>
      </c>
      <c r="R3022" t="n">
        <v>0.0323</v>
      </c>
      <c r="S3022">
        <f>IMAGE("https://mitra.stanford.edu/kundaje/oak/projects/neuro-variants/variant_position/credible/roussos_2024/variant_figures/roussos_2024.adolescence.GLU/rs13131483_count_position.png",4,220,900)</f>
        <v/>
      </c>
      <c r="T3022">
        <f>IMAGE("https://mitra.stanford.edu/kundaje/oak/projects/neuro-variants/variant_position/credible/roussos_2024/variant_figures/roussos_2024.adolescence.GLU/rs13131483_profile_position.png",4,220,900)</f>
        <v/>
      </c>
    </row>
    <row r="3023">
      <c r="A3023" t="inlineStr">
        <is>
          <t>chr4</t>
        </is>
      </c>
      <c r="B3023" t="n">
        <v>34293081</v>
      </c>
      <c r="C3023" t="inlineStr">
        <is>
          <t>A</t>
        </is>
      </c>
      <c r="D3023" t="inlineStr">
        <is>
          <t>G</t>
        </is>
      </c>
      <c r="E3023" t="inlineStr">
        <is>
          <t>rs13118944</t>
        </is>
      </c>
      <c r="F3023" t="n">
        <v>0.00438649086</v>
      </c>
      <c r="G3023" t="n">
        <v>0.7362270313179616</v>
      </c>
      <c r="H3023" t="n">
        <v>0.0114546316272626</v>
      </c>
      <c r="I3023" t="n">
        <v>0.3809572603052226</v>
      </c>
      <c r="J3023" t="n">
        <v>0.0073801001636052</v>
      </c>
      <c r="K3023" t="n">
        <v>0.8986743969827834</v>
      </c>
      <c r="L3023" t="b">
        <v>0</v>
      </c>
      <c r="M3023" t="b">
        <v>0</v>
      </c>
      <c r="N3023" t="inlineStr">
        <is>
          <t>alt</t>
        </is>
      </c>
      <c r="O3023" t="n">
        <v>95</v>
      </c>
      <c r="P3023" t="n">
        <v>0.010765</v>
      </c>
      <c r="Q3023" t="n">
        <v>-100</v>
      </c>
      <c r="R3023" t="n">
        <v>0.0682</v>
      </c>
      <c r="S3023">
        <f>IMAGE("https://mitra.stanford.edu/kundaje/oak/projects/neuro-variants/variant_position/credible/roussos_2024/variant_figures/roussos_2024.adolescence.GLU/rs13118944_count_position.png",4,220,900)</f>
        <v/>
      </c>
      <c r="T3023">
        <f>IMAGE("https://mitra.stanford.edu/kundaje/oak/projects/neuro-variants/variant_position/credible/roussos_2024/variant_figures/roussos_2024.adolescence.GLU/rs13118944_profile_position.png",4,220,900)</f>
        <v/>
      </c>
    </row>
    <row r="3024">
      <c r="A3024" t="inlineStr">
        <is>
          <t>chr4</t>
        </is>
      </c>
      <c r="B3024" t="n">
        <v>34306193</v>
      </c>
      <c r="C3024" t="inlineStr">
        <is>
          <t>G</t>
        </is>
      </c>
      <c r="D3024" t="inlineStr">
        <is>
          <t>A</t>
        </is>
      </c>
      <c r="E3024" t="inlineStr">
        <is>
          <t>rs10010448</t>
        </is>
      </c>
      <c r="F3024" t="n">
        <v>-0.0437666058599999</v>
      </c>
      <c r="G3024" t="n">
        <v>0.1060403858244902</v>
      </c>
      <c r="H3024" t="n">
        <v>0.0175292521969343</v>
      </c>
      <c r="I3024" t="n">
        <v>0.1262458060431824</v>
      </c>
      <c r="J3024" t="n">
        <v>0.0479356438119324</v>
      </c>
      <c r="K3024" t="n">
        <v>0.7084909773646604</v>
      </c>
      <c r="L3024" t="b">
        <v>0</v>
      </c>
      <c r="M3024" t="b">
        <v>0</v>
      </c>
      <c r="N3024" t="inlineStr">
        <is>
          <t>ref</t>
        </is>
      </c>
      <c r="O3024" t="n">
        <v>-30</v>
      </c>
      <c r="P3024" t="n">
        <v>0.001465</v>
      </c>
      <c r="Q3024" t="n">
        <v>-60</v>
      </c>
      <c r="R3024" t="n">
        <v>0.02393</v>
      </c>
      <c r="S3024">
        <f>IMAGE("https://mitra.stanford.edu/kundaje/oak/projects/neuro-variants/variant_position/credible/roussos_2024/variant_figures/roussos_2024.adolescence.GLU/rs10010448_count_position.png",4,220,900)</f>
        <v/>
      </c>
      <c r="T3024">
        <f>IMAGE("https://mitra.stanford.edu/kundaje/oak/projects/neuro-variants/variant_position/credible/roussos_2024/variant_figures/roussos_2024.adolescence.GLU/rs10010448_profile_position.png",4,220,900)</f>
        <v/>
      </c>
    </row>
    <row r="3025">
      <c r="A3025" t="inlineStr">
        <is>
          <t>chr4</t>
        </is>
      </c>
      <c r="B3025" t="n">
        <v>34308921</v>
      </c>
      <c r="C3025" t="inlineStr">
        <is>
          <t>T</t>
        </is>
      </c>
      <c r="D3025" t="inlineStr">
        <is>
          <t>C</t>
        </is>
      </c>
      <c r="E3025" t="inlineStr">
        <is>
          <t>rs7672284</t>
        </is>
      </c>
      <c r="F3025" t="n">
        <v>-0.01081926244</v>
      </c>
      <c r="G3025" t="n">
        <v>0.5238771840821682</v>
      </c>
      <c r="H3025" t="n">
        <v>0.0103793991716831</v>
      </c>
      <c r="I3025" t="n">
        <v>0.4933741843885112</v>
      </c>
      <c r="J3025" t="n">
        <v>0.07493695122561091</v>
      </c>
      <c r="K3025" t="n">
        <v>0.6351048238390837</v>
      </c>
      <c r="L3025" t="b">
        <v>0</v>
      </c>
      <c r="M3025" t="b">
        <v>0</v>
      </c>
      <c r="N3025" t="inlineStr">
        <is>
          <t>ref</t>
        </is>
      </c>
      <c r="O3025" t="n">
        <v>-20</v>
      </c>
      <c r="P3025" t="n">
        <v>0.01126</v>
      </c>
      <c r="Q3025" t="n">
        <v>100</v>
      </c>
      <c r="R3025" t="n">
        <v>0.05786</v>
      </c>
      <c r="S3025">
        <f>IMAGE("https://mitra.stanford.edu/kundaje/oak/projects/neuro-variants/variant_position/credible/roussos_2024/variant_figures/roussos_2024.adolescence.GLU/rs7672284_count_position.png",4,220,900)</f>
        <v/>
      </c>
      <c r="T3025">
        <f>IMAGE("https://mitra.stanford.edu/kundaje/oak/projects/neuro-variants/variant_position/credible/roussos_2024/variant_figures/roussos_2024.adolescence.GLU/rs7672284_profile_position.png",4,220,900)</f>
        <v/>
      </c>
    </row>
    <row r="3026">
      <c r="A3026" t="inlineStr">
        <is>
          <t>chr4</t>
        </is>
      </c>
      <c r="B3026" t="n">
        <v>34310033</v>
      </c>
      <c r="C3026" t="inlineStr">
        <is>
          <t>G</t>
        </is>
      </c>
      <c r="D3026" t="inlineStr">
        <is>
          <t>T</t>
        </is>
      </c>
      <c r="E3026" t="inlineStr">
        <is>
          <t>rs28668075</t>
        </is>
      </c>
      <c r="F3026" t="n">
        <v>-0.0164901073399999</v>
      </c>
      <c r="G3026" t="n">
        <v>0.3902680443137925</v>
      </c>
      <c r="H3026" t="n">
        <v>0.0120316688690878</v>
      </c>
      <c r="I3026" t="n">
        <v>0.3498891105194339</v>
      </c>
      <c r="J3026" t="n">
        <v>0.1688306863564595</v>
      </c>
      <c r="K3026" t="n">
        <v>0.4342747124432067</v>
      </c>
      <c r="L3026" t="b">
        <v>0</v>
      </c>
      <c r="M3026" t="b">
        <v>0</v>
      </c>
      <c r="N3026" t="inlineStr">
        <is>
          <t>ref</t>
        </is>
      </c>
      <c r="O3026" t="n">
        <v>-100</v>
      </c>
      <c r="P3026" t="n">
        <v>0.00451</v>
      </c>
      <c r="Q3026" t="n">
        <v>-100</v>
      </c>
      <c r="R3026" t="n">
        <v>0.0202</v>
      </c>
      <c r="S3026">
        <f>IMAGE("https://mitra.stanford.edu/kundaje/oak/projects/neuro-variants/variant_position/credible/roussos_2024/variant_figures/roussos_2024.adolescence.GLU/rs28668075_count_position.png",4,220,900)</f>
        <v/>
      </c>
      <c r="T3026">
        <f>IMAGE("https://mitra.stanford.edu/kundaje/oak/projects/neuro-variants/variant_position/credible/roussos_2024/variant_figures/roussos_2024.adolescence.GLU/rs28668075_profile_position.png",4,220,900)</f>
        <v/>
      </c>
    </row>
    <row r="3027">
      <c r="A3027" t="inlineStr">
        <is>
          <t>chr4</t>
        </is>
      </c>
      <c r="B3027" t="n">
        <v>34310315</v>
      </c>
      <c r="C3027" t="inlineStr">
        <is>
          <t>T</t>
        </is>
      </c>
      <c r="D3027" t="inlineStr">
        <is>
          <t>C</t>
        </is>
      </c>
      <c r="E3027" t="inlineStr">
        <is>
          <t>rs919019</t>
        </is>
      </c>
      <c r="F3027" t="n">
        <v>0.0735122561999999</v>
      </c>
      <c r="G3027" t="n">
        <v>0.0219276874865583</v>
      </c>
      <c r="H3027" t="n">
        <v>0.0120070905869761</v>
      </c>
      <c r="I3027" t="n">
        <v>0.3232925586103928</v>
      </c>
      <c r="J3027" t="n">
        <v>0.2117824406484199</v>
      </c>
      <c r="K3027" t="n">
        <v>0.3753059927659581</v>
      </c>
      <c r="L3027" t="b">
        <v>0</v>
      </c>
      <c r="M3027" t="b">
        <v>0</v>
      </c>
      <c r="N3027" t="inlineStr">
        <is>
          <t>alt</t>
        </is>
      </c>
      <c r="O3027" t="n">
        <v>80</v>
      </c>
      <c r="P3027" t="n">
        <v>0.003113</v>
      </c>
      <c r="Q3027" t="n">
        <v>-5</v>
      </c>
      <c r="R3027" t="n">
        <v>0.001221</v>
      </c>
      <c r="S3027">
        <f>IMAGE("https://mitra.stanford.edu/kundaje/oak/projects/neuro-variants/variant_position/credible/roussos_2024/variant_figures/roussos_2024.adolescence.GLU/rs919019_count_position.png",4,220,900)</f>
        <v/>
      </c>
      <c r="T3027">
        <f>IMAGE("https://mitra.stanford.edu/kundaje/oak/projects/neuro-variants/variant_position/credible/roussos_2024/variant_figures/roussos_2024.adolescence.GLU/rs919019_profile_position.png",4,220,900)</f>
        <v/>
      </c>
    </row>
    <row r="3028">
      <c r="A3028" t="inlineStr">
        <is>
          <t>chr4</t>
        </is>
      </c>
      <c r="B3028" t="n">
        <v>34310507</v>
      </c>
      <c r="C3028" t="inlineStr">
        <is>
          <t>T</t>
        </is>
      </c>
      <c r="D3028" t="inlineStr">
        <is>
          <t>C</t>
        </is>
      </c>
      <c r="E3028" t="inlineStr">
        <is>
          <t>rs919018</t>
        </is>
      </c>
      <c r="F3028" t="n">
        <v>-0.01447593754</v>
      </c>
      <c r="G3028" t="n">
        <v>0.4520251095428024</v>
      </c>
      <c r="H3028" t="n">
        <v>0.0246995303732409</v>
      </c>
      <c r="I3028" t="n">
        <v>0.0254808359990567</v>
      </c>
      <c r="J3028" t="n">
        <v>0.1790356573861728</v>
      </c>
      <c r="K3028" t="n">
        <v>0.427814151540887</v>
      </c>
      <c r="L3028" t="b">
        <v>0</v>
      </c>
      <c r="M3028" t="b">
        <v>0</v>
      </c>
      <c r="N3028" t="inlineStr">
        <is>
          <t>ref</t>
        </is>
      </c>
      <c r="O3028" t="n">
        <v>-15</v>
      </c>
      <c r="P3028" t="n">
        <v>0.000389</v>
      </c>
      <c r="Q3028" t="n">
        <v>-65</v>
      </c>
      <c r="R3028" t="n">
        <v>0.05338</v>
      </c>
      <c r="S3028">
        <f>IMAGE("https://mitra.stanford.edu/kundaje/oak/projects/neuro-variants/variant_position/credible/roussos_2024/variant_figures/roussos_2024.adolescence.GLU/rs919018_count_position.png",4,220,900)</f>
        <v/>
      </c>
      <c r="T3028">
        <f>IMAGE("https://mitra.stanford.edu/kundaje/oak/projects/neuro-variants/variant_position/credible/roussos_2024/variant_figures/roussos_2024.adolescence.GLU/rs919018_profile_position.png",4,220,900)</f>
        <v/>
      </c>
    </row>
    <row r="3029">
      <c r="A3029" t="inlineStr">
        <is>
          <t>chr4</t>
        </is>
      </c>
      <c r="B3029" t="n">
        <v>34322125</v>
      </c>
      <c r="C3029" t="inlineStr">
        <is>
          <t>G</t>
        </is>
      </c>
      <c r="D3029" t="inlineStr">
        <is>
          <t>A</t>
        </is>
      </c>
      <c r="E3029" t="inlineStr">
        <is>
          <t>rs35418312</t>
        </is>
      </c>
      <c r="F3029" t="n">
        <v>-0.004545097</v>
      </c>
      <c r="G3029" t="n">
        <v>0.7576199969272859</v>
      </c>
      <c r="H3029" t="n">
        <v>0.0175782539182825</v>
      </c>
      <c r="I3029" t="n">
        <v>0.08806953078793769</v>
      </c>
      <c r="J3029" t="n">
        <v>0.0378792749926769</v>
      </c>
      <c r="K3029" t="n">
        <v>0.7419985313933543</v>
      </c>
      <c r="L3029" t="b">
        <v>0</v>
      </c>
      <c r="M3029" t="b">
        <v>0</v>
      </c>
      <c r="N3029" t="inlineStr">
        <is>
          <t>ref</t>
        </is>
      </c>
      <c r="O3029" t="n">
        <v>75</v>
      </c>
      <c r="P3029" t="n">
        <v>0.02058</v>
      </c>
      <c r="Q3029" t="n">
        <v>25</v>
      </c>
      <c r="R3029" t="n">
        <v>0.01534</v>
      </c>
      <c r="S3029">
        <f>IMAGE("https://mitra.stanford.edu/kundaje/oak/projects/neuro-variants/variant_position/credible/roussos_2024/variant_figures/roussos_2024.adolescence.GLU/rs35418312_count_position.png",4,220,900)</f>
        <v/>
      </c>
      <c r="T3029">
        <f>IMAGE("https://mitra.stanford.edu/kundaje/oak/projects/neuro-variants/variant_position/credible/roussos_2024/variant_figures/roussos_2024.adolescence.GLU/rs35418312_profile_position.png",4,220,900)</f>
        <v/>
      </c>
    </row>
    <row r="3030">
      <c r="A3030" t="inlineStr">
        <is>
          <t>chr4</t>
        </is>
      </c>
      <c r="B3030" t="n">
        <v>34322194</v>
      </c>
      <c r="C3030" t="inlineStr">
        <is>
          <t>G</t>
        </is>
      </c>
      <c r="D3030" t="inlineStr">
        <is>
          <t>T</t>
        </is>
      </c>
      <c r="E3030" t="inlineStr">
        <is>
          <t>rs13135298</t>
        </is>
      </c>
      <c r="F3030" t="n">
        <v>0.0107383939</v>
      </c>
      <c r="G3030" t="n">
        <v>0.479743438386413</v>
      </c>
      <c r="H3030" t="n">
        <v>0.0343271125379088</v>
      </c>
      <c r="I3030" t="n">
        <v>0.0052756965076948</v>
      </c>
      <c r="J3030" t="n">
        <v>0.0590236548999435</v>
      </c>
      <c r="K3030" t="n">
        <v>0.6744682915275059</v>
      </c>
      <c r="L3030" t="b">
        <v>1</v>
      </c>
      <c r="M3030" t="b">
        <v>1</v>
      </c>
      <c r="N3030" t="inlineStr">
        <is>
          <t>alt</t>
        </is>
      </c>
      <c r="O3030" t="n">
        <v>100</v>
      </c>
      <c r="P3030" t="n">
        <v>0.00595</v>
      </c>
      <c r="Q3030" t="n">
        <v>80</v>
      </c>
      <c r="R3030" t="n">
        <v>0.02661</v>
      </c>
      <c r="S3030">
        <f>IMAGE("https://mitra.stanford.edu/kundaje/oak/projects/neuro-variants/variant_position/credible/roussos_2024/variant_figures/roussos_2024.adolescence.GLU/rs13135298_count_position.png",4,220,900)</f>
        <v/>
      </c>
      <c r="T3030">
        <f>IMAGE("https://mitra.stanford.edu/kundaje/oak/projects/neuro-variants/variant_position/credible/roussos_2024/variant_figures/roussos_2024.adolescence.GLU/rs13135298_profile_position.png",4,220,900)</f>
        <v/>
      </c>
    </row>
    <row r="3031">
      <c r="A3031" t="inlineStr">
        <is>
          <t>chr4</t>
        </is>
      </c>
      <c r="B3031" t="n">
        <v>34324162</v>
      </c>
      <c r="C3031" t="inlineStr">
        <is>
          <t>C</t>
        </is>
      </c>
      <c r="D3031" t="inlineStr">
        <is>
          <t>T</t>
        </is>
      </c>
      <c r="E3031" t="inlineStr">
        <is>
          <t>rs61262296</t>
        </is>
      </c>
      <c r="F3031" t="n">
        <v>-0.074744088</v>
      </c>
      <c r="G3031" t="n">
        <v>0.0223831721872839</v>
      </c>
      <c r="H3031" t="n">
        <v>0.012153244162465</v>
      </c>
      <c r="I3031" t="n">
        <v>0.333020313084593</v>
      </c>
      <c r="J3031" t="n">
        <v>0.263435997456616</v>
      </c>
      <c r="K3031" t="n">
        <v>0.3071597182436162</v>
      </c>
      <c r="L3031" t="b">
        <v>0</v>
      </c>
      <c r="M3031" t="b">
        <v>0</v>
      </c>
      <c r="N3031" t="inlineStr">
        <is>
          <t>ref</t>
        </is>
      </c>
      <c r="O3031" t="n">
        <v>-50</v>
      </c>
      <c r="P3031" t="n">
        <v>0.03592</v>
      </c>
      <c r="Q3031" t="n">
        <v>-50</v>
      </c>
      <c r="R3031" t="n">
        <v>0.2222</v>
      </c>
      <c r="S3031">
        <f>IMAGE("https://mitra.stanford.edu/kundaje/oak/projects/neuro-variants/variant_position/credible/roussos_2024/variant_figures/roussos_2024.adolescence.GLU/rs61262296_count_position.png",4,220,900)</f>
        <v/>
      </c>
      <c r="T3031">
        <f>IMAGE("https://mitra.stanford.edu/kundaje/oak/projects/neuro-variants/variant_position/credible/roussos_2024/variant_figures/roussos_2024.adolescence.GLU/rs61262296_profile_position.png",4,220,900)</f>
        <v/>
      </c>
    </row>
    <row r="3032">
      <c r="A3032" t="inlineStr">
        <is>
          <t>chr4</t>
        </is>
      </c>
      <c r="B3032" t="n">
        <v>34333891</v>
      </c>
      <c r="C3032" t="inlineStr">
        <is>
          <t>T</t>
        </is>
      </c>
      <c r="D3032" t="inlineStr">
        <is>
          <t>C</t>
        </is>
      </c>
      <c r="E3032" t="inlineStr">
        <is>
          <t>rs7685673</t>
        </is>
      </c>
      <c r="F3032" t="n">
        <v>0.00186964739</v>
      </c>
      <c r="G3032" t="n">
        <v>0.8710804794713686</v>
      </c>
      <c r="H3032" t="n">
        <v>0.0190833966599243</v>
      </c>
      <c r="I3032" t="n">
        <v>0.0649647101655174</v>
      </c>
      <c r="J3032" t="n">
        <v>0.0367061748505047</v>
      </c>
      <c r="K3032" t="n">
        <v>0.7436141029122447</v>
      </c>
      <c r="L3032" t="b">
        <v>0</v>
      </c>
      <c r="M3032" t="b">
        <v>0</v>
      </c>
      <c r="N3032" t="inlineStr">
        <is>
          <t>alt</t>
        </is>
      </c>
      <c r="O3032" t="n">
        <v>50</v>
      </c>
      <c r="P3032" t="n">
        <v>0.006554</v>
      </c>
      <c r="Q3032" t="n">
        <v>50</v>
      </c>
      <c r="R3032" t="n">
        <v>0.10266</v>
      </c>
      <c r="S3032">
        <f>IMAGE("https://mitra.stanford.edu/kundaje/oak/projects/neuro-variants/variant_position/credible/roussos_2024/variant_figures/roussos_2024.adolescence.GLU/rs7685673_count_position.png",4,220,900)</f>
        <v/>
      </c>
      <c r="T3032">
        <f>IMAGE("https://mitra.stanford.edu/kundaje/oak/projects/neuro-variants/variant_position/credible/roussos_2024/variant_figures/roussos_2024.adolescence.GLU/rs7685673_profile_position.png",4,220,900)</f>
        <v/>
      </c>
    </row>
    <row r="3033">
      <c r="A3033" t="inlineStr">
        <is>
          <t>chr4</t>
        </is>
      </c>
      <c r="B3033" t="n">
        <v>34335946</v>
      </c>
      <c r="C3033" t="inlineStr">
        <is>
          <t>G</t>
        </is>
      </c>
      <c r="D3033" t="inlineStr">
        <is>
          <t>T</t>
        </is>
      </c>
      <c r="E3033" t="inlineStr">
        <is>
          <t>rs111284769</t>
        </is>
      </c>
      <c r="F3033" t="n">
        <v>-0.0300580246</v>
      </c>
      <c r="G3033" t="n">
        <v>0.1822545739437228</v>
      </c>
      <c r="H3033" t="n">
        <v>0.0181872575423453</v>
      </c>
      <c r="I3033" t="n">
        <v>0.08714240740787819</v>
      </c>
      <c r="J3033" t="n">
        <v>0.6078259067949789</v>
      </c>
      <c r="K3033" t="n">
        <v>0.0355673321287971</v>
      </c>
      <c r="L3033" t="b">
        <v>0</v>
      </c>
      <c r="M3033" t="b">
        <v>0</v>
      </c>
      <c r="N3033" t="inlineStr">
        <is>
          <t>ref</t>
        </is>
      </c>
      <c r="O3033" t="n">
        <v>-100</v>
      </c>
      <c r="P3033" t="n">
        <v>0.01033</v>
      </c>
      <c r="Q3033" t="n">
        <v>-60</v>
      </c>
      <c r="R3033" t="n">
        <v>0.03784</v>
      </c>
      <c r="S3033">
        <f>IMAGE("https://mitra.stanford.edu/kundaje/oak/projects/neuro-variants/variant_position/credible/roussos_2024/variant_figures/roussos_2024.adolescence.GLU/rs111284769_count_position.png",4,220,900)</f>
        <v/>
      </c>
      <c r="T3033">
        <f>IMAGE("https://mitra.stanford.edu/kundaje/oak/projects/neuro-variants/variant_position/credible/roussos_2024/variant_figures/roussos_2024.adolescence.GLU/rs111284769_profile_position.png",4,220,900)</f>
        <v/>
      </c>
    </row>
    <row r="3034">
      <c r="A3034" t="inlineStr">
        <is>
          <t>chr4</t>
        </is>
      </c>
      <c r="B3034" t="n">
        <v>34335967</v>
      </c>
      <c r="C3034" t="inlineStr">
        <is>
          <t>A</t>
        </is>
      </c>
      <c r="D3034" t="inlineStr">
        <is>
          <t>C</t>
        </is>
      </c>
      <c r="E3034" t="inlineStr">
        <is>
          <t>rs112181396</t>
        </is>
      </c>
      <c r="F3034" t="n">
        <v>-0.0463732055999999</v>
      </c>
      <c r="G3034" t="n">
        <v>0.0909809179898214</v>
      </c>
      <c r="H3034" t="n">
        <v>0.0169568560689668</v>
      </c>
      <c r="I3034" t="n">
        <v>0.1176886089324698</v>
      </c>
      <c r="J3034" t="n">
        <v>0.6007944502789864</v>
      </c>
      <c r="K3034" t="n">
        <v>0.0380593666734801</v>
      </c>
      <c r="L3034" t="b">
        <v>0</v>
      </c>
      <c r="M3034" t="b">
        <v>0</v>
      </c>
      <c r="N3034" t="inlineStr">
        <is>
          <t>ref</t>
        </is>
      </c>
      <c r="O3034" t="n">
        <v>-100</v>
      </c>
      <c r="P3034" t="n">
        <v>0.006767</v>
      </c>
      <c r="Q3034" t="n">
        <v>-80</v>
      </c>
      <c r="R3034" t="n">
        <v>0.08459999999999999</v>
      </c>
      <c r="S3034">
        <f>IMAGE("https://mitra.stanford.edu/kundaje/oak/projects/neuro-variants/variant_position/credible/roussos_2024/variant_figures/roussos_2024.adolescence.GLU/rs112181396_count_position.png",4,220,900)</f>
        <v/>
      </c>
      <c r="T3034">
        <f>IMAGE("https://mitra.stanford.edu/kundaje/oak/projects/neuro-variants/variant_position/credible/roussos_2024/variant_figures/roussos_2024.adolescence.GLU/rs112181396_profile_position.png",4,220,900)</f>
        <v/>
      </c>
    </row>
    <row r="3035">
      <c r="A3035" t="inlineStr">
        <is>
          <t>chr4</t>
        </is>
      </c>
      <c r="B3035" t="n">
        <v>34337660</v>
      </c>
      <c r="C3035" t="inlineStr">
        <is>
          <t>T</t>
        </is>
      </c>
      <c r="D3035" t="inlineStr">
        <is>
          <t>C</t>
        </is>
      </c>
      <c r="E3035" t="inlineStr">
        <is>
          <t>rs35781550</t>
        </is>
      </c>
      <c r="F3035" t="n">
        <v>0.00929161328</v>
      </c>
      <c r="G3035" t="n">
        <v>0.5244326964013636</v>
      </c>
      <c r="H3035" t="n">
        <v>0.0172987101344434</v>
      </c>
      <c r="I3035" t="n">
        <v>0.09627021408265719</v>
      </c>
      <c r="J3035" t="n">
        <v>0.0095634095634095</v>
      </c>
      <c r="K3035" t="n">
        <v>0.8845526389874271</v>
      </c>
      <c r="L3035" t="b">
        <v>0</v>
      </c>
      <c r="M3035" t="b">
        <v>0</v>
      </c>
      <c r="N3035" t="inlineStr">
        <is>
          <t>alt</t>
        </is>
      </c>
      <c r="O3035" t="n">
        <v>-5</v>
      </c>
      <c r="P3035" t="n">
        <v>0.0005436</v>
      </c>
      <c r="Q3035" t="n">
        <v>35</v>
      </c>
      <c r="R3035" t="n">
        <v>0.05603</v>
      </c>
      <c r="S3035">
        <f>IMAGE("https://mitra.stanford.edu/kundaje/oak/projects/neuro-variants/variant_position/credible/roussos_2024/variant_figures/roussos_2024.adolescence.GLU/rs35781550_count_position.png",4,220,900)</f>
        <v/>
      </c>
      <c r="T3035">
        <f>IMAGE("https://mitra.stanford.edu/kundaje/oak/projects/neuro-variants/variant_position/credible/roussos_2024/variant_figures/roussos_2024.adolescence.GLU/rs35781550_profile_position.png",4,220,900)</f>
        <v/>
      </c>
    </row>
    <row r="3036">
      <c r="A3036" t="inlineStr">
        <is>
          <t>chr4</t>
        </is>
      </c>
      <c r="B3036" t="n">
        <v>34337807</v>
      </c>
      <c r="C3036" t="inlineStr">
        <is>
          <t>C</t>
        </is>
      </c>
      <c r="D3036" t="inlineStr">
        <is>
          <t>T</t>
        </is>
      </c>
      <c r="E3036" t="inlineStr">
        <is>
          <t>rs36044581</t>
        </is>
      </c>
      <c r="F3036" t="n">
        <v>-0.0263795356</v>
      </c>
      <c r="G3036" t="n">
        <v>0.2219210373109947</v>
      </c>
      <c r="H3036" t="n">
        <v>0.0095663517388758</v>
      </c>
      <c r="I3036" t="n">
        <v>0.5821180372262564</v>
      </c>
      <c r="J3036" t="n">
        <v>0.0121239399589914</v>
      </c>
      <c r="K3036" t="n">
        <v>0.8674422615896518</v>
      </c>
      <c r="L3036" t="b">
        <v>0</v>
      </c>
      <c r="M3036" t="b">
        <v>0</v>
      </c>
      <c r="N3036" t="inlineStr">
        <is>
          <t>ref</t>
        </is>
      </c>
      <c r="O3036" t="n">
        <v>-80</v>
      </c>
      <c r="P3036" t="n">
        <v>0.009415</v>
      </c>
      <c r="Q3036" t="n">
        <v>85</v>
      </c>
      <c r="R3036" t="n">
        <v>0.03632</v>
      </c>
      <c r="S3036">
        <f>IMAGE("https://mitra.stanford.edu/kundaje/oak/projects/neuro-variants/variant_position/credible/roussos_2024/variant_figures/roussos_2024.adolescence.GLU/rs36044581_count_position.png",4,220,900)</f>
        <v/>
      </c>
      <c r="T3036">
        <f>IMAGE("https://mitra.stanford.edu/kundaje/oak/projects/neuro-variants/variant_position/credible/roussos_2024/variant_figures/roussos_2024.adolescence.GLU/rs36044581_profile_position.png",4,220,900)</f>
        <v/>
      </c>
    </row>
    <row r="3037">
      <c r="A3037" t="inlineStr">
        <is>
          <t>chr4</t>
        </is>
      </c>
      <c r="B3037" t="n">
        <v>34339177</v>
      </c>
      <c r="C3037" t="inlineStr">
        <is>
          <t>A</t>
        </is>
      </c>
      <c r="D3037" t="inlineStr">
        <is>
          <t>G</t>
        </is>
      </c>
      <c r="E3037" t="inlineStr">
        <is>
          <t>rs6824510</t>
        </is>
      </c>
      <c r="F3037" t="n">
        <v>0.0172646362</v>
      </c>
      <c r="G3037" t="n">
        <v>0.3263781204908816</v>
      </c>
      <c r="H3037" t="n">
        <v>0.0119357048159578</v>
      </c>
      <c r="I3037" t="n">
        <v>0.3423308100079515</v>
      </c>
      <c r="J3037" t="n">
        <v>0.0500603696479984</v>
      </c>
      <c r="K3037" t="n">
        <v>0.7031592281749878</v>
      </c>
      <c r="L3037" t="b">
        <v>0</v>
      </c>
      <c r="M3037" t="b">
        <v>0</v>
      </c>
      <c r="N3037" t="inlineStr">
        <is>
          <t>alt</t>
        </is>
      </c>
      <c r="O3037" t="n">
        <v>35</v>
      </c>
      <c r="P3037" t="n">
        <v>0.0006666</v>
      </c>
      <c r="Q3037" t="n">
        <v>-90</v>
      </c>
      <c r="R3037" t="n">
        <v>0.05545</v>
      </c>
      <c r="S3037">
        <f>IMAGE("https://mitra.stanford.edu/kundaje/oak/projects/neuro-variants/variant_position/credible/roussos_2024/variant_figures/roussos_2024.adolescence.GLU/rs6824510_count_position.png",4,220,900)</f>
        <v/>
      </c>
      <c r="T3037">
        <f>IMAGE("https://mitra.stanford.edu/kundaje/oak/projects/neuro-variants/variant_position/credible/roussos_2024/variant_figures/roussos_2024.adolescence.GLU/rs6824510_profile_position.png",4,220,900)</f>
        <v/>
      </c>
    </row>
    <row r="3038">
      <c r="A3038" t="inlineStr">
        <is>
          <t>chr4</t>
        </is>
      </c>
      <c r="B3038" t="n">
        <v>34339873</v>
      </c>
      <c r="C3038" t="inlineStr">
        <is>
          <t>T</t>
        </is>
      </c>
      <c r="D3038" t="inlineStr">
        <is>
          <t>G</t>
        </is>
      </c>
      <c r="E3038" t="inlineStr">
        <is>
          <t>rs7690302</t>
        </is>
      </c>
      <c r="F3038" t="n">
        <v>0.0269907584</v>
      </c>
      <c r="G3038" t="n">
        <v>0.2001586152284502</v>
      </c>
      <c r="H3038" t="n">
        <v>0.014143259068457</v>
      </c>
      <c r="I3038" t="n">
        <v>0.2266625872718799</v>
      </c>
      <c r="J3038" t="n">
        <v>0.0291446085260517</v>
      </c>
      <c r="K3038" t="n">
        <v>0.776409537988802</v>
      </c>
      <c r="L3038" t="b">
        <v>0</v>
      </c>
      <c r="M3038" t="b">
        <v>0</v>
      </c>
      <c r="N3038" t="inlineStr">
        <is>
          <t>alt</t>
        </is>
      </c>
      <c r="O3038" t="n">
        <v>65</v>
      </c>
      <c r="P3038" t="n">
        <v>0.01038</v>
      </c>
      <c r="Q3038" t="n">
        <v>-55</v>
      </c>
      <c r="R3038" t="n">
        <v>0.02646</v>
      </c>
      <c r="S3038">
        <f>IMAGE("https://mitra.stanford.edu/kundaje/oak/projects/neuro-variants/variant_position/credible/roussos_2024/variant_figures/roussos_2024.adolescence.GLU/rs7690302_count_position.png",4,220,900)</f>
        <v/>
      </c>
      <c r="T3038">
        <f>IMAGE("https://mitra.stanford.edu/kundaje/oak/projects/neuro-variants/variant_position/credible/roussos_2024/variant_figures/roussos_2024.adolescence.GLU/rs7690302_profile_position.png",4,220,900)</f>
        <v/>
      </c>
    </row>
    <row r="3039">
      <c r="A3039" t="inlineStr">
        <is>
          <t>chr4</t>
        </is>
      </c>
      <c r="B3039" t="n">
        <v>34340047</v>
      </c>
      <c r="C3039" t="inlineStr">
        <is>
          <t>A</t>
        </is>
      </c>
      <c r="D3039" t="inlineStr">
        <is>
          <t>G</t>
        </is>
      </c>
      <c r="E3039" t="inlineStr">
        <is>
          <t>rs13113901</t>
        </is>
      </c>
      <c r="F3039" t="n">
        <v>-0.0323409484</v>
      </c>
      <c r="G3039" t="n">
        <v>0.164398082422384</v>
      </c>
      <c r="H3039" t="n">
        <v>0.0362096239903949</v>
      </c>
      <c r="I3039" t="n">
        <v>0.0040590076568855</v>
      </c>
      <c r="J3039" t="n">
        <v>0.0139000221474448</v>
      </c>
      <c r="K3039" t="n">
        <v>0.85211996667926</v>
      </c>
      <c r="L3039" t="b">
        <v>1</v>
      </c>
      <c r="M3039" t="b">
        <v>0</v>
      </c>
      <c r="N3039" t="inlineStr">
        <is>
          <t>ref</t>
        </is>
      </c>
      <c r="O3039" t="n">
        <v>-100</v>
      </c>
      <c r="P3039" t="n">
        <v>0.00386</v>
      </c>
      <c r="Q3039" t="n">
        <v>-75</v>
      </c>
      <c r="R3039" t="n">
        <v>0.0209</v>
      </c>
      <c r="S3039">
        <f>IMAGE("https://mitra.stanford.edu/kundaje/oak/projects/neuro-variants/variant_position/credible/roussos_2024/variant_figures/roussos_2024.adolescence.GLU/rs13113901_count_position.png",4,220,900)</f>
        <v/>
      </c>
      <c r="T3039">
        <f>IMAGE("https://mitra.stanford.edu/kundaje/oak/projects/neuro-variants/variant_position/credible/roussos_2024/variant_figures/roussos_2024.adolescence.GLU/rs13113901_profile_position.png",4,220,900)</f>
        <v/>
      </c>
    </row>
    <row r="3040">
      <c r="A3040" t="inlineStr">
        <is>
          <t>chr4</t>
        </is>
      </c>
      <c r="B3040" t="n">
        <v>34342868</v>
      </c>
      <c r="C3040" t="inlineStr">
        <is>
          <t>A</t>
        </is>
      </c>
      <c r="D3040" t="inlineStr">
        <is>
          <t>G</t>
        </is>
      </c>
      <c r="E3040" t="inlineStr">
        <is>
          <t>rs7658506</t>
        </is>
      </c>
      <c r="F3040" t="n">
        <v>-0.000282661192</v>
      </c>
      <c r="G3040" t="n">
        <v>0.8645682937554523</v>
      </c>
      <c r="H3040" t="n">
        <v>0.0187133032486576</v>
      </c>
      <c r="I3040" t="n">
        <v>0.0723611156131747</v>
      </c>
      <c r="J3040" t="n">
        <v>0.0301448157118259</v>
      </c>
      <c r="K3040" t="n">
        <v>0.7702045613478169</v>
      </c>
      <c r="L3040" t="b">
        <v>0</v>
      </c>
      <c r="M3040" t="b">
        <v>0</v>
      </c>
      <c r="N3040" t="inlineStr">
        <is>
          <t>ref</t>
        </is>
      </c>
      <c r="O3040" t="n">
        <v>-100</v>
      </c>
      <c r="P3040" t="n">
        <v>0.02931</v>
      </c>
      <c r="Q3040" t="n">
        <v>-100</v>
      </c>
      <c r="R3040" t="n">
        <v>0.05377</v>
      </c>
      <c r="S3040">
        <f>IMAGE("https://mitra.stanford.edu/kundaje/oak/projects/neuro-variants/variant_position/credible/roussos_2024/variant_figures/roussos_2024.adolescence.GLU/rs7658506_count_position.png",4,220,900)</f>
        <v/>
      </c>
      <c r="T3040">
        <f>IMAGE("https://mitra.stanford.edu/kundaje/oak/projects/neuro-variants/variant_position/credible/roussos_2024/variant_figures/roussos_2024.adolescence.GLU/rs7658506_profile_position.png",4,220,900)</f>
        <v/>
      </c>
    </row>
    <row r="3041">
      <c r="A3041" t="inlineStr">
        <is>
          <t>chr4</t>
        </is>
      </c>
      <c r="B3041" t="n">
        <v>34342904</v>
      </c>
      <c r="C3041" t="inlineStr">
        <is>
          <t>C</t>
        </is>
      </c>
      <c r="D3041" t="inlineStr">
        <is>
          <t>T</t>
        </is>
      </c>
      <c r="E3041" t="inlineStr">
        <is>
          <t>rs7681085</t>
        </is>
      </c>
      <c r="F3041" t="n">
        <v>-0.00261722636</v>
      </c>
      <c r="G3041" t="n">
        <v>0.7794788230277874</v>
      </c>
      <c r="H3041" t="n">
        <v>0.0104812433435293</v>
      </c>
      <c r="I3041" t="n">
        <v>0.4699639133204694</v>
      </c>
      <c r="J3041" t="n">
        <v>0.0258925063048774</v>
      </c>
      <c r="K3041" t="n">
        <v>0.7890411301660755</v>
      </c>
      <c r="L3041" t="b">
        <v>0</v>
      </c>
      <c r="M3041" t="b">
        <v>0</v>
      </c>
      <c r="N3041" t="inlineStr">
        <is>
          <t>ref</t>
        </is>
      </c>
      <c r="O3041" t="n">
        <v>-100</v>
      </c>
      <c r="P3041" t="n">
        <v>0.01695</v>
      </c>
      <c r="Q3041" t="n">
        <v>-100</v>
      </c>
      <c r="R3041" t="n">
        <v>0.0803</v>
      </c>
      <c r="S3041">
        <f>IMAGE("https://mitra.stanford.edu/kundaje/oak/projects/neuro-variants/variant_position/credible/roussos_2024/variant_figures/roussos_2024.adolescence.GLU/rs7681085_count_position.png",4,220,900)</f>
        <v/>
      </c>
      <c r="T3041">
        <f>IMAGE("https://mitra.stanford.edu/kundaje/oak/projects/neuro-variants/variant_position/credible/roussos_2024/variant_figures/roussos_2024.adolescence.GLU/rs7681085_profile_position.png",4,220,900)</f>
        <v/>
      </c>
    </row>
    <row r="3042">
      <c r="A3042" t="inlineStr">
        <is>
          <t>chr4</t>
        </is>
      </c>
      <c r="B3042" t="n">
        <v>34344336</v>
      </c>
      <c r="C3042" t="inlineStr">
        <is>
          <t>G</t>
        </is>
      </c>
      <c r="D3042" t="inlineStr">
        <is>
          <t>A</t>
        </is>
      </c>
      <c r="E3042" t="inlineStr">
        <is>
          <t>rs13115626</t>
        </is>
      </c>
      <c r="F3042" t="n">
        <v>-0.0526544322</v>
      </c>
      <c r="G3042" t="n">
        <v>0.06101048040409</v>
      </c>
      <c r="H3042" t="n">
        <v>0.010771844527502</v>
      </c>
      <c r="I3042" t="n">
        <v>0.4490105969982916</v>
      </c>
      <c r="J3042" t="n">
        <v>0.0103678619142536</v>
      </c>
      <c r="K3042" t="n">
        <v>0.8863364208358394</v>
      </c>
      <c r="L3042" t="b">
        <v>0</v>
      </c>
      <c r="M3042" t="b">
        <v>0</v>
      </c>
      <c r="N3042" t="inlineStr">
        <is>
          <t>ref</t>
        </is>
      </c>
      <c r="O3042" t="n">
        <v>-95</v>
      </c>
      <c r="P3042" t="n">
        <v>0.003918</v>
      </c>
      <c r="Q3042" t="n">
        <v>-90</v>
      </c>
      <c r="R3042" t="n">
        <v>0.003418</v>
      </c>
      <c r="S3042">
        <f>IMAGE("https://mitra.stanford.edu/kundaje/oak/projects/neuro-variants/variant_position/credible/roussos_2024/variant_figures/roussos_2024.adolescence.GLU/rs13115626_count_position.png",4,220,900)</f>
        <v/>
      </c>
      <c r="T3042">
        <f>IMAGE("https://mitra.stanford.edu/kundaje/oak/projects/neuro-variants/variant_position/credible/roussos_2024/variant_figures/roussos_2024.adolescence.GLU/rs13115626_profile_position.png",4,220,900)</f>
        <v/>
      </c>
    </row>
    <row r="3043">
      <c r="A3043" t="inlineStr">
        <is>
          <t>chr4</t>
        </is>
      </c>
      <c r="B3043" t="n">
        <v>47230269</v>
      </c>
      <c r="C3043" t="inlineStr">
        <is>
          <t>A</t>
        </is>
      </c>
      <c r="D3043" t="inlineStr">
        <is>
          <t>G</t>
        </is>
      </c>
      <c r="E3043" t="inlineStr">
        <is>
          <t>rs4695202</t>
        </is>
      </c>
      <c r="F3043" t="n">
        <v>0.13252711</v>
      </c>
      <c r="G3043" t="n">
        <v>0.0035885873657963</v>
      </c>
      <c r="H3043" t="n">
        <v>0.017962377611821</v>
      </c>
      <c r="I3043" t="n">
        <v>0.108585304531785</v>
      </c>
      <c r="J3043" t="n">
        <v>0.1431267905494709</v>
      </c>
      <c r="K3043" t="n">
        <v>0.4876238089281635</v>
      </c>
      <c r="L3043" t="b">
        <v>1</v>
      </c>
      <c r="M3043" t="b">
        <v>1</v>
      </c>
      <c r="N3043" t="inlineStr">
        <is>
          <t>alt</t>
        </is>
      </c>
      <c r="O3043" t="n">
        <v>-55</v>
      </c>
      <c r="P3043" t="n">
        <v>0.01825</v>
      </c>
      <c r="Q3043" t="n">
        <v>50</v>
      </c>
      <c r="R3043" t="n">
        <v>0.002197</v>
      </c>
      <c r="S3043">
        <f>IMAGE("https://mitra.stanford.edu/kundaje/oak/projects/neuro-variants/variant_position/credible/roussos_2024/variant_figures/roussos_2024.adolescence.GLU/rs4695202_count_position.png",4,220,900)</f>
        <v/>
      </c>
      <c r="T3043">
        <f>IMAGE("https://mitra.stanford.edu/kundaje/oak/projects/neuro-variants/variant_position/credible/roussos_2024/variant_figures/roussos_2024.adolescence.GLU/rs4695202_profile_position.png",4,220,900)</f>
        <v/>
      </c>
    </row>
    <row r="3044">
      <c r="A3044" t="inlineStr">
        <is>
          <t>chr4</t>
        </is>
      </c>
      <c r="B3044" t="n">
        <v>47242132</v>
      </c>
      <c r="C3044" t="inlineStr">
        <is>
          <t>C</t>
        </is>
      </c>
      <c r="D3044" t="inlineStr">
        <is>
          <t>T</t>
        </is>
      </c>
      <c r="E3044" t="inlineStr">
        <is>
          <t>rs28584485</t>
        </is>
      </c>
      <c r="F3044" t="n">
        <v>-0.0614594647999999</v>
      </c>
      <c r="G3044" t="n">
        <v>0.03431609565258</v>
      </c>
      <c r="H3044" t="n">
        <v>0.0107988398827781</v>
      </c>
      <c r="I3044" t="n">
        <v>0.4093986891643421</v>
      </c>
      <c r="J3044" t="n">
        <v>0.0596880782447792</v>
      </c>
      <c r="K3044" t="n">
        <v>0.6776696240743815</v>
      </c>
      <c r="L3044" t="b">
        <v>0</v>
      </c>
      <c r="M3044" t="b">
        <v>0</v>
      </c>
      <c r="N3044" t="inlineStr">
        <is>
          <t>ref</t>
        </is>
      </c>
      <c r="O3044" t="n">
        <v>-100</v>
      </c>
      <c r="P3044" t="n">
        <v>0.009509999999999999</v>
      </c>
      <c r="Q3044" t="n">
        <v>-25</v>
      </c>
      <c r="R3044" t="n">
        <v>0.01514</v>
      </c>
      <c r="S3044">
        <f>IMAGE("https://mitra.stanford.edu/kundaje/oak/projects/neuro-variants/variant_position/credible/roussos_2024/variant_figures/roussos_2024.adolescence.GLU/rs28584485_count_position.png",4,220,900)</f>
        <v/>
      </c>
      <c r="T3044">
        <f>IMAGE("https://mitra.stanford.edu/kundaje/oak/projects/neuro-variants/variant_position/credible/roussos_2024/variant_figures/roussos_2024.adolescence.GLU/rs28584485_profile_position.png",4,220,900)</f>
        <v/>
      </c>
    </row>
    <row r="3045">
      <c r="A3045" t="inlineStr">
        <is>
          <t>chr4</t>
        </is>
      </c>
      <c r="B3045" t="n">
        <v>47273653</v>
      </c>
      <c r="C3045" t="inlineStr">
        <is>
          <t>A</t>
        </is>
      </c>
      <c r="D3045" t="inlineStr">
        <is>
          <t>G</t>
        </is>
      </c>
      <c r="E3045" t="inlineStr">
        <is>
          <t>rs4426746</t>
        </is>
      </c>
      <c r="F3045" t="n">
        <v>0.0203416264</v>
      </c>
      <c r="G3045" t="n">
        <v>0.2720139170814472</v>
      </c>
      <c r="H3045" t="n">
        <v>0.009872130277876401</v>
      </c>
      <c r="I3045" t="n">
        <v>0.5299820901400257</v>
      </c>
      <c r="J3045" t="n">
        <v>0.1316472697915996</v>
      </c>
      <c r="K3045" t="n">
        <v>0.5091208315188183</v>
      </c>
      <c r="L3045" t="b">
        <v>0</v>
      </c>
      <c r="M3045" t="b">
        <v>0</v>
      </c>
      <c r="N3045" t="inlineStr">
        <is>
          <t>alt</t>
        </is>
      </c>
      <c r="O3045" t="n">
        <v>-85</v>
      </c>
      <c r="P3045" t="n">
        <v>0.006653</v>
      </c>
      <c r="Q3045" t="n">
        <v>-80</v>
      </c>
      <c r="R3045" t="n">
        <v>0.1498</v>
      </c>
      <c r="S3045">
        <f>IMAGE("https://mitra.stanford.edu/kundaje/oak/projects/neuro-variants/variant_position/credible/roussos_2024/variant_figures/roussos_2024.adolescence.GLU/rs4426746_count_position.png",4,220,900)</f>
        <v/>
      </c>
      <c r="T3045">
        <f>IMAGE("https://mitra.stanford.edu/kundaje/oak/projects/neuro-variants/variant_position/credible/roussos_2024/variant_figures/roussos_2024.adolescence.GLU/rs4426746_profile_position.png",4,220,900)</f>
        <v/>
      </c>
    </row>
    <row r="3046">
      <c r="A3046" t="inlineStr">
        <is>
          <t>chr4</t>
        </is>
      </c>
      <c r="B3046" t="n">
        <v>79277722</v>
      </c>
      <c r="C3046" t="inlineStr">
        <is>
          <t>C</t>
        </is>
      </c>
      <c r="D3046" t="inlineStr">
        <is>
          <t>T</t>
        </is>
      </c>
      <c r="E3046" t="inlineStr">
        <is>
          <t>rs13108290</t>
        </is>
      </c>
      <c r="F3046" t="n">
        <v>-0.0452399349999999</v>
      </c>
      <c r="G3046" t="n">
        <v>0.0873628305139194</v>
      </c>
      <c r="H3046" t="n">
        <v>0.0135261541133329</v>
      </c>
      <c r="I3046" t="n">
        <v>0.2373469971967735</v>
      </c>
      <c r="J3046" t="n">
        <v>0.3788856263083067</v>
      </c>
      <c r="K3046" t="n">
        <v>0.1866761386871762</v>
      </c>
      <c r="L3046" t="b">
        <v>0</v>
      </c>
      <c r="M3046" t="b">
        <v>0</v>
      </c>
      <c r="N3046" t="inlineStr">
        <is>
          <t>ref</t>
        </is>
      </c>
      <c r="O3046" t="n">
        <v>100</v>
      </c>
      <c r="P3046" t="n">
        <v>0.03004</v>
      </c>
      <c r="Q3046" t="n">
        <v>10</v>
      </c>
      <c r="R3046" t="n">
        <v>0.02686</v>
      </c>
      <c r="S3046">
        <f>IMAGE("https://mitra.stanford.edu/kundaje/oak/projects/neuro-variants/variant_position/credible/roussos_2024/variant_figures/roussos_2024.adolescence.GLU/rs13108290_count_position.png",4,220,900)</f>
        <v/>
      </c>
      <c r="T3046">
        <f>IMAGE("https://mitra.stanford.edu/kundaje/oak/projects/neuro-variants/variant_position/credible/roussos_2024/variant_figures/roussos_2024.adolescence.GLU/rs13108290_profile_position.png",4,220,900)</f>
        <v/>
      </c>
    </row>
    <row r="3047">
      <c r="A3047" t="inlineStr">
        <is>
          <t>chr4</t>
        </is>
      </c>
      <c r="B3047" t="n">
        <v>81085512</v>
      </c>
      <c r="C3047" t="inlineStr">
        <is>
          <t>C</t>
        </is>
      </c>
      <c r="D3047" t="inlineStr">
        <is>
          <t>G</t>
        </is>
      </c>
      <c r="E3047" t="inlineStr">
        <is>
          <t>rs7671128</t>
        </is>
      </c>
      <c r="F3047" t="n">
        <v>-0.0502112576</v>
      </c>
      <c r="G3047" t="n">
        <v>0.06813590876413279</v>
      </c>
      <c r="H3047" t="n">
        <v>0.0172748033888839</v>
      </c>
      <c r="I3047" t="n">
        <v>0.1088368023817433</v>
      </c>
      <c r="J3047" t="n">
        <v>0.3359824535082266</v>
      </c>
      <c r="K3047" t="n">
        <v>0.2231403387561652</v>
      </c>
      <c r="L3047" t="b">
        <v>0</v>
      </c>
      <c r="M3047" t="b">
        <v>0</v>
      </c>
      <c r="N3047" t="inlineStr">
        <is>
          <t>ref</t>
        </is>
      </c>
      <c r="O3047" t="n">
        <v>-95</v>
      </c>
      <c r="P3047" t="n">
        <v>0.02515</v>
      </c>
      <c r="Q3047" t="n">
        <v>-100</v>
      </c>
      <c r="R3047" t="n">
        <v>0.08740000000000001</v>
      </c>
      <c r="S3047">
        <f>IMAGE("https://mitra.stanford.edu/kundaje/oak/projects/neuro-variants/variant_position/credible/roussos_2024/variant_figures/roussos_2024.adolescence.GLU/rs7671128_count_position.png",4,220,900)</f>
        <v/>
      </c>
      <c r="T3047">
        <f>IMAGE("https://mitra.stanford.edu/kundaje/oak/projects/neuro-variants/variant_position/credible/roussos_2024/variant_figures/roussos_2024.adolescence.GLU/rs7671128_profile_position.png",4,220,900)</f>
        <v/>
      </c>
    </row>
    <row r="3048">
      <c r="A3048" t="inlineStr">
        <is>
          <t>chr4</t>
        </is>
      </c>
      <c r="B3048" t="n">
        <v>81113913</v>
      </c>
      <c r="C3048" t="inlineStr">
        <is>
          <t>T</t>
        </is>
      </c>
      <c r="D3048" t="inlineStr">
        <is>
          <t>C</t>
        </is>
      </c>
      <c r="E3048" t="inlineStr">
        <is>
          <t>rs7675843</t>
        </is>
      </c>
      <c r="F3048" t="n">
        <v>0.0319942359999999</v>
      </c>
      <c r="G3048" t="n">
        <v>0.1469908528642192</v>
      </c>
      <c r="H3048" t="n">
        <v>0.007814964030525701</v>
      </c>
      <c r="I3048" t="n">
        <v>0.7948642165794223</v>
      </c>
      <c r="J3048" t="n">
        <v>0.0468754241950117</v>
      </c>
      <c r="K3048" t="n">
        <v>0.7107166208789459</v>
      </c>
      <c r="L3048" t="b">
        <v>0</v>
      </c>
      <c r="M3048" t="b">
        <v>0</v>
      </c>
      <c r="N3048" t="inlineStr">
        <is>
          <t>alt</t>
        </is>
      </c>
      <c r="O3048" t="n">
        <v>-100</v>
      </c>
      <c r="P3048" t="n">
        <v>0.009599999999999999</v>
      </c>
      <c r="Q3048" t="n">
        <v>85</v>
      </c>
      <c r="R3048" t="n">
        <v>0.04312</v>
      </c>
      <c r="S3048">
        <f>IMAGE("https://mitra.stanford.edu/kundaje/oak/projects/neuro-variants/variant_position/credible/roussos_2024/variant_figures/roussos_2024.adolescence.GLU/rs7675843_count_position.png",4,220,900)</f>
        <v/>
      </c>
      <c r="T3048">
        <f>IMAGE("https://mitra.stanford.edu/kundaje/oak/projects/neuro-variants/variant_position/credible/roussos_2024/variant_figures/roussos_2024.adolescence.GLU/rs7675843_profile_position.png",4,220,900)</f>
        <v/>
      </c>
    </row>
    <row r="3049">
      <c r="A3049" t="inlineStr">
        <is>
          <t>chr4</t>
        </is>
      </c>
      <c r="B3049" t="n">
        <v>81114580</v>
      </c>
      <c r="C3049" t="inlineStr">
        <is>
          <t>C</t>
        </is>
      </c>
      <c r="D3049" t="inlineStr">
        <is>
          <t>A</t>
        </is>
      </c>
      <c r="E3049" t="inlineStr">
        <is>
          <t>rs9685762</t>
        </is>
      </c>
      <c r="F3049" t="n">
        <v>0.0053528939999999</v>
      </c>
      <c r="G3049" t="n">
        <v>0.6673911461779123</v>
      </c>
      <c r="H3049" t="n">
        <v>0.0191168082777637</v>
      </c>
      <c r="I3049" t="n">
        <v>0.0668332022878617</v>
      </c>
      <c r="J3049" t="n">
        <v>0.0126140414800208</v>
      </c>
      <c r="K3049" t="n">
        <v>0.8591940295933448</v>
      </c>
      <c r="L3049" t="b">
        <v>0</v>
      </c>
      <c r="M3049" t="b">
        <v>0</v>
      </c>
      <c r="N3049" t="inlineStr">
        <is>
          <t>alt</t>
        </is>
      </c>
      <c r="O3049" t="n">
        <v>85</v>
      </c>
      <c r="P3049" t="n">
        <v>0.01193</v>
      </c>
      <c r="Q3049" t="n">
        <v>65</v>
      </c>
      <c r="R3049" t="n">
        <v>0.0381</v>
      </c>
      <c r="S3049">
        <f>IMAGE("https://mitra.stanford.edu/kundaje/oak/projects/neuro-variants/variant_position/credible/roussos_2024/variant_figures/roussos_2024.adolescence.GLU/rs9685762_count_position.png",4,220,900)</f>
        <v/>
      </c>
      <c r="T3049">
        <f>IMAGE("https://mitra.stanford.edu/kundaje/oak/projects/neuro-variants/variant_position/credible/roussos_2024/variant_figures/roussos_2024.adolescence.GLU/rs9685762_profile_position.png",4,220,900)</f>
        <v/>
      </c>
    </row>
    <row r="3050">
      <c r="A3050" t="inlineStr">
        <is>
          <t>chr4</t>
        </is>
      </c>
      <c r="B3050" t="n">
        <v>81115574</v>
      </c>
      <c r="C3050" t="inlineStr">
        <is>
          <t>C</t>
        </is>
      </c>
      <c r="D3050" t="inlineStr">
        <is>
          <t>T</t>
        </is>
      </c>
      <c r="E3050" t="inlineStr">
        <is>
          <t>rs17005062</t>
        </is>
      </c>
      <c r="F3050" t="n">
        <v>-0.0127872454</v>
      </c>
      <c r="G3050" t="n">
        <v>0.4372507318403495</v>
      </c>
      <c r="H3050" t="n">
        <v>0.010261763093001</v>
      </c>
      <c r="I3050" t="n">
        <v>0.4870695858033497</v>
      </c>
      <c r="J3050" t="n">
        <v>0.06635803130648479</v>
      </c>
      <c r="K3050" t="n">
        <v>0.6498867569324948</v>
      </c>
      <c r="L3050" t="b">
        <v>0</v>
      </c>
      <c r="M3050" t="b">
        <v>0</v>
      </c>
      <c r="N3050" t="inlineStr">
        <is>
          <t>ref</t>
        </is>
      </c>
      <c r="O3050" t="n">
        <v>30</v>
      </c>
      <c r="P3050" t="n">
        <v>0.0056</v>
      </c>
      <c r="Q3050" t="n">
        <v>-55</v>
      </c>
      <c r="R3050" t="n">
        <v>0.02124</v>
      </c>
      <c r="S3050">
        <f>IMAGE("https://mitra.stanford.edu/kundaje/oak/projects/neuro-variants/variant_position/credible/roussos_2024/variant_figures/roussos_2024.adolescence.GLU/rs17005062_count_position.png",4,220,900)</f>
        <v/>
      </c>
      <c r="T3050">
        <f>IMAGE("https://mitra.stanford.edu/kundaje/oak/projects/neuro-variants/variant_position/credible/roussos_2024/variant_figures/roussos_2024.adolescence.GLU/rs17005062_profile_position.png",4,220,900)</f>
        <v/>
      </c>
    </row>
    <row r="3051">
      <c r="A3051" t="inlineStr">
        <is>
          <t>chr4</t>
        </is>
      </c>
      <c r="B3051" t="n">
        <v>81115998</v>
      </c>
      <c r="C3051" t="inlineStr">
        <is>
          <t>T</t>
        </is>
      </c>
      <c r="D3051" t="inlineStr">
        <is>
          <t>C</t>
        </is>
      </c>
      <c r="E3051" t="inlineStr">
        <is>
          <t>rs1443539</t>
        </is>
      </c>
      <c r="F3051" t="n">
        <v>0.0260177562</v>
      </c>
      <c r="G3051" t="n">
        <v>0.2337249612471529</v>
      </c>
      <c r="H3051" t="n">
        <v>0.0111669152594576</v>
      </c>
      <c r="I3051" t="n">
        <v>0.4329262491697513</v>
      </c>
      <c r="J3051" t="n">
        <v>0.0434189939344578</v>
      </c>
      <c r="K3051" t="n">
        <v>0.722564753854805</v>
      </c>
      <c r="L3051" t="b">
        <v>0</v>
      </c>
      <c r="M3051" t="b">
        <v>0</v>
      </c>
      <c r="N3051" t="inlineStr">
        <is>
          <t>alt</t>
        </is>
      </c>
      <c r="O3051" t="n">
        <v>95</v>
      </c>
      <c r="P3051" t="n">
        <v>0.006687</v>
      </c>
      <c r="Q3051" t="n">
        <v>-20</v>
      </c>
      <c r="R3051" t="n">
        <v>0.0246</v>
      </c>
      <c r="S3051">
        <f>IMAGE("https://mitra.stanford.edu/kundaje/oak/projects/neuro-variants/variant_position/credible/roussos_2024/variant_figures/roussos_2024.adolescence.GLU/rs1443539_count_position.png",4,220,900)</f>
        <v/>
      </c>
      <c r="T3051">
        <f>IMAGE("https://mitra.stanford.edu/kundaje/oak/projects/neuro-variants/variant_position/credible/roussos_2024/variant_figures/roussos_2024.adolescence.GLU/rs1443539_profile_position.png",4,220,900)</f>
        <v/>
      </c>
    </row>
    <row r="3052">
      <c r="A3052" t="inlineStr">
        <is>
          <t>chr4</t>
        </is>
      </c>
      <c r="B3052" t="n">
        <v>102211053</v>
      </c>
      <c r="C3052" t="inlineStr">
        <is>
          <t>T</t>
        </is>
      </c>
      <c r="D3052" t="inlineStr">
        <is>
          <t>G</t>
        </is>
      </c>
      <c r="E3052" t="inlineStr">
        <is>
          <t>rs151421</t>
        </is>
      </c>
      <c r="F3052" t="n">
        <v>0.08196355399999999</v>
      </c>
      <c r="G3052" t="n">
        <v>0.014369519974775</v>
      </c>
      <c r="H3052" t="n">
        <v>0.0183803993338314</v>
      </c>
      <c r="I3052" t="n">
        <v>0.0788505728933431</v>
      </c>
      <c r="J3052" t="n">
        <v>0.5786141415007394</v>
      </c>
      <c r="K3052" t="n">
        <v>0.0474204847014186</v>
      </c>
      <c r="L3052" t="b">
        <v>1</v>
      </c>
      <c r="M3052" t="b">
        <v>0</v>
      </c>
      <c r="N3052" t="inlineStr">
        <is>
          <t>alt</t>
        </is>
      </c>
      <c r="O3052" t="n">
        <v>-55</v>
      </c>
      <c r="P3052" t="n">
        <v>0.01483</v>
      </c>
      <c r="Q3052" t="n">
        <v>-50</v>
      </c>
      <c r="R3052" t="n">
        <v>0.1023</v>
      </c>
      <c r="S3052">
        <f>IMAGE("https://mitra.stanford.edu/kundaje/oak/projects/neuro-variants/variant_position/credible/roussos_2024/variant_figures/roussos_2024.adolescence.GLU/rs151421_count_position.png",4,220,900)</f>
        <v/>
      </c>
      <c r="T3052">
        <f>IMAGE("https://mitra.stanford.edu/kundaje/oak/projects/neuro-variants/variant_position/credible/roussos_2024/variant_figures/roussos_2024.adolescence.GLU/rs151421_profile_position.png",4,220,900)</f>
        <v/>
      </c>
    </row>
    <row r="3053">
      <c r="A3053" t="inlineStr">
        <is>
          <t>chr4</t>
        </is>
      </c>
      <c r="B3053" t="n">
        <v>102769234</v>
      </c>
      <c r="C3053" t="inlineStr">
        <is>
          <t>T</t>
        </is>
      </c>
      <c r="D3053" t="inlineStr">
        <is>
          <t>C</t>
        </is>
      </c>
      <c r="E3053" t="inlineStr">
        <is>
          <t>rs150898</t>
        </is>
      </c>
      <c r="F3053" t="n">
        <v>-0.0448181727999999</v>
      </c>
      <c r="G3053" t="n">
        <v>0.0806265866616135</v>
      </c>
      <c r="H3053" t="n">
        <v>0.0163782724805268</v>
      </c>
      <c r="I3053" t="n">
        <v>0.1119955351453117</v>
      </c>
      <c r="J3053" t="n">
        <v>0.0186467196776474</v>
      </c>
      <c r="K3053" t="n">
        <v>0.8233182851945505</v>
      </c>
      <c r="L3053" t="b">
        <v>0</v>
      </c>
      <c r="M3053" t="b">
        <v>0</v>
      </c>
      <c r="N3053" t="inlineStr">
        <is>
          <t>ref</t>
        </is>
      </c>
      <c r="O3053" t="n">
        <v>90</v>
      </c>
      <c r="P3053" t="n">
        <v>0.00426</v>
      </c>
      <c r="Q3053" t="n">
        <v>100</v>
      </c>
      <c r="R3053" t="n">
        <v>0.01636</v>
      </c>
      <c r="S3053">
        <f>IMAGE("https://mitra.stanford.edu/kundaje/oak/projects/neuro-variants/variant_position/credible/roussos_2024/variant_figures/roussos_2024.adolescence.GLU/rs150898_count_position.png",4,220,900)</f>
        <v/>
      </c>
      <c r="T3053">
        <f>IMAGE("https://mitra.stanford.edu/kundaje/oak/projects/neuro-variants/variant_position/credible/roussos_2024/variant_figures/roussos_2024.adolescence.GLU/rs150898_profile_position.png",4,220,900)</f>
        <v/>
      </c>
    </row>
    <row r="3054">
      <c r="A3054" t="inlineStr">
        <is>
          <t>chr4</t>
        </is>
      </c>
      <c r="B3054" t="n">
        <v>102772464</v>
      </c>
      <c r="C3054" t="inlineStr">
        <is>
          <t>C</t>
        </is>
      </c>
      <c r="D3054" t="inlineStr">
        <is>
          <t>T</t>
        </is>
      </c>
      <c r="E3054" t="inlineStr">
        <is>
          <t>rs223473</t>
        </is>
      </c>
      <c r="F3054" t="n">
        <v>-0.07009458759999999</v>
      </c>
      <c r="G3054" t="n">
        <v>0.023591300815818</v>
      </c>
      <c r="H3054" t="n">
        <v>0.0131578669269266</v>
      </c>
      <c r="I3054" t="n">
        <v>0.2475498481756868</v>
      </c>
      <c r="J3054" t="n">
        <v>0.0603396417829406</v>
      </c>
      <c r="K3054" t="n">
        <v>0.6747159712991858</v>
      </c>
      <c r="L3054" t="b">
        <v>0</v>
      </c>
      <c r="M3054" t="b">
        <v>0</v>
      </c>
      <c r="N3054" t="inlineStr">
        <is>
          <t>ref</t>
        </is>
      </c>
      <c r="O3054" t="n">
        <v>40</v>
      </c>
      <c r="P3054" t="n">
        <v>0.01904</v>
      </c>
      <c r="Q3054" t="n">
        <v>-75</v>
      </c>
      <c r="R3054" t="n">
        <v>0.04828</v>
      </c>
      <c r="S3054">
        <f>IMAGE("https://mitra.stanford.edu/kundaje/oak/projects/neuro-variants/variant_position/credible/roussos_2024/variant_figures/roussos_2024.adolescence.GLU/rs223473_count_position.png",4,220,900)</f>
        <v/>
      </c>
      <c r="T3054">
        <f>IMAGE("https://mitra.stanford.edu/kundaje/oak/projects/neuro-variants/variant_position/credible/roussos_2024/variant_figures/roussos_2024.adolescence.GLU/rs223473_profile_position.png",4,220,900)</f>
        <v/>
      </c>
    </row>
    <row r="3055">
      <c r="A3055" t="inlineStr">
        <is>
          <t>chr4</t>
        </is>
      </c>
      <c r="B3055" t="n">
        <v>102777629</v>
      </c>
      <c r="C3055" t="inlineStr">
        <is>
          <t>G</t>
        </is>
      </c>
      <c r="D3055" t="inlineStr">
        <is>
          <t>C</t>
        </is>
      </c>
      <c r="E3055" t="inlineStr">
        <is>
          <t>rs223471</t>
        </is>
      </c>
      <c r="F3055" t="n">
        <v>0.018392426</v>
      </c>
      <c r="G3055" t="n">
        <v>0.333177188410404</v>
      </c>
      <c r="H3055" t="n">
        <v>0.017660180554501</v>
      </c>
      <c r="I3055" t="n">
        <v>0.1011256569705023</v>
      </c>
      <c r="J3055" t="n">
        <v>0.0181651913610675</v>
      </c>
      <c r="K3055" t="n">
        <v>0.8340846227972132</v>
      </c>
      <c r="L3055" t="b">
        <v>0</v>
      </c>
      <c r="M3055" t="b">
        <v>0</v>
      </c>
      <c r="N3055" t="inlineStr">
        <is>
          <t>alt</t>
        </is>
      </c>
      <c r="O3055" t="n">
        <v>100</v>
      </c>
      <c r="P3055" t="n">
        <v>0.002747</v>
      </c>
      <c r="Q3055" t="n">
        <v>-90</v>
      </c>
      <c r="R3055" t="n">
        <v>0.03754</v>
      </c>
      <c r="S3055">
        <f>IMAGE("https://mitra.stanford.edu/kundaje/oak/projects/neuro-variants/variant_position/credible/roussos_2024/variant_figures/roussos_2024.adolescence.GLU/rs223471_count_position.png",4,220,900)</f>
        <v/>
      </c>
      <c r="T3055">
        <f>IMAGE("https://mitra.stanford.edu/kundaje/oak/projects/neuro-variants/variant_position/credible/roussos_2024/variant_figures/roussos_2024.adolescence.GLU/rs223471_profile_position.png",4,220,900)</f>
        <v/>
      </c>
    </row>
    <row r="3056">
      <c r="A3056" t="inlineStr">
        <is>
          <t>chr4</t>
        </is>
      </c>
      <c r="B3056" t="n">
        <v>102780174</v>
      </c>
      <c r="C3056" t="inlineStr">
        <is>
          <t>A</t>
        </is>
      </c>
      <c r="D3056" t="inlineStr">
        <is>
          <t>C</t>
        </is>
      </c>
      <c r="E3056" t="inlineStr">
        <is>
          <t>rs223465</t>
        </is>
      </c>
      <c r="F3056" t="n">
        <v>0.000390057878</v>
      </c>
      <c r="G3056" t="n">
        <v>0.9309151682710632</v>
      </c>
      <c r="H3056" t="n">
        <v>0.0409941119078335</v>
      </c>
      <c r="I3056" t="n">
        <v>0.0025054768555977</v>
      </c>
      <c r="J3056" t="n">
        <v>0.1501182387780325</v>
      </c>
      <c r="K3056" t="n">
        <v>0.4862857349926113</v>
      </c>
      <c r="L3056" t="b">
        <v>1</v>
      </c>
      <c r="M3056" t="b">
        <v>1</v>
      </c>
      <c r="N3056" t="inlineStr">
        <is>
          <t>alt</t>
        </is>
      </c>
      <c r="O3056" t="n">
        <v>100</v>
      </c>
      <c r="P3056" t="n">
        <v>0.0434</v>
      </c>
      <c r="Q3056" t="n">
        <v>100</v>
      </c>
      <c r="R3056" t="n">
        <v>0.05936</v>
      </c>
      <c r="S3056">
        <f>IMAGE("https://mitra.stanford.edu/kundaje/oak/projects/neuro-variants/variant_position/credible/roussos_2024/variant_figures/roussos_2024.adolescence.GLU/rs223465_count_position.png",4,220,900)</f>
        <v/>
      </c>
      <c r="T3056">
        <f>IMAGE("https://mitra.stanford.edu/kundaje/oak/projects/neuro-variants/variant_position/credible/roussos_2024/variant_figures/roussos_2024.adolescence.GLU/rs223465_profile_position.png",4,220,900)</f>
        <v/>
      </c>
    </row>
    <row r="3057">
      <c r="A3057" t="inlineStr">
        <is>
          <t>chr4</t>
        </is>
      </c>
      <c r="B3057" t="n">
        <v>102782903</v>
      </c>
      <c r="C3057" t="inlineStr">
        <is>
          <t>T</t>
        </is>
      </c>
      <c r="D3057" t="inlineStr">
        <is>
          <t>C</t>
        </is>
      </c>
      <c r="E3057" t="inlineStr">
        <is>
          <t>rs223460</t>
        </is>
      </c>
      <c r="F3057" t="n">
        <v>0.008268334738</v>
      </c>
      <c r="G3057" t="n">
        <v>0.5719051005809211</v>
      </c>
      <c r="H3057" t="n">
        <v>0.0086264769546832</v>
      </c>
      <c r="I3057" t="n">
        <v>0.6839562436292146</v>
      </c>
      <c r="J3057" t="n">
        <v>0.0616642018703874</v>
      </c>
      <c r="K3057" t="n">
        <v>0.6688535882886939</v>
      </c>
      <c r="L3057" t="b">
        <v>0</v>
      </c>
      <c r="M3057" t="b">
        <v>0</v>
      </c>
      <c r="N3057" t="inlineStr">
        <is>
          <t>alt</t>
        </is>
      </c>
      <c r="O3057" t="n">
        <v>75</v>
      </c>
      <c r="P3057" t="n">
        <v>0.008286</v>
      </c>
      <c r="Q3057" t="n">
        <v>100</v>
      </c>
      <c r="R3057" t="n">
        <v>0.1365</v>
      </c>
      <c r="S3057">
        <f>IMAGE("https://mitra.stanford.edu/kundaje/oak/projects/neuro-variants/variant_position/credible/roussos_2024/variant_figures/roussos_2024.adolescence.GLU/rs223460_count_position.png",4,220,900)</f>
        <v/>
      </c>
      <c r="T3057">
        <f>IMAGE("https://mitra.stanford.edu/kundaje/oak/projects/neuro-variants/variant_position/credible/roussos_2024/variant_figures/roussos_2024.adolescence.GLU/rs223460_profile_position.png",4,220,900)</f>
        <v/>
      </c>
    </row>
    <row r="3058">
      <c r="A3058" t="inlineStr">
        <is>
          <t>chr4</t>
        </is>
      </c>
      <c r="B3058" t="n">
        <v>102788948</v>
      </c>
      <c r="C3058" t="inlineStr">
        <is>
          <t>A</t>
        </is>
      </c>
      <c r="D3058" t="inlineStr">
        <is>
          <t>G</t>
        </is>
      </c>
      <c r="E3058" t="inlineStr">
        <is>
          <t>rs223456</t>
        </is>
      </c>
      <c r="F3058" t="n">
        <v>0.0573775844</v>
      </c>
      <c r="G3058" t="n">
        <v>0.0453035862931089</v>
      </c>
      <c r="H3058" t="n">
        <v>0.0144483579643217</v>
      </c>
      <c r="I3058" t="n">
        <v>0.1741198654114184</v>
      </c>
      <c r="J3058" t="n">
        <v>0.1081609762022132</v>
      </c>
      <c r="K3058" t="n">
        <v>0.5489185226241161</v>
      </c>
      <c r="L3058" t="b">
        <v>0</v>
      </c>
      <c r="M3058" t="b">
        <v>0</v>
      </c>
      <c r="N3058" t="inlineStr">
        <is>
          <t>alt</t>
        </is>
      </c>
      <c r="O3058" t="n">
        <v>-100</v>
      </c>
      <c r="P3058" t="n">
        <v>0.01459</v>
      </c>
      <c r="Q3058" t="n">
        <v>-80</v>
      </c>
      <c r="R3058" t="n">
        <v>0.02466</v>
      </c>
      <c r="S3058">
        <f>IMAGE("https://mitra.stanford.edu/kundaje/oak/projects/neuro-variants/variant_position/credible/roussos_2024/variant_figures/roussos_2024.adolescence.GLU/rs223456_count_position.png",4,220,900)</f>
        <v/>
      </c>
      <c r="T3058">
        <f>IMAGE("https://mitra.stanford.edu/kundaje/oak/projects/neuro-variants/variant_position/credible/roussos_2024/variant_figures/roussos_2024.adolescence.GLU/rs223456_profile_position.png",4,220,900)</f>
        <v/>
      </c>
    </row>
    <row r="3059">
      <c r="A3059" t="inlineStr">
        <is>
          <t>chr4</t>
        </is>
      </c>
      <c r="B3059" t="n">
        <v>102799902</v>
      </c>
      <c r="C3059" t="inlineStr">
        <is>
          <t>T</t>
        </is>
      </c>
      <c r="D3059" t="inlineStr">
        <is>
          <t>C</t>
        </is>
      </c>
      <c r="E3059" t="inlineStr">
        <is>
          <t>rs223434</t>
        </is>
      </c>
      <c r="F3059" t="n">
        <v>0.0648943708</v>
      </c>
      <c r="G3059" t="n">
        <v>0.0274276262798396</v>
      </c>
      <c r="H3059" t="n">
        <v>0.0107354371601764</v>
      </c>
      <c r="I3059" t="n">
        <v>0.4313715953548397</v>
      </c>
      <c r="J3059" t="n">
        <v>0.1771738431532245</v>
      </c>
      <c r="K3059" t="n">
        <v>0.4247599771158055</v>
      </c>
      <c r="L3059" t="b">
        <v>0</v>
      </c>
      <c r="M3059" t="b">
        <v>0</v>
      </c>
      <c r="N3059" t="inlineStr">
        <is>
          <t>alt</t>
        </is>
      </c>
      <c r="O3059" t="n">
        <v>25</v>
      </c>
      <c r="P3059" t="n">
        <v>0.007698</v>
      </c>
      <c r="Q3059" t="n">
        <v>45</v>
      </c>
      <c r="R3059" t="n">
        <v>0.11804</v>
      </c>
      <c r="S3059">
        <f>IMAGE("https://mitra.stanford.edu/kundaje/oak/projects/neuro-variants/variant_position/credible/roussos_2024/variant_figures/roussos_2024.adolescence.GLU/rs223434_count_position.png",4,220,900)</f>
        <v/>
      </c>
      <c r="T3059">
        <f>IMAGE("https://mitra.stanford.edu/kundaje/oak/projects/neuro-variants/variant_position/credible/roussos_2024/variant_figures/roussos_2024.adolescence.GLU/rs223434_profile_position.png",4,220,900)</f>
        <v/>
      </c>
    </row>
    <row r="3060">
      <c r="A3060" t="inlineStr">
        <is>
          <t>chr4</t>
        </is>
      </c>
      <c r="B3060" t="n">
        <v>102801330</v>
      </c>
      <c r="C3060" t="inlineStr">
        <is>
          <t>G</t>
        </is>
      </c>
      <c r="D3060" t="inlineStr">
        <is>
          <t>A</t>
        </is>
      </c>
      <c r="E3060" t="inlineStr">
        <is>
          <t>rs223426</t>
        </is>
      </c>
      <c r="F3060" t="n">
        <v>-0.0038182480399999</v>
      </c>
      <c r="G3060" t="n">
        <v>0.6958696644950373</v>
      </c>
      <c r="H3060" t="n">
        <v>0.0231775231247698</v>
      </c>
      <c r="I3060" t="n">
        <v>0.0303360025830164</v>
      </c>
      <c r="J3060" t="n">
        <v>0.0123768494902515</v>
      </c>
      <c r="K3060" t="n">
        <v>0.8692922868027384</v>
      </c>
      <c r="L3060" t="b">
        <v>0</v>
      </c>
      <c r="M3060" t="b">
        <v>0</v>
      </c>
      <c r="N3060" t="inlineStr">
        <is>
          <t>ref</t>
        </is>
      </c>
      <c r="O3060" t="n">
        <v>-70</v>
      </c>
      <c r="P3060" t="n">
        <v>0.002728</v>
      </c>
      <c r="Q3060" t="n">
        <v>50</v>
      </c>
      <c r="R3060" t="n">
        <v>0.0464</v>
      </c>
      <c r="S3060">
        <f>IMAGE("https://mitra.stanford.edu/kundaje/oak/projects/neuro-variants/variant_position/credible/roussos_2024/variant_figures/roussos_2024.adolescence.GLU/rs223426_count_position.png",4,220,900)</f>
        <v/>
      </c>
      <c r="T3060">
        <f>IMAGE("https://mitra.stanford.edu/kundaje/oak/projects/neuro-variants/variant_position/credible/roussos_2024/variant_figures/roussos_2024.adolescence.GLU/rs223426_profile_position.png",4,220,900)</f>
        <v/>
      </c>
    </row>
    <row r="3061">
      <c r="A3061" t="inlineStr">
        <is>
          <t>chr4</t>
        </is>
      </c>
      <c r="B3061" t="n">
        <v>102811016</v>
      </c>
      <c r="C3061" t="inlineStr">
        <is>
          <t>C</t>
        </is>
      </c>
      <c r="D3061" t="inlineStr">
        <is>
          <t>T</t>
        </is>
      </c>
      <c r="E3061" t="inlineStr">
        <is>
          <t>rs223415</t>
        </is>
      </c>
      <c r="F3061" t="n">
        <v>-0.0395974633999999</v>
      </c>
      <c r="G3061" t="n">
        <v>0.1112804001905159</v>
      </c>
      <c r="H3061" t="n">
        <v>0.0085343984572768</v>
      </c>
      <c r="I3061" t="n">
        <v>0.7238589386959293</v>
      </c>
      <c r="J3061" t="n">
        <v>0.0485572011345206</v>
      </c>
      <c r="K3061" t="n">
        <v>0.7099108511440749</v>
      </c>
      <c r="L3061" t="b">
        <v>0</v>
      </c>
      <c r="M3061" t="b">
        <v>0</v>
      </c>
      <c r="N3061" t="inlineStr">
        <is>
          <t>ref</t>
        </is>
      </c>
      <c r="O3061" t="n">
        <v>-100</v>
      </c>
      <c r="P3061" t="n">
        <v>0.013245</v>
      </c>
      <c r="Q3061" t="n">
        <v>100</v>
      </c>
      <c r="R3061" t="n">
        <v>0.03442</v>
      </c>
      <c r="S3061">
        <f>IMAGE("https://mitra.stanford.edu/kundaje/oak/projects/neuro-variants/variant_position/credible/roussos_2024/variant_figures/roussos_2024.adolescence.GLU/rs223415_count_position.png",4,220,900)</f>
        <v/>
      </c>
      <c r="T3061">
        <f>IMAGE("https://mitra.stanford.edu/kundaje/oak/projects/neuro-variants/variant_position/credible/roussos_2024/variant_figures/roussos_2024.adolescence.GLU/rs223415_profile_position.png",4,220,900)</f>
        <v/>
      </c>
    </row>
    <row r="3062">
      <c r="A3062" t="inlineStr">
        <is>
          <t>chr4</t>
        </is>
      </c>
      <c r="B3062" t="n">
        <v>102812443</v>
      </c>
      <c r="C3062" t="inlineStr">
        <is>
          <t>T</t>
        </is>
      </c>
      <c r="D3062" t="inlineStr">
        <is>
          <t>C</t>
        </is>
      </c>
      <c r="E3062" t="inlineStr">
        <is>
          <t>rs223412</t>
        </is>
      </c>
      <c r="F3062" t="n">
        <v>0.0520136664</v>
      </c>
      <c r="G3062" t="n">
        <v>0.0547242299202934</v>
      </c>
      <c r="H3062" t="n">
        <v>0.0115755094081629</v>
      </c>
      <c r="I3062" t="n">
        <v>0.3610669151267844</v>
      </c>
      <c r="J3062" t="n">
        <v>0.0678726307592286</v>
      </c>
      <c r="K3062" t="n">
        <v>0.6445587296652567</v>
      </c>
      <c r="L3062" t="b">
        <v>0</v>
      </c>
      <c r="M3062" t="b">
        <v>0</v>
      </c>
      <c r="N3062" t="inlineStr">
        <is>
          <t>alt</t>
        </is>
      </c>
      <c r="O3062" t="n">
        <v>100</v>
      </c>
      <c r="P3062" t="n">
        <v>0.00741</v>
      </c>
      <c r="Q3062" t="n">
        <v>95</v>
      </c>
      <c r="R3062" t="n">
        <v>0.05548</v>
      </c>
      <c r="S3062">
        <f>IMAGE("https://mitra.stanford.edu/kundaje/oak/projects/neuro-variants/variant_position/credible/roussos_2024/variant_figures/roussos_2024.adolescence.GLU/rs223412_count_position.png",4,220,900)</f>
        <v/>
      </c>
      <c r="T3062">
        <f>IMAGE("https://mitra.stanford.edu/kundaje/oak/projects/neuro-variants/variant_position/credible/roussos_2024/variant_figures/roussos_2024.adolescence.GLU/rs223412_profile_position.png",4,220,900)</f>
        <v/>
      </c>
    </row>
    <row r="3063">
      <c r="A3063" t="inlineStr">
        <is>
          <t>chr4</t>
        </is>
      </c>
      <c r="B3063" t="n">
        <v>102815871</v>
      </c>
      <c r="C3063" t="inlineStr">
        <is>
          <t>A</t>
        </is>
      </c>
      <c r="D3063" t="inlineStr">
        <is>
          <t>C</t>
        </is>
      </c>
      <c r="E3063" t="inlineStr">
        <is>
          <t>rs223406</t>
        </is>
      </c>
      <c r="F3063" t="n">
        <v>-0.0012279917599999</v>
      </c>
      <c r="G3063" t="n">
        <v>0.7052203234556498</v>
      </c>
      <c r="H3063" t="n">
        <v>0.0271698571485862</v>
      </c>
      <c r="I3063" t="n">
        <v>0.0141442649590475</v>
      </c>
      <c r="J3063" t="n">
        <v>0.0050281844096276</v>
      </c>
      <c r="K3063" t="n">
        <v>0.9213593992475758</v>
      </c>
      <c r="L3063" t="b">
        <v>0</v>
      </c>
      <c r="M3063" t="b">
        <v>0</v>
      </c>
      <c r="N3063" t="inlineStr">
        <is>
          <t>ref</t>
        </is>
      </c>
      <c r="O3063" t="n">
        <v>100</v>
      </c>
      <c r="P3063" t="n">
        <v>0.01427</v>
      </c>
      <c r="Q3063" t="n">
        <v>100</v>
      </c>
      <c r="R3063" t="n">
        <v>0.1416</v>
      </c>
      <c r="S3063">
        <f>IMAGE("https://mitra.stanford.edu/kundaje/oak/projects/neuro-variants/variant_position/credible/roussos_2024/variant_figures/roussos_2024.adolescence.GLU/rs223406_count_position.png",4,220,900)</f>
        <v/>
      </c>
      <c r="T3063">
        <f>IMAGE("https://mitra.stanford.edu/kundaje/oak/projects/neuro-variants/variant_position/credible/roussos_2024/variant_figures/roussos_2024.adolescence.GLU/rs223406_profile_position.png",4,220,900)</f>
        <v/>
      </c>
    </row>
    <row r="3064">
      <c r="A3064" t="inlineStr">
        <is>
          <t>chr4</t>
        </is>
      </c>
      <c r="B3064" t="n">
        <v>102823801</v>
      </c>
      <c r="C3064" t="inlineStr">
        <is>
          <t>A</t>
        </is>
      </c>
      <c r="D3064" t="inlineStr">
        <is>
          <t>C</t>
        </is>
      </c>
      <c r="E3064" t="inlineStr">
        <is>
          <t>rs223395</t>
        </is>
      </c>
      <c r="F3064" t="n">
        <v>-0.00115059506</v>
      </c>
      <c r="G3064" t="n">
        <v>0.8990302847200883</v>
      </c>
      <c r="H3064" t="n">
        <v>0.0183759216961848</v>
      </c>
      <c r="I3064" t="n">
        <v>0.08100474203236339</v>
      </c>
      <c r="J3064" t="n">
        <v>0.0276200070014502</v>
      </c>
      <c r="K3064" t="n">
        <v>0.7957667559832365</v>
      </c>
      <c r="L3064" t="b">
        <v>0</v>
      </c>
      <c r="M3064" t="b">
        <v>0</v>
      </c>
      <c r="N3064" t="inlineStr">
        <is>
          <t>ref</t>
        </is>
      </c>
      <c r="O3064" t="n">
        <v>-25</v>
      </c>
      <c r="P3064" t="n">
        <v>0.003647</v>
      </c>
      <c r="Q3064" t="n">
        <v>-95</v>
      </c>
      <c r="R3064" t="n">
        <v>0.07729999999999999</v>
      </c>
      <c r="S3064">
        <f>IMAGE("https://mitra.stanford.edu/kundaje/oak/projects/neuro-variants/variant_position/credible/roussos_2024/variant_figures/roussos_2024.adolescence.GLU/rs223395_count_position.png",4,220,900)</f>
        <v/>
      </c>
      <c r="T3064">
        <f>IMAGE("https://mitra.stanford.edu/kundaje/oak/projects/neuro-variants/variant_position/credible/roussos_2024/variant_figures/roussos_2024.adolescence.GLU/rs223395_profile_position.png",4,220,900)</f>
        <v/>
      </c>
    </row>
    <row r="3065">
      <c r="A3065" t="inlineStr">
        <is>
          <t>chr4</t>
        </is>
      </c>
      <c r="B3065" t="n">
        <v>102833343</v>
      </c>
      <c r="C3065" t="inlineStr">
        <is>
          <t>G</t>
        </is>
      </c>
      <c r="D3065" t="inlineStr">
        <is>
          <t>A</t>
        </is>
      </c>
      <c r="E3065" t="inlineStr">
        <is>
          <t>rs223380</t>
        </is>
      </c>
      <c r="F3065" t="n">
        <v>0.0034196190668</v>
      </c>
      <c r="G3065" t="n">
        <v>0.779037785899263</v>
      </c>
      <c r="H3065" t="n">
        <v>0.009049018073100599</v>
      </c>
      <c r="I3065" t="n">
        <v>0.6479625248745298</v>
      </c>
      <c r="J3065" t="n">
        <v>0.0104092990690928</v>
      </c>
      <c r="K3065" t="n">
        <v>0.8747057237074664</v>
      </c>
      <c r="L3065" t="b">
        <v>0</v>
      </c>
      <c r="M3065" t="b">
        <v>0</v>
      </c>
      <c r="N3065" t="inlineStr">
        <is>
          <t>alt</t>
        </is>
      </c>
      <c r="O3065" t="n">
        <v>-95</v>
      </c>
      <c r="P3065" t="n">
        <v>0.01694</v>
      </c>
      <c r="Q3065" t="n">
        <v>-90</v>
      </c>
      <c r="R3065" t="n">
        <v>0.05753</v>
      </c>
      <c r="S3065">
        <f>IMAGE("https://mitra.stanford.edu/kundaje/oak/projects/neuro-variants/variant_position/credible/roussos_2024/variant_figures/roussos_2024.adolescence.GLU/rs223380_count_position.png",4,220,900)</f>
        <v/>
      </c>
      <c r="T3065">
        <f>IMAGE("https://mitra.stanford.edu/kundaje/oak/projects/neuro-variants/variant_position/credible/roussos_2024/variant_figures/roussos_2024.adolescence.GLU/rs223380_profile_position.png",4,220,900)</f>
        <v/>
      </c>
    </row>
    <row r="3066">
      <c r="A3066" t="inlineStr">
        <is>
          <t>chr4</t>
        </is>
      </c>
      <c r="B3066" t="n">
        <v>102849422</v>
      </c>
      <c r="C3066" t="inlineStr">
        <is>
          <t>C</t>
        </is>
      </c>
      <c r="D3066" t="inlineStr">
        <is>
          <t>T</t>
        </is>
      </c>
      <c r="E3066" t="inlineStr">
        <is>
          <t>rs223359</t>
        </is>
      </c>
      <c r="F3066" t="n">
        <v>-0.00475068228</v>
      </c>
      <c r="G3066" t="n">
        <v>0.748012647381226</v>
      </c>
      <c r="H3066" t="n">
        <v>0.0178709546013947</v>
      </c>
      <c r="I3066" t="n">
        <v>0.0878866858930976</v>
      </c>
      <c r="J3066" t="n">
        <v>0.0037879274992676</v>
      </c>
      <c r="K3066" t="n">
        <v>0.9326336876491936</v>
      </c>
      <c r="L3066" t="b">
        <v>0</v>
      </c>
      <c r="M3066" t="b">
        <v>0</v>
      </c>
      <c r="N3066" t="inlineStr">
        <is>
          <t>ref</t>
        </is>
      </c>
      <c r="O3066" t="n">
        <v>-100</v>
      </c>
      <c r="P3066" t="n">
        <v>0.01471</v>
      </c>
      <c r="Q3066" t="n">
        <v>-100</v>
      </c>
      <c r="R3066" t="n">
        <v>0.0473</v>
      </c>
      <c r="S3066">
        <f>IMAGE("https://mitra.stanford.edu/kundaje/oak/projects/neuro-variants/variant_position/credible/roussos_2024/variant_figures/roussos_2024.adolescence.GLU/rs223359_count_position.png",4,220,900)</f>
        <v/>
      </c>
      <c r="T3066">
        <f>IMAGE("https://mitra.stanford.edu/kundaje/oak/projects/neuro-variants/variant_position/credible/roussos_2024/variant_figures/roussos_2024.adolescence.GLU/rs223359_profile_position.png",4,220,900)</f>
        <v/>
      </c>
    </row>
    <row r="3067">
      <c r="A3067" t="inlineStr">
        <is>
          <t>chr4</t>
        </is>
      </c>
      <c r="B3067" t="n">
        <v>102851095</v>
      </c>
      <c r="C3067" t="inlineStr">
        <is>
          <t>A</t>
        </is>
      </c>
      <c r="D3067" t="inlineStr">
        <is>
          <t>G</t>
        </is>
      </c>
      <c r="E3067" t="inlineStr">
        <is>
          <t>rs223357</t>
        </is>
      </c>
      <c r="F3067" t="n">
        <v>0.000514922352</v>
      </c>
      <c r="G3067" t="n">
        <v>0.830263701110451</v>
      </c>
      <c r="H3067" t="n">
        <v>0.0255632268632727</v>
      </c>
      <c r="I3067" t="n">
        <v>0.0212153976815571</v>
      </c>
      <c r="J3067" t="n">
        <v>0.0316965657171842</v>
      </c>
      <c r="K3067" t="n">
        <v>0.772616123729462</v>
      </c>
      <c r="L3067" t="b">
        <v>0</v>
      </c>
      <c r="M3067" t="b">
        <v>0</v>
      </c>
      <c r="N3067" t="inlineStr">
        <is>
          <t>alt</t>
        </is>
      </c>
      <c r="O3067" t="n">
        <v>-95</v>
      </c>
      <c r="P3067" t="n">
        <v>0.003357</v>
      </c>
      <c r="Q3067" t="n">
        <v>-100</v>
      </c>
      <c r="R3067" t="n">
        <v>0.0924</v>
      </c>
      <c r="S3067">
        <f>IMAGE("https://mitra.stanford.edu/kundaje/oak/projects/neuro-variants/variant_position/credible/roussos_2024/variant_figures/roussos_2024.adolescence.GLU/rs223357_count_position.png",4,220,900)</f>
        <v/>
      </c>
      <c r="T3067">
        <f>IMAGE("https://mitra.stanford.edu/kundaje/oak/projects/neuro-variants/variant_position/credible/roussos_2024/variant_figures/roussos_2024.adolescence.GLU/rs223357_profile_position.png",4,220,900)</f>
        <v/>
      </c>
    </row>
    <row r="3068">
      <c r="A3068" t="inlineStr">
        <is>
          <t>chr4</t>
        </is>
      </c>
      <c r="B3068" t="n">
        <v>102854547</v>
      </c>
      <c r="C3068" t="inlineStr">
        <is>
          <t>C</t>
        </is>
      </c>
      <c r="D3068" t="inlineStr">
        <is>
          <t>T</t>
        </is>
      </c>
      <c r="E3068" t="inlineStr">
        <is>
          <t>rs223353</t>
        </is>
      </c>
      <c r="F3068" t="n">
        <v>-0.0989123517999999</v>
      </c>
      <c r="G3068" t="n">
        <v>0.008201031825292899</v>
      </c>
      <c r="H3068" t="n">
        <v>0.0189803708583318</v>
      </c>
      <c r="I3068" t="n">
        <v>0.0713945318862064</v>
      </c>
      <c r="J3068" t="n">
        <v>0.1176900929478248</v>
      </c>
      <c r="K3068" t="n">
        <v>0.5407901056725662</v>
      </c>
      <c r="L3068" t="b">
        <v>1</v>
      </c>
      <c r="M3068" t="b">
        <v>1</v>
      </c>
      <c r="N3068" t="inlineStr">
        <is>
          <t>ref</t>
        </is>
      </c>
      <c r="O3068" t="n">
        <v>100</v>
      </c>
      <c r="P3068" t="n">
        <v>0.01126</v>
      </c>
      <c r="Q3068" t="n">
        <v>-50</v>
      </c>
      <c r="R3068" t="n">
        <v>0.03894</v>
      </c>
      <c r="S3068">
        <f>IMAGE("https://mitra.stanford.edu/kundaje/oak/projects/neuro-variants/variant_position/credible/roussos_2024/variant_figures/roussos_2024.adolescence.GLU/rs223353_count_position.png",4,220,900)</f>
        <v/>
      </c>
      <c r="T3068">
        <f>IMAGE("https://mitra.stanford.edu/kundaje/oak/projects/neuro-variants/variant_position/credible/roussos_2024/variant_figures/roussos_2024.adolescence.GLU/rs223353_profile_position.png",4,220,900)</f>
        <v/>
      </c>
    </row>
    <row r="3069">
      <c r="A3069" t="inlineStr">
        <is>
          <t>chr4</t>
        </is>
      </c>
      <c r="B3069" t="n">
        <v>102856235</v>
      </c>
      <c r="C3069" t="inlineStr">
        <is>
          <t>G</t>
        </is>
      </c>
      <c r="D3069" t="inlineStr">
        <is>
          <t>A</t>
        </is>
      </c>
      <c r="E3069" t="inlineStr">
        <is>
          <t>rs223351</t>
        </is>
      </c>
      <c r="F3069" t="n">
        <v>-0.0691951794</v>
      </c>
      <c r="G3069" t="n">
        <v>0.0299038853902659</v>
      </c>
      <c r="H3069" t="n">
        <v>0.0146380758075933</v>
      </c>
      <c r="I3069" t="n">
        <v>0.1818738029480768</v>
      </c>
      <c r="J3069" t="n">
        <v>0.0395953447499838</v>
      </c>
      <c r="K3069" t="n">
        <v>0.7327842117170185</v>
      </c>
      <c r="L3069" t="b">
        <v>0</v>
      </c>
      <c r="M3069" t="b">
        <v>0</v>
      </c>
      <c r="N3069" t="inlineStr">
        <is>
          <t>ref</t>
        </is>
      </c>
      <c r="O3069" t="n">
        <v>75</v>
      </c>
      <c r="P3069" t="n">
        <v>0.015076</v>
      </c>
      <c r="Q3069" t="n">
        <v>0</v>
      </c>
      <c r="R3069" t="n">
        <v>0</v>
      </c>
      <c r="S3069">
        <f>IMAGE("https://mitra.stanford.edu/kundaje/oak/projects/neuro-variants/variant_position/credible/roussos_2024/variant_figures/roussos_2024.adolescence.GLU/rs223351_count_position.png",4,220,900)</f>
        <v/>
      </c>
      <c r="T3069">
        <f>IMAGE("https://mitra.stanford.edu/kundaje/oak/projects/neuro-variants/variant_position/credible/roussos_2024/variant_figures/roussos_2024.adolescence.GLU/rs223351_profile_position.png",4,220,900)</f>
        <v/>
      </c>
    </row>
    <row r="3070">
      <c r="A3070" t="inlineStr">
        <is>
          <t>chr4</t>
        </is>
      </c>
      <c r="B3070" t="n">
        <v>102862343</v>
      </c>
      <c r="C3070" t="inlineStr">
        <is>
          <t>T</t>
        </is>
      </c>
      <c r="D3070" t="inlineStr">
        <is>
          <t>A</t>
        </is>
      </c>
      <c r="E3070" t="inlineStr">
        <is>
          <t>rs223341</t>
        </is>
      </c>
      <c r="F3070" t="n">
        <v>0.001418921778</v>
      </c>
      <c r="G3070" t="n">
        <v>0.8848253963367635</v>
      </c>
      <c r="H3070" t="n">
        <v>0.0179070559417525</v>
      </c>
      <c r="I3070" t="n">
        <v>0.0915472875189834</v>
      </c>
      <c r="J3070" t="n">
        <v>0.002073286609369</v>
      </c>
      <c r="K3070" t="n">
        <v>0.9523622120526786</v>
      </c>
      <c r="L3070" t="b">
        <v>0</v>
      </c>
      <c r="M3070" t="b">
        <v>0</v>
      </c>
      <c r="N3070" t="inlineStr">
        <is>
          <t>alt</t>
        </is>
      </c>
      <c r="O3070" t="n">
        <v>-70</v>
      </c>
      <c r="P3070" t="n">
        <v>0.00903</v>
      </c>
      <c r="Q3070" t="n">
        <v>-100</v>
      </c>
      <c r="R3070" t="n">
        <v>0.03564</v>
      </c>
      <c r="S3070">
        <f>IMAGE("https://mitra.stanford.edu/kundaje/oak/projects/neuro-variants/variant_position/credible/roussos_2024/variant_figures/roussos_2024.adolescence.GLU/rs223341_count_position.png",4,220,900)</f>
        <v/>
      </c>
      <c r="T3070">
        <f>IMAGE("https://mitra.stanford.edu/kundaje/oak/projects/neuro-variants/variant_position/credible/roussos_2024/variant_figures/roussos_2024.adolescence.GLU/rs223341_profile_position.png",4,220,900)</f>
        <v/>
      </c>
    </row>
    <row r="3071">
      <c r="A3071" t="inlineStr">
        <is>
          <t>chr4</t>
        </is>
      </c>
      <c r="B3071" t="n">
        <v>102869029</v>
      </c>
      <c r="C3071" t="inlineStr">
        <is>
          <t>G</t>
        </is>
      </c>
      <c r="D3071" t="inlineStr">
        <is>
          <t>T</t>
        </is>
      </c>
      <c r="E3071" t="inlineStr">
        <is>
          <t>rs223332</t>
        </is>
      </c>
      <c r="F3071" t="n">
        <v>-0.0415706434</v>
      </c>
      <c r="G3071" t="n">
        <v>0.1004937066565519</v>
      </c>
      <c r="H3071" t="n">
        <v>0.0290692608544483</v>
      </c>
      <c r="I3071" t="n">
        <v>0.0098050596638414</v>
      </c>
      <c r="J3071" t="n">
        <v>0.9216637732101648</v>
      </c>
      <c r="K3071" t="n">
        <v>0.0026731316629434</v>
      </c>
      <c r="L3071" t="b">
        <v>1</v>
      </c>
      <c r="M3071" t="b">
        <v>1</v>
      </c>
      <c r="N3071" t="inlineStr">
        <is>
          <t>ref</t>
        </is>
      </c>
      <c r="O3071" t="n">
        <v>-55</v>
      </c>
      <c r="P3071" t="n">
        <v>0.0169</v>
      </c>
      <c r="Q3071" t="n">
        <v>-50</v>
      </c>
      <c r="R3071" t="n">
        <v>0.04736</v>
      </c>
      <c r="S3071">
        <f>IMAGE("https://mitra.stanford.edu/kundaje/oak/projects/neuro-variants/variant_position/credible/roussos_2024/variant_figures/roussos_2024.adolescence.GLU/rs223332_count_position.png",4,220,900)</f>
        <v/>
      </c>
      <c r="T3071">
        <f>IMAGE("https://mitra.stanford.edu/kundaje/oak/projects/neuro-variants/variant_position/credible/roussos_2024/variant_figures/roussos_2024.adolescence.GLU/rs223332_profile_position.png",4,220,900)</f>
        <v/>
      </c>
    </row>
    <row r="3072">
      <c r="A3072" t="inlineStr">
        <is>
          <t>chr4</t>
        </is>
      </c>
      <c r="B3072" t="n">
        <v>102873031</v>
      </c>
      <c r="C3072" t="inlineStr">
        <is>
          <t>T</t>
        </is>
      </c>
      <c r="D3072" t="inlineStr">
        <is>
          <t>A</t>
        </is>
      </c>
      <c r="E3072" t="inlineStr">
        <is>
          <t>rs223329</t>
        </is>
      </c>
      <c r="F3072" t="n">
        <v>-0.02190567974</v>
      </c>
      <c r="G3072" t="n">
        <v>0.2957043942523617</v>
      </c>
      <c r="H3072" t="n">
        <v>0.0098933740622152</v>
      </c>
      <c r="I3072" t="n">
        <v>0.5482465057784284</v>
      </c>
      <c r="J3072" t="n">
        <v>0.1161569182187738</v>
      </c>
      <c r="K3072" t="n">
        <v>0.543346311858882</v>
      </c>
      <c r="L3072" t="b">
        <v>0</v>
      </c>
      <c r="M3072" t="b">
        <v>0</v>
      </c>
      <c r="N3072" t="inlineStr">
        <is>
          <t>ref</t>
        </is>
      </c>
      <c r="O3072" t="n">
        <v>95</v>
      </c>
      <c r="P3072" t="n">
        <v>0.01242</v>
      </c>
      <c r="Q3072" t="n">
        <v>-70</v>
      </c>
      <c r="R3072" t="n">
        <v>0.1239</v>
      </c>
      <c r="S3072">
        <f>IMAGE("https://mitra.stanford.edu/kundaje/oak/projects/neuro-variants/variant_position/credible/roussos_2024/variant_figures/roussos_2024.adolescence.GLU/rs223329_count_position.png",4,220,900)</f>
        <v/>
      </c>
      <c r="T3072">
        <f>IMAGE("https://mitra.stanford.edu/kundaje/oak/projects/neuro-variants/variant_position/credible/roussos_2024/variant_figures/roussos_2024.adolescence.GLU/rs223329_profile_position.png",4,220,900)</f>
        <v/>
      </c>
    </row>
    <row r="3073">
      <c r="A3073" t="inlineStr">
        <is>
          <t>chr4</t>
        </is>
      </c>
      <c r="B3073" t="n">
        <v>102888757</v>
      </c>
      <c r="C3073" t="inlineStr">
        <is>
          <t>C</t>
        </is>
      </c>
      <c r="D3073" t="inlineStr">
        <is>
          <t>A</t>
        </is>
      </c>
      <c r="E3073" t="inlineStr">
        <is>
          <t>rs223311</t>
        </is>
      </c>
      <c r="F3073" t="n">
        <v>0.00051785348</v>
      </c>
      <c r="G3073" t="n">
        <v>0.6237988003574437</v>
      </c>
      <c r="H3073" t="n">
        <v>0.0093859378536711</v>
      </c>
      <c r="I3073" t="n">
        <v>0.6184494398236174</v>
      </c>
      <c r="J3073" t="n">
        <v>0.0917504340184752</v>
      </c>
      <c r="K3073" t="n">
        <v>0.5911809380569648</v>
      </c>
      <c r="L3073" t="b">
        <v>0</v>
      </c>
      <c r="M3073" t="b">
        <v>0</v>
      </c>
      <c r="N3073" t="inlineStr">
        <is>
          <t>alt</t>
        </is>
      </c>
      <c r="O3073" t="n">
        <v>65</v>
      </c>
      <c r="P3073" t="n">
        <v>0.007492</v>
      </c>
      <c r="Q3073" t="n">
        <v>20</v>
      </c>
      <c r="R3073" t="n">
        <v>0.01282</v>
      </c>
      <c r="S3073">
        <f>IMAGE("https://mitra.stanford.edu/kundaje/oak/projects/neuro-variants/variant_position/credible/roussos_2024/variant_figures/roussos_2024.adolescence.GLU/rs223311_count_position.png",4,220,900)</f>
        <v/>
      </c>
      <c r="T3073">
        <f>IMAGE("https://mitra.stanford.edu/kundaje/oak/projects/neuro-variants/variant_position/credible/roussos_2024/variant_figures/roussos_2024.adolescence.GLU/rs223311_profile_position.png",4,220,900)</f>
        <v/>
      </c>
    </row>
    <row r="3074">
      <c r="A3074" t="inlineStr">
        <is>
          <t>chr4</t>
        </is>
      </c>
      <c r="B3074" t="n">
        <v>102890220</v>
      </c>
      <c r="C3074" t="inlineStr">
        <is>
          <t>A</t>
        </is>
      </c>
      <c r="D3074" t="inlineStr">
        <is>
          <t>C</t>
        </is>
      </c>
      <c r="E3074" t="inlineStr">
        <is>
          <t>rs223310</t>
        </is>
      </c>
      <c r="F3074" t="n">
        <v>0.0201810373999999</v>
      </c>
      <c r="G3074" t="n">
        <v>0.2760631028439568</v>
      </c>
      <c r="H3074" t="n">
        <v>0.0118580300639316</v>
      </c>
      <c r="I3074" t="n">
        <v>0.3412223593582097</v>
      </c>
      <c r="J3074" t="n">
        <v>0.2116595580513106</v>
      </c>
      <c r="K3074" t="n">
        <v>0.3660263230232286</v>
      </c>
      <c r="L3074" t="b">
        <v>0</v>
      </c>
      <c r="M3074" t="b">
        <v>0</v>
      </c>
      <c r="N3074" t="inlineStr">
        <is>
          <t>alt</t>
        </is>
      </c>
      <c r="O3074" t="n">
        <v>-100</v>
      </c>
      <c r="P3074" t="n">
        <v>0.009090000000000001</v>
      </c>
      <c r="Q3074" t="n">
        <v>-100</v>
      </c>
      <c r="R3074" t="n">
        <v>0.0655</v>
      </c>
      <c r="S3074">
        <f>IMAGE("https://mitra.stanford.edu/kundaje/oak/projects/neuro-variants/variant_position/credible/roussos_2024/variant_figures/roussos_2024.adolescence.GLU/rs223310_count_position.png",4,220,900)</f>
        <v/>
      </c>
      <c r="T3074">
        <f>IMAGE("https://mitra.stanford.edu/kundaje/oak/projects/neuro-variants/variant_position/credible/roussos_2024/variant_figures/roussos_2024.adolescence.GLU/rs223310_profile_position.png",4,220,900)</f>
        <v/>
      </c>
    </row>
    <row r="3075">
      <c r="A3075" t="inlineStr">
        <is>
          <t>chr4</t>
        </is>
      </c>
      <c r="B3075" t="n">
        <v>102895366</v>
      </c>
      <c r="C3075" t="inlineStr">
        <is>
          <t>A</t>
        </is>
      </c>
      <c r="D3075" t="inlineStr">
        <is>
          <t>G</t>
        </is>
      </c>
      <c r="E3075" t="inlineStr">
        <is>
          <t>rs6830407</t>
        </is>
      </c>
      <c r="F3075" t="n">
        <v>0.0602621798</v>
      </c>
      <c r="G3075" t="n">
        <v>0.03698194900602</v>
      </c>
      <c r="H3075" t="n">
        <v>0.011008195897675</v>
      </c>
      <c r="I3075" t="n">
        <v>0.4335057346232955</v>
      </c>
      <c r="J3075" t="n">
        <v>0.0050481885533431</v>
      </c>
      <c r="K3075" t="n">
        <v>0.918617055179536</v>
      </c>
      <c r="L3075" t="b">
        <v>0</v>
      </c>
      <c r="M3075" t="b">
        <v>0</v>
      </c>
      <c r="N3075" t="inlineStr">
        <is>
          <t>alt</t>
        </is>
      </c>
      <c r="O3075" t="n">
        <v>0</v>
      </c>
      <c r="P3075" t="n">
        <v>0</v>
      </c>
      <c r="Q3075" t="n">
        <v>40</v>
      </c>
      <c r="R3075" t="n">
        <v>0.02467</v>
      </c>
      <c r="S3075">
        <f>IMAGE("https://mitra.stanford.edu/kundaje/oak/projects/neuro-variants/variant_position/credible/roussos_2024/variant_figures/roussos_2024.adolescence.GLU/rs6830407_count_position.png",4,220,900)</f>
        <v/>
      </c>
      <c r="T3075">
        <f>IMAGE("https://mitra.stanford.edu/kundaje/oak/projects/neuro-variants/variant_position/credible/roussos_2024/variant_figures/roussos_2024.adolescence.GLU/rs6830407_profile_position.png",4,220,900)</f>
        <v/>
      </c>
    </row>
    <row r="3076">
      <c r="A3076" t="inlineStr">
        <is>
          <t>chr4</t>
        </is>
      </c>
      <c r="B3076" t="n">
        <v>102896374</v>
      </c>
      <c r="C3076" t="inlineStr">
        <is>
          <t>C</t>
        </is>
      </c>
      <c r="D3076" t="inlineStr">
        <is>
          <t>T</t>
        </is>
      </c>
      <c r="E3076" t="inlineStr">
        <is>
          <t>rs10012413</t>
        </is>
      </c>
      <c r="F3076" t="n">
        <v>-0.00165603927</v>
      </c>
      <c r="G3076" t="n">
        <v>0.8315061640070068</v>
      </c>
      <c r="H3076" t="n">
        <v>0.0244688145953148</v>
      </c>
      <c r="I3076" t="n">
        <v>0.0241681747724574</v>
      </c>
      <c r="J3076" t="n">
        <v>0.1052503732916103</v>
      </c>
      <c r="K3076" t="n">
        <v>0.5656409295969319</v>
      </c>
      <c r="L3076" t="b">
        <v>0</v>
      </c>
      <c r="M3076" t="b">
        <v>0</v>
      </c>
      <c r="N3076" t="inlineStr">
        <is>
          <t>ref</t>
        </is>
      </c>
      <c r="O3076" t="n">
        <v>80</v>
      </c>
      <c r="P3076" t="n">
        <v>0.01718</v>
      </c>
      <c r="Q3076" t="n">
        <v>70</v>
      </c>
      <c r="R3076" t="n">
        <v>0.08075</v>
      </c>
      <c r="S3076">
        <f>IMAGE("https://mitra.stanford.edu/kundaje/oak/projects/neuro-variants/variant_position/credible/roussos_2024/variant_figures/roussos_2024.adolescence.GLU/rs10012413_count_position.png",4,220,900)</f>
        <v/>
      </c>
      <c r="T3076">
        <f>IMAGE("https://mitra.stanford.edu/kundaje/oak/projects/neuro-variants/variant_position/credible/roussos_2024/variant_figures/roussos_2024.adolescence.GLU/rs10012413_profile_position.png",4,220,900)</f>
        <v/>
      </c>
    </row>
    <row r="3077">
      <c r="A3077" t="inlineStr">
        <is>
          <t>chr4</t>
        </is>
      </c>
      <c r="B3077" t="n">
        <v>102897577</v>
      </c>
      <c r="C3077" t="inlineStr">
        <is>
          <t>T</t>
        </is>
      </c>
      <c r="D3077" t="inlineStr">
        <is>
          <t>C</t>
        </is>
      </c>
      <c r="E3077" t="inlineStr">
        <is>
          <t>rs4699033</t>
        </is>
      </c>
      <c r="F3077" t="n">
        <v>0.0246549278</v>
      </c>
      <c r="G3077" t="n">
        <v>0.2168569981302236</v>
      </c>
      <c r="H3077" t="n">
        <v>0.0108977759341598</v>
      </c>
      <c r="I3077" t="n">
        <v>0.4428728509793448</v>
      </c>
      <c r="J3077" t="n">
        <v>0.1239342435218723</v>
      </c>
      <c r="K3077" t="n">
        <v>0.5218593798609064</v>
      </c>
      <c r="L3077" t="b">
        <v>0</v>
      </c>
      <c r="M3077" t="b">
        <v>0</v>
      </c>
      <c r="N3077" t="inlineStr">
        <is>
          <t>alt</t>
        </is>
      </c>
      <c r="O3077" t="n">
        <v>15</v>
      </c>
      <c r="P3077" t="n">
        <v>0.000675</v>
      </c>
      <c r="Q3077" t="n">
        <v>70</v>
      </c>
      <c r="R3077" t="n">
        <v>0.0432</v>
      </c>
      <c r="S3077">
        <f>IMAGE("https://mitra.stanford.edu/kundaje/oak/projects/neuro-variants/variant_position/credible/roussos_2024/variant_figures/roussos_2024.adolescence.GLU/rs4699033_count_position.png",4,220,900)</f>
        <v/>
      </c>
      <c r="T3077">
        <f>IMAGE("https://mitra.stanford.edu/kundaje/oak/projects/neuro-variants/variant_position/credible/roussos_2024/variant_figures/roussos_2024.adolescence.GLU/rs4699033_profile_position.png",4,220,900)</f>
        <v/>
      </c>
    </row>
    <row r="3078">
      <c r="A3078" t="inlineStr">
        <is>
          <t>chr4</t>
        </is>
      </c>
      <c r="B3078" t="n">
        <v>102913483</v>
      </c>
      <c r="C3078" t="inlineStr">
        <is>
          <t>G</t>
        </is>
      </c>
      <c r="D3078" t="inlineStr">
        <is>
          <t>A</t>
        </is>
      </c>
      <c r="E3078" t="inlineStr">
        <is>
          <t>rs6821247</t>
        </is>
      </c>
      <c r="F3078" t="n">
        <v>-0.0742846628</v>
      </c>
      <c r="G3078" t="n">
        <v>0.021941040726044</v>
      </c>
      <c r="H3078" t="n">
        <v>0.0136924125790139</v>
      </c>
      <c r="I3078" t="n">
        <v>0.2461940584305895</v>
      </c>
      <c r="J3078" t="n">
        <v>0.1248101392431288</v>
      </c>
      <c r="K3078" t="n">
        <v>0.5221816164703907</v>
      </c>
      <c r="L3078" t="b">
        <v>0</v>
      </c>
      <c r="M3078" t="b">
        <v>0</v>
      </c>
      <c r="N3078" t="inlineStr">
        <is>
          <t>ref</t>
        </is>
      </c>
      <c r="O3078" t="n">
        <v>-15</v>
      </c>
      <c r="P3078" t="n">
        <v>0.000824</v>
      </c>
      <c r="Q3078" t="n">
        <v>-90</v>
      </c>
      <c r="R3078" t="n">
        <v>0.0631</v>
      </c>
      <c r="S3078">
        <f>IMAGE("https://mitra.stanford.edu/kundaje/oak/projects/neuro-variants/variant_position/credible/roussos_2024/variant_figures/roussos_2024.adolescence.GLU/rs6821247_count_position.png",4,220,900)</f>
        <v/>
      </c>
      <c r="T3078">
        <f>IMAGE("https://mitra.stanford.edu/kundaje/oak/projects/neuro-variants/variant_position/credible/roussos_2024/variant_figures/roussos_2024.adolescence.GLU/rs6821247_profile_position.png",4,220,900)</f>
        <v/>
      </c>
    </row>
    <row r="3079">
      <c r="A3079" t="inlineStr">
        <is>
          <t>chr4</t>
        </is>
      </c>
      <c r="B3079" t="n">
        <v>102914239</v>
      </c>
      <c r="C3079" t="inlineStr">
        <is>
          <t>G</t>
        </is>
      </c>
      <c r="D3079" t="inlineStr">
        <is>
          <t>T</t>
        </is>
      </c>
      <c r="E3079" t="inlineStr">
        <is>
          <t>rs59550147</t>
        </is>
      </c>
      <c r="F3079" t="n">
        <v>0.0407669701999999</v>
      </c>
      <c r="G3079" t="n">
        <v>0.0752902438410849</v>
      </c>
      <c r="H3079" t="n">
        <v>0.0223978291295087</v>
      </c>
      <c r="I3079" t="n">
        <v>0.0586184289963821</v>
      </c>
      <c r="J3079" t="n">
        <v>0.1345735902436933</v>
      </c>
      <c r="K3079" t="n">
        <v>0.4980249145397917</v>
      </c>
      <c r="L3079" t="b">
        <v>0</v>
      </c>
      <c r="M3079" t="b">
        <v>0</v>
      </c>
      <c r="N3079" t="inlineStr">
        <is>
          <t>alt</t>
        </is>
      </c>
      <c r="O3079" t="n">
        <v>-95</v>
      </c>
      <c r="P3079" t="n">
        <v>0.002468</v>
      </c>
      <c r="Q3079" t="n">
        <v>-100</v>
      </c>
      <c r="R3079" t="n">
        <v>0.07464999999999999</v>
      </c>
      <c r="S3079">
        <f>IMAGE("https://mitra.stanford.edu/kundaje/oak/projects/neuro-variants/variant_position/credible/roussos_2024/variant_figures/roussos_2024.adolescence.GLU/rs59550147_count_position.png",4,220,900)</f>
        <v/>
      </c>
      <c r="T3079">
        <f>IMAGE("https://mitra.stanford.edu/kundaje/oak/projects/neuro-variants/variant_position/credible/roussos_2024/variant_figures/roussos_2024.adolescence.GLU/rs59550147_profile_position.png",4,220,900)</f>
        <v/>
      </c>
    </row>
    <row r="3080">
      <c r="A3080" t="inlineStr">
        <is>
          <t>chr4</t>
        </is>
      </c>
      <c r="B3080" t="n">
        <v>102925242</v>
      </c>
      <c r="C3080" t="inlineStr">
        <is>
          <t>C</t>
        </is>
      </c>
      <c r="D3080" t="inlineStr">
        <is>
          <t>A</t>
        </is>
      </c>
      <c r="E3080" t="inlineStr">
        <is>
          <t>rs7437714</t>
        </is>
      </c>
      <c r="F3080" t="n">
        <v>-0.0239206858</v>
      </c>
      <c r="G3080" t="n">
        <v>0.2425724783133763</v>
      </c>
      <c r="H3080" t="n">
        <v>0.0103833966882403</v>
      </c>
      <c r="I3080" t="n">
        <v>0.4777344369166914</v>
      </c>
      <c r="J3080" t="n">
        <v>0.0476570146673239</v>
      </c>
      <c r="K3080" t="n">
        <v>0.7030595796048058</v>
      </c>
      <c r="L3080" t="b">
        <v>0</v>
      </c>
      <c r="M3080" t="b">
        <v>0</v>
      </c>
      <c r="N3080" t="inlineStr">
        <is>
          <t>ref</t>
        </is>
      </c>
      <c r="O3080" t="n">
        <v>25</v>
      </c>
      <c r="P3080" t="n">
        <v>0.0004883</v>
      </c>
      <c r="Q3080" t="n">
        <v>100</v>
      </c>
      <c r="R3080" t="n">
        <v>0.1013</v>
      </c>
      <c r="S3080">
        <f>IMAGE("https://mitra.stanford.edu/kundaje/oak/projects/neuro-variants/variant_position/credible/roussos_2024/variant_figures/roussos_2024.adolescence.GLU/rs7437714_count_position.png",4,220,900)</f>
        <v/>
      </c>
      <c r="T3080">
        <f>IMAGE("https://mitra.stanford.edu/kundaje/oak/projects/neuro-variants/variant_position/credible/roussos_2024/variant_figures/roussos_2024.adolescence.GLU/rs7437714_profile_position.png",4,220,900)</f>
        <v/>
      </c>
    </row>
    <row r="3081">
      <c r="A3081" t="inlineStr">
        <is>
          <t>chr4</t>
        </is>
      </c>
      <c r="B3081" t="n">
        <v>102928840</v>
      </c>
      <c r="C3081" t="inlineStr">
        <is>
          <t>T</t>
        </is>
      </c>
      <c r="D3081" t="inlineStr">
        <is>
          <t>C</t>
        </is>
      </c>
      <c r="E3081" t="inlineStr">
        <is>
          <t>rs3974602</t>
        </is>
      </c>
      <c r="F3081" t="n">
        <v>0.000709594654</v>
      </c>
      <c r="G3081" t="n">
        <v>0.7862009208748134</v>
      </c>
      <c r="H3081" t="n">
        <v>0.0102667578859866</v>
      </c>
      <c r="I3081" t="n">
        <v>0.4870086483430092</v>
      </c>
      <c r="J3081" t="n">
        <v>0.1631595116131198</v>
      </c>
      <c r="K3081" t="n">
        <v>0.4538392389697592</v>
      </c>
      <c r="L3081" t="b">
        <v>0</v>
      </c>
      <c r="M3081" t="b">
        <v>0</v>
      </c>
      <c r="N3081" t="inlineStr">
        <is>
          <t>alt</t>
        </is>
      </c>
      <c r="O3081" t="n">
        <v>100</v>
      </c>
      <c r="P3081" t="n">
        <v>0.01862</v>
      </c>
      <c r="Q3081" t="n">
        <v>85</v>
      </c>
      <c r="R3081" t="n">
        <v>0.091</v>
      </c>
      <c r="S3081">
        <f>IMAGE("https://mitra.stanford.edu/kundaje/oak/projects/neuro-variants/variant_position/credible/roussos_2024/variant_figures/roussos_2024.adolescence.GLU/rs3974602_count_position.png",4,220,900)</f>
        <v/>
      </c>
      <c r="T3081">
        <f>IMAGE("https://mitra.stanford.edu/kundaje/oak/projects/neuro-variants/variant_position/credible/roussos_2024/variant_figures/roussos_2024.adolescence.GLU/rs3974602_profile_position.png",4,220,900)</f>
        <v/>
      </c>
    </row>
    <row r="3082">
      <c r="A3082" t="inlineStr">
        <is>
          <t>chr4</t>
        </is>
      </c>
      <c r="B3082" t="n">
        <v>102938135</v>
      </c>
      <c r="C3082" t="inlineStr">
        <is>
          <t>C</t>
        </is>
      </c>
      <c r="D3082" t="inlineStr">
        <is>
          <t>G</t>
        </is>
      </c>
      <c r="E3082" t="inlineStr">
        <is>
          <t>rs7676943</t>
        </is>
      </c>
      <c r="F3082" t="n">
        <v>0.0159516917</v>
      </c>
      <c r="G3082" t="n">
        <v>0.3833201392344621</v>
      </c>
      <c r="H3082" t="n">
        <v>0.0106539720024671</v>
      </c>
      <c r="I3082" t="n">
        <v>0.4742420089743249</v>
      </c>
      <c r="J3082" t="n">
        <v>0.0454508433889876</v>
      </c>
      <c r="K3082" t="n">
        <v>0.7161983846168807</v>
      </c>
      <c r="L3082" t="b">
        <v>0</v>
      </c>
      <c r="M3082" t="b">
        <v>0</v>
      </c>
      <c r="N3082" t="inlineStr">
        <is>
          <t>alt</t>
        </is>
      </c>
      <c r="O3082" t="n">
        <v>60</v>
      </c>
      <c r="P3082" t="n">
        <v>0.002998</v>
      </c>
      <c r="Q3082" t="n">
        <v>30</v>
      </c>
      <c r="R3082" t="n">
        <v>0.0539</v>
      </c>
      <c r="S3082">
        <f>IMAGE("https://mitra.stanford.edu/kundaje/oak/projects/neuro-variants/variant_position/credible/roussos_2024/variant_figures/roussos_2024.adolescence.GLU/rs7676943_count_position.png",4,220,900)</f>
        <v/>
      </c>
      <c r="T3082">
        <f>IMAGE("https://mitra.stanford.edu/kundaje/oak/projects/neuro-variants/variant_position/credible/roussos_2024/variant_figures/roussos_2024.adolescence.GLU/rs7676943_profile_position.png",4,220,900)</f>
        <v/>
      </c>
    </row>
    <row r="3083">
      <c r="A3083" t="inlineStr">
        <is>
          <t>chr4</t>
        </is>
      </c>
      <c r="B3083" t="n">
        <v>102938244</v>
      </c>
      <c r="C3083" t="inlineStr">
        <is>
          <t>A</t>
        </is>
      </c>
      <c r="D3083" t="inlineStr">
        <is>
          <t>G</t>
        </is>
      </c>
      <c r="E3083" t="inlineStr">
        <is>
          <t>rs4446311</t>
        </is>
      </c>
      <c r="F3083" t="n">
        <v>0.0205133222</v>
      </c>
      <c r="G3083" t="n">
        <v>0.2696801422297084</v>
      </c>
      <c r="H3083" t="n">
        <v>0.0096962555832009</v>
      </c>
      <c r="I3083" t="n">
        <v>0.5587692895578473</v>
      </c>
      <c r="J3083" t="n">
        <v>0.0425988240421229</v>
      </c>
      <c r="K3083" t="n">
        <v>0.7281606517128176</v>
      </c>
      <c r="L3083" t="b">
        <v>0</v>
      </c>
      <c r="M3083" t="b">
        <v>0</v>
      </c>
      <c r="N3083" t="inlineStr">
        <is>
          <t>alt</t>
        </is>
      </c>
      <c r="O3083" t="n">
        <v>30</v>
      </c>
      <c r="P3083" t="n">
        <v>0.00328</v>
      </c>
      <c r="Q3083" t="n">
        <v>-80</v>
      </c>
      <c r="R3083" t="n">
        <v>0.0795</v>
      </c>
      <c r="S3083">
        <f>IMAGE("https://mitra.stanford.edu/kundaje/oak/projects/neuro-variants/variant_position/credible/roussos_2024/variant_figures/roussos_2024.adolescence.GLU/rs4446311_count_position.png",4,220,900)</f>
        <v/>
      </c>
      <c r="T3083">
        <f>IMAGE("https://mitra.stanford.edu/kundaje/oak/projects/neuro-variants/variant_position/credible/roussos_2024/variant_figures/roussos_2024.adolescence.GLU/rs4446311_profile_position.png",4,220,900)</f>
        <v/>
      </c>
    </row>
    <row r="3084">
      <c r="A3084" t="inlineStr">
        <is>
          <t>chr4</t>
        </is>
      </c>
      <c r="B3084" t="n">
        <v>102938648</v>
      </c>
      <c r="C3084" t="inlineStr">
        <is>
          <t>G</t>
        </is>
      </c>
      <c r="D3084" t="inlineStr">
        <is>
          <t>A</t>
        </is>
      </c>
      <c r="E3084" t="inlineStr">
        <is>
          <t>rs6419160</t>
        </is>
      </c>
      <c r="F3084" t="n">
        <v>0.0023457296</v>
      </c>
      <c r="G3084" t="n">
        <v>0.7942004398065849</v>
      </c>
      <c r="H3084" t="n">
        <v>0.0215814693263395</v>
      </c>
      <c r="I3084" t="n">
        <v>0.0422567172877506</v>
      </c>
      <c r="J3084" t="n">
        <v>0.0349086596509276</v>
      </c>
      <c r="K3084" t="n">
        <v>0.7529820884682188</v>
      </c>
      <c r="L3084" t="b">
        <v>0</v>
      </c>
      <c r="M3084" t="b">
        <v>0</v>
      </c>
      <c r="N3084" t="inlineStr">
        <is>
          <t>alt</t>
        </is>
      </c>
      <c r="O3084" t="n">
        <v>-95</v>
      </c>
      <c r="P3084" t="n">
        <v>0.00654</v>
      </c>
      <c r="Q3084" t="n">
        <v>100</v>
      </c>
      <c r="R3084" t="n">
        <v>0.00708</v>
      </c>
      <c r="S3084">
        <f>IMAGE("https://mitra.stanford.edu/kundaje/oak/projects/neuro-variants/variant_position/credible/roussos_2024/variant_figures/roussos_2024.adolescence.GLU/rs6419160_count_position.png",4,220,900)</f>
        <v/>
      </c>
      <c r="T3084">
        <f>IMAGE("https://mitra.stanford.edu/kundaje/oak/projects/neuro-variants/variant_position/credible/roussos_2024/variant_figures/roussos_2024.adolescence.GLU/rs6419160_profile_position.png",4,220,900)</f>
        <v/>
      </c>
    </row>
    <row r="3085">
      <c r="A3085" t="inlineStr">
        <is>
          <t>chr4</t>
        </is>
      </c>
      <c r="B3085" t="n">
        <v>102940527</v>
      </c>
      <c r="C3085" t="inlineStr">
        <is>
          <t>A</t>
        </is>
      </c>
      <c r="D3085" t="inlineStr">
        <is>
          <t>C</t>
        </is>
      </c>
      <c r="E3085" t="inlineStr">
        <is>
          <t>rs10017565</t>
        </is>
      </c>
      <c r="F3085" t="n">
        <v>-0.00476249776</v>
      </c>
      <c r="G3085" t="n">
        <v>0.6776365539391982</v>
      </c>
      <c r="H3085" t="n">
        <v>0.0308620873747583</v>
      </c>
      <c r="I3085" t="n">
        <v>0.008110712400702</v>
      </c>
      <c r="J3085" t="n">
        <v>0.1335590943838366</v>
      </c>
      <c r="K3085" t="n">
        <v>0.5104264889478802</v>
      </c>
      <c r="L3085" t="b">
        <v>1</v>
      </c>
      <c r="M3085" t="b">
        <v>1</v>
      </c>
      <c r="N3085" t="inlineStr">
        <is>
          <t>ref</t>
        </is>
      </c>
      <c r="O3085" t="n">
        <v>30</v>
      </c>
      <c r="P3085" t="n">
        <v>0.003662</v>
      </c>
      <c r="Q3085" t="n">
        <v>80</v>
      </c>
      <c r="R3085" t="n">
        <v>0.03815</v>
      </c>
      <c r="S3085">
        <f>IMAGE("https://mitra.stanford.edu/kundaje/oak/projects/neuro-variants/variant_position/credible/roussos_2024/variant_figures/roussos_2024.adolescence.GLU/rs10017565_count_position.png",4,220,900)</f>
        <v/>
      </c>
      <c r="T3085">
        <f>IMAGE("https://mitra.stanford.edu/kundaje/oak/projects/neuro-variants/variant_position/credible/roussos_2024/variant_figures/roussos_2024.adolescence.GLU/rs10017565_profile_position.png",4,220,900)</f>
        <v/>
      </c>
    </row>
    <row r="3086">
      <c r="A3086" t="inlineStr">
        <is>
          <t>chr4</t>
        </is>
      </c>
      <c r="B3086" t="n">
        <v>102940972</v>
      </c>
      <c r="C3086" t="inlineStr">
        <is>
          <t>C</t>
        </is>
      </c>
      <c r="D3086" t="inlineStr">
        <is>
          <t>A</t>
        </is>
      </c>
      <c r="E3086" t="inlineStr">
        <is>
          <t>rs11724035</t>
        </is>
      </c>
      <c r="F3086" t="n">
        <v>0.0062783584799999</v>
      </c>
      <c r="G3086" t="n">
        <v>0.6708610610692943</v>
      </c>
      <c r="H3086" t="n">
        <v>0.0173963541311237</v>
      </c>
      <c r="I3086" t="n">
        <v>0.099061234058475</v>
      </c>
      <c r="J3086" t="n">
        <v>0.1330347000450092</v>
      </c>
      <c r="K3086" t="n">
        <v>0.5136926169895478</v>
      </c>
      <c r="L3086" t="b">
        <v>0</v>
      </c>
      <c r="M3086" t="b">
        <v>0</v>
      </c>
      <c r="N3086" t="inlineStr">
        <is>
          <t>alt</t>
        </is>
      </c>
      <c r="O3086" t="n">
        <v>70</v>
      </c>
      <c r="P3086" t="n">
        <v>0.00902</v>
      </c>
      <c r="Q3086" t="n">
        <v>-50</v>
      </c>
      <c r="R3086" t="n">
        <v>0.04642</v>
      </c>
      <c r="S3086">
        <f>IMAGE("https://mitra.stanford.edu/kundaje/oak/projects/neuro-variants/variant_position/credible/roussos_2024/variant_figures/roussos_2024.adolescence.GLU/rs11724035_count_position.png",4,220,900)</f>
        <v/>
      </c>
      <c r="T3086">
        <f>IMAGE("https://mitra.stanford.edu/kundaje/oak/projects/neuro-variants/variant_position/credible/roussos_2024/variant_figures/roussos_2024.adolescence.GLU/rs11724035_profile_position.png",4,220,900)</f>
        <v/>
      </c>
    </row>
    <row r="3087">
      <c r="A3087" t="inlineStr">
        <is>
          <t>chr4</t>
        </is>
      </c>
      <c r="B3087" t="n">
        <v>102955130</v>
      </c>
      <c r="C3087" t="inlineStr">
        <is>
          <t>C</t>
        </is>
      </c>
      <c r="D3087" t="inlineStr">
        <is>
          <t>T</t>
        </is>
      </c>
      <c r="E3087" t="inlineStr">
        <is>
          <t>rs6829718</t>
        </is>
      </c>
      <c r="F3087" t="n">
        <v>-0.0384714230599999</v>
      </c>
      <c r="G3087" t="n">
        <v>0.1385675601385644</v>
      </c>
      <c r="H3087" t="n">
        <v>0.016122094751981</v>
      </c>
      <c r="I3087" t="n">
        <v>0.1608876126220538</v>
      </c>
      <c r="J3087" t="n">
        <v>0.1499810675068406</v>
      </c>
      <c r="K3087" t="n">
        <v>0.4799692630731734</v>
      </c>
      <c r="L3087" t="b">
        <v>0</v>
      </c>
      <c r="M3087" t="b">
        <v>0</v>
      </c>
      <c r="N3087" t="inlineStr">
        <is>
          <t>ref</t>
        </is>
      </c>
      <c r="O3087" t="n">
        <v>-100</v>
      </c>
      <c r="P3087" t="n">
        <v>0.01402</v>
      </c>
      <c r="Q3087" t="n">
        <v>50</v>
      </c>
      <c r="R3087" t="n">
        <v>0.02808</v>
      </c>
      <c r="S3087">
        <f>IMAGE("https://mitra.stanford.edu/kundaje/oak/projects/neuro-variants/variant_position/credible/roussos_2024/variant_figures/roussos_2024.adolescence.GLU/rs6829718_count_position.png",4,220,900)</f>
        <v/>
      </c>
      <c r="T3087">
        <f>IMAGE("https://mitra.stanford.edu/kundaje/oak/projects/neuro-variants/variant_position/credible/roussos_2024/variant_figures/roussos_2024.adolescence.GLU/rs6829718_profile_position.png",4,220,900)</f>
        <v/>
      </c>
    </row>
    <row r="3088">
      <c r="A3088" t="inlineStr">
        <is>
          <t>chr4</t>
        </is>
      </c>
      <c r="B3088" t="n">
        <v>102955979</v>
      </c>
      <c r="C3088" t="inlineStr">
        <is>
          <t>G</t>
        </is>
      </c>
      <c r="D3088" t="inlineStr">
        <is>
          <t>T</t>
        </is>
      </c>
      <c r="E3088" t="inlineStr">
        <is>
          <t>rs4235409</t>
        </is>
      </c>
      <c r="F3088" t="n">
        <v>-0.0078635626399999</v>
      </c>
      <c r="G3088" t="n">
        <v>0.4234164854415522</v>
      </c>
      <c r="H3088" t="n">
        <v>0.0108026629118134</v>
      </c>
      <c r="I3088" t="n">
        <v>0.4596293836048359</v>
      </c>
      <c r="J3088" t="n">
        <v>0.1449928913846439</v>
      </c>
      <c r="K3088" t="n">
        <v>0.4849201507233481</v>
      </c>
      <c r="L3088" t="b">
        <v>0</v>
      </c>
      <c r="M3088" t="b">
        <v>0</v>
      </c>
      <c r="N3088" t="inlineStr">
        <is>
          <t>ref</t>
        </is>
      </c>
      <c r="O3088" t="n">
        <v>-90</v>
      </c>
      <c r="P3088" t="n">
        <v>0.003918</v>
      </c>
      <c r="Q3088" t="n">
        <v>95</v>
      </c>
      <c r="R3088" t="n">
        <v>0.0949</v>
      </c>
      <c r="S3088">
        <f>IMAGE("https://mitra.stanford.edu/kundaje/oak/projects/neuro-variants/variant_position/credible/roussos_2024/variant_figures/roussos_2024.adolescence.GLU/rs4235409_count_position.png",4,220,900)</f>
        <v/>
      </c>
      <c r="T3088">
        <f>IMAGE("https://mitra.stanford.edu/kundaje/oak/projects/neuro-variants/variant_position/credible/roussos_2024/variant_figures/roussos_2024.adolescence.GLU/rs4235409_profile_position.png",4,220,900)</f>
        <v/>
      </c>
    </row>
    <row r="3089">
      <c r="A3089" t="inlineStr">
        <is>
          <t>chr4</t>
        </is>
      </c>
      <c r="B3089" t="n">
        <v>102957720</v>
      </c>
      <c r="C3089" t="inlineStr">
        <is>
          <t>C</t>
        </is>
      </c>
      <c r="D3089" t="inlineStr">
        <is>
          <t>T</t>
        </is>
      </c>
      <c r="E3089" t="inlineStr">
        <is>
          <t>rs3857198</t>
        </is>
      </c>
      <c r="F3089" t="n">
        <v>-0.078383255</v>
      </c>
      <c r="G3089" t="n">
        <v>0.0208692090807698</v>
      </c>
      <c r="H3089" t="n">
        <v>0.0168584077616796</v>
      </c>
      <c r="I3089" t="n">
        <v>0.1117360045471091</v>
      </c>
      <c r="J3089" t="n">
        <v>0.0477055961592043</v>
      </c>
      <c r="K3089" t="n">
        <v>0.7049006610645047</v>
      </c>
      <c r="L3089" t="b">
        <v>0</v>
      </c>
      <c r="M3089" t="b">
        <v>0</v>
      </c>
      <c r="N3089" t="inlineStr">
        <is>
          <t>ref</t>
        </is>
      </c>
      <c r="O3089" t="n">
        <v>-10</v>
      </c>
      <c r="P3089" t="n">
        <v>0.001709</v>
      </c>
      <c r="Q3089" t="n">
        <v>-100</v>
      </c>
      <c r="R3089" t="n">
        <v>0.02441</v>
      </c>
      <c r="S3089">
        <f>IMAGE("https://mitra.stanford.edu/kundaje/oak/projects/neuro-variants/variant_position/credible/roussos_2024/variant_figures/roussos_2024.adolescence.GLU/rs3857198_count_position.png",4,220,900)</f>
        <v/>
      </c>
      <c r="T3089">
        <f>IMAGE("https://mitra.stanford.edu/kundaje/oak/projects/neuro-variants/variant_position/credible/roussos_2024/variant_figures/roussos_2024.adolescence.GLU/rs3857198_profile_position.png",4,220,900)</f>
        <v/>
      </c>
    </row>
    <row r="3090">
      <c r="A3090" t="inlineStr">
        <is>
          <t>chr4</t>
        </is>
      </c>
      <c r="B3090" t="n">
        <v>102961049</v>
      </c>
      <c r="C3090" t="inlineStr">
        <is>
          <t>A</t>
        </is>
      </c>
      <c r="D3090" t="inlineStr">
        <is>
          <t>C</t>
        </is>
      </c>
      <c r="E3090" t="inlineStr">
        <is>
          <t>rs4698867</t>
        </is>
      </c>
      <c r="F3090" t="n">
        <v>-0.0063741113739999</v>
      </c>
      <c r="G3090" t="n">
        <v>0.6883242629881262</v>
      </c>
      <c r="H3090" t="n">
        <v>0.022096607965017</v>
      </c>
      <c r="I3090" t="n">
        <v>0.0391390963536305</v>
      </c>
      <c r="J3090" t="n">
        <v>0.0464024690828814</v>
      </c>
      <c r="K3090" t="n">
        <v>0.7080738106059309</v>
      </c>
      <c r="L3090" t="b">
        <v>0</v>
      </c>
      <c r="M3090" t="b">
        <v>0</v>
      </c>
      <c r="N3090" t="inlineStr">
        <is>
          <t>ref</t>
        </is>
      </c>
      <c r="O3090" t="n">
        <v>95</v>
      </c>
      <c r="P3090" t="n">
        <v>0.00701</v>
      </c>
      <c r="Q3090" t="n">
        <v>-100</v>
      </c>
      <c r="R3090" t="n">
        <v>0.1006</v>
      </c>
      <c r="S3090">
        <f>IMAGE("https://mitra.stanford.edu/kundaje/oak/projects/neuro-variants/variant_position/credible/roussos_2024/variant_figures/roussos_2024.adolescence.GLU/rs4698867_count_position.png",4,220,900)</f>
        <v/>
      </c>
      <c r="T3090">
        <f>IMAGE("https://mitra.stanford.edu/kundaje/oak/projects/neuro-variants/variant_position/credible/roussos_2024/variant_figures/roussos_2024.adolescence.GLU/rs4698867_profile_position.png",4,220,900)</f>
        <v/>
      </c>
    </row>
    <row r="3091">
      <c r="A3091" t="inlineStr">
        <is>
          <t>chr4</t>
        </is>
      </c>
      <c r="B3091" t="n">
        <v>102974160</v>
      </c>
      <c r="C3091" t="inlineStr">
        <is>
          <t>T</t>
        </is>
      </c>
      <c r="D3091" t="inlineStr">
        <is>
          <t>G</t>
        </is>
      </c>
      <c r="E3091" t="inlineStr">
        <is>
          <t>rs7659468</t>
        </is>
      </c>
      <c r="F3091" t="n">
        <v>0.041170163</v>
      </c>
      <c r="G3091" t="n">
        <v>0.09719406451670801</v>
      </c>
      <c r="H3091" t="n">
        <v>0.0109398035368796</v>
      </c>
      <c r="I3091" t="n">
        <v>0.4257153414243953</v>
      </c>
      <c r="J3091" t="n">
        <v>0.0041251402076143</v>
      </c>
      <c r="K3091" t="n">
        <v>0.9279648945095323</v>
      </c>
      <c r="L3091" t="b">
        <v>0</v>
      </c>
      <c r="M3091" t="b">
        <v>0</v>
      </c>
      <c r="N3091" t="inlineStr">
        <is>
          <t>alt</t>
        </is>
      </c>
      <c r="O3091" t="n">
        <v>40</v>
      </c>
      <c r="P3091" t="n">
        <v>0.003601</v>
      </c>
      <c r="Q3091" t="n">
        <v>-100</v>
      </c>
      <c r="R3091" t="n">
        <v>0.05197</v>
      </c>
      <c r="S3091">
        <f>IMAGE("https://mitra.stanford.edu/kundaje/oak/projects/neuro-variants/variant_position/credible/roussos_2024/variant_figures/roussos_2024.adolescence.GLU/rs7659468_count_position.png",4,220,900)</f>
        <v/>
      </c>
      <c r="T3091">
        <f>IMAGE("https://mitra.stanford.edu/kundaje/oak/projects/neuro-variants/variant_position/credible/roussos_2024/variant_figures/roussos_2024.adolescence.GLU/rs7659468_profile_position.png",4,220,900)</f>
        <v/>
      </c>
    </row>
    <row r="3092">
      <c r="A3092" t="inlineStr">
        <is>
          <t>chr4</t>
        </is>
      </c>
      <c r="B3092" t="n">
        <v>102976939</v>
      </c>
      <c r="C3092" t="inlineStr">
        <is>
          <t>A</t>
        </is>
      </c>
      <c r="D3092" t="inlineStr">
        <is>
          <t>G</t>
        </is>
      </c>
      <c r="E3092" t="inlineStr">
        <is>
          <t>rs4699044</t>
        </is>
      </c>
      <c r="F3092" t="n">
        <v>0.09155367</v>
      </c>
      <c r="G3092" t="n">
        <v>0.010116779445774</v>
      </c>
      <c r="H3092" t="n">
        <v>0.0209478307154289</v>
      </c>
      <c r="I3092" t="n">
        <v>0.0478843996638795</v>
      </c>
      <c r="J3092" t="n">
        <v>0.008927563566738701</v>
      </c>
      <c r="K3092" t="n">
        <v>0.8881876257102743</v>
      </c>
      <c r="L3092" t="b">
        <v>1</v>
      </c>
      <c r="M3092" t="b">
        <v>0</v>
      </c>
      <c r="N3092" t="inlineStr">
        <is>
          <t>alt</t>
        </is>
      </c>
      <c r="O3092" t="n">
        <v>100</v>
      </c>
      <c r="P3092" t="n">
        <v>0.0229</v>
      </c>
      <c r="Q3092" t="n">
        <v>-65</v>
      </c>
      <c r="R3092" t="n">
        <v>0.04282</v>
      </c>
      <c r="S3092">
        <f>IMAGE("https://mitra.stanford.edu/kundaje/oak/projects/neuro-variants/variant_position/credible/roussos_2024/variant_figures/roussos_2024.adolescence.GLU/rs4699044_count_position.png",4,220,900)</f>
        <v/>
      </c>
      <c r="T3092">
        <f>IMAGE("https://mitra.stanford.edu/kundaje/oak/projects/neuro-variants/variant_position/credible/roussos_2024/variant_figures/roussos_2024.adolescence.GLU/rs4699044_profile_position.png",4,220,900)</f>
        <v/>
      </c>
    </row>
    <row r="3093">
      <c r="A3093" t="inlineStr">
        <is>
          <t>chr4</t>
        </is>
      </c>
      <c r="B3093" t="n">
        <v>102983598</v>
      </c>
      <c r="C3093" t="inlineStr">
        <is>
          <t>C</t>
        </is>
      </c>
      <c r="D3093" t="inlineStr">
        <is>
          <t>G</t>
        </is>
      </c>
      <c r="E3093" t="inlineStr">
        <is>
          <t>rs12508069</t>
        </is>
      </c>
      <c r="F3093" t="n">
        <v>-0.0150946335999999</v>
      </c>
      <c r="G3093" t="n">
        <v>0.3834817637406665</v>
      </c>
      <c r="H3093" t="n">
        <v>0.008032246420126</v>
      </c>
      <c r="I3093" t="n">
        <v>0.7879863579669665</v>
      </c>
      <c r="J3093" t="n">
        <v>0.0011288052525165</v>
      </c>
      <c r="K3093" t="n">
        <v>0.9753286360674304</v>
      </c>
      <c r="L3093" t="b">
        <v>0</v>
      </c>
      <c r="M3093" t="b">
        <v>0</v>
      </c>
      <c r="N3093" t="inlineStr">
        <is>
          <t>ref</t>
        </is>
      </c>
      <c r="O3093" t="n">
        <v>-10</v>
      </c>
      <c r="P3093" t="n">
        <v>0.0008162999999999999</v>
      </c>
      <c r="Q3093" t="n">
        <v>-100</v>
      </c>
      <c r="R3093" t="n">
        <v>0.05243</v>
      </c>
      <c r="S3093">
        <f>IMAGE("https://mitra.stanford.edu/kundaje/oak/projects/neuro-variants/variant_position/credible/roussos_2024/variant_figures/roussos_2024.adolescence.GLU/rs12508069_count_position.png",4,220,900)</f>
        <v/>
      </c>
      <c r="T3093">
        <f>IMAGE("https://mitra.stanford.edu/kundaje/oak/projects/neuro-variants/variant_position/credible/roussos_2024/variant_figures/roussos_2024.adolescence.GLU/rs12508069_profile_position.png",4,220,900)</f>
        <v/>
      </c>
    </row>
    <row r="3094">
      <c r="A3094" t="inlineStr">
        <is>
          <t>chr4</t>
        </is>
      </c>
      <c r="B3094" t="n">
        <v>102994153</v>
      </c>
      <c r="C3094" t="inlineStr">
        <is>
          <t>T</t>
        </is>
      </c>
      <c r="D3094" t="inlineStr">
        <is>
          <t>G</t>
        </is>
      </c>
      <c r="E3094" t="inlineStr">
        <is>
          <t>rs7688940</t>
        </is>
      </c>
      <c r="F3094" t="n">
        <v>0.00023505426</v>
      </c>
      <c r="G3094" t="n">
        <v>0.6980846058674189</v>
      </c>
      <c r="H3094" t="n">
        <v>0.024183709363475</v>
      </c>
      <c r="I3094" t="n">
        <v>0.0259168839869772</v>
      </c>
      <c r="J3094" t="n">
        <v>0.2753813289895764</v>
      </c>
      <c r="K3094" t="n">
        <v>0.3002932650454863</v>
      </c>
      <c r="L3094" t="b">
        <v>0</v>
      </c>
      <c r="M3094" t="b">
        <v>0</v>
      </c>
      <c r="N3094" t="inlineStr">
        <is>
          <t>alt</t>
        </is>
      </c>
      <c r="O3094" t="n">
        <v>85</v>
      </c>
      <c r="P3094" t="n">
        <v>0.003021</v>
      </c>
      <c r="Q3094" t="n">
        <v>80</v>
      </c>
      <c r="R3094" t="n">
        <v>0.05502</v>
      </c>
      <c r="S3094">
        <f>IMAGE("https://mitra.stanford.edu/kundaje/oak/projects/neuro-variants/variant_position/credible/roussos_2024/variant_figures/roussos_2024.adolescence.GLU/rs7688940_count_position.png",4,220,900)</f>
        <v/>
      </c>
      <c r="T3094">
        <f>IMAGE("https://mitra.stanford.edu/kundaje/oak/projects/neuro-variants/variant_position/credible/roussos_2024/variant_figures/roussos_2024.adolescence.GLU/rs7688940_profile_position.png",4,220,900)</f>
        <v/>
      </c>
    </row>
    <row r="3095">
      <c r="A3095" t="inlineStr">
        <is>
          <t>chr4</t>
        </is>
      </c>
      <c r="B3095" t="n">
        <v>103003981</v>
      </c>
      <c r="C3095" t="inlineStr">
        <is>
          <t>G</t>
        </is>
      </c>
      <c r="D3095" t="inlineStr">
        <is>
          <t>C</t>
        </is>
      </c>
      <c r="E3095" t="inlineStr">
        <is>
          <t>rs13117110</t>
        </is>
      </c>
      <c r="F3095" t="n">
        <v>0.03191684834</v>
      </c>
      <c r="G3095" t="n">
        <v>0.1941763850630129</v>
      </c>
      <c r="H3095" t="n">
        <v>0.0155924753492185</v>
      </c>
      <c r="I3095" t="n">
        <v>0.1761174634706539</v>
      </c>
      <c r="J3095" t="n">
        <v>0.0342942466653806</v>
      </c>
      <c r="K3095" t="n">
        <v>0.7543017482207066</v>
      </c>
      <c r="L3095" t="b">
        <v>0</v>
      </c>
      <c r="M3095" t="b">
        <v>0</v>
      </c>
      <c r="N3095" t="inlineStr">
        <is>
          <t>alt</t>
        </is>
      </c>
      <c r="O3095" t="n">
        <v>-100</v>
      </c>
      <c r="P3095" t="n">
        <v>0.009429999999999999</v>
      </c>
      <c r="Q3095" t="n">
        <v>-75</v>
      </c>
      <c r="R3095" t="n">
        <v>0.08044</v>
      </c>
      <c r="S3095">
        <f>IMAGE("https://mitra.stanford.edu/kundaje/oak/projects/neuro-variants/variant_position/credible/roussos_2024/variant_figures/roussos_2024.adolescence.GLU/rs13117110_count_position.png",4,220,900)</f>
        <v/>
      </c>
      <c r="T3095">
        <f>IMAGE("https://mitra.stanford.edu/kundaje/oak/projects/neuro-variants/variant_position/credible/roussos_2024/variant_figures/roussos_2024.adolescence.GLU/rs13117110_profile_position.png",4,220,900)</f>
        <v/>
      </c>
    </row>
    <row r="3096">
      <c r="A3096" t="inlineStr">
        <is>
          <t>chr4</t>
        </is>
      </c>
      <c r="B3096" t="n">
        <v>103011399</v>
      </c>
      <c r="C3096" t="inlineStr">
        <is>
          <t>C</t>
        </is>
      </c>
      <c r="D3096" t="inlineStr">
        <is>
          <t>T</t>
        </is>
      </c>
      <c r="E3096" t="inlineStr">
        <is>
          <t>rs7695096</t>
        </is>
      </c>
      <c r="F3096" t="n">
        <v>-0.00835053618</v>
      </c>
      <c r="G3096" t="n">
        <v>0.5946338056279215</v>
      </c>
      <c r="H3096" t="n">
        <v>0.0096822473756674</v>
      </c>
      <c r="I3096" t="n">
        <v>0.5688813164144642</v>
      </c>
      <c r="J3096" t="n">
        <v>0.1334976530852819</v>
      </c>
      <c r="K3096" t="n">
        <v>0.5107423216164276</v>
      </c>
      <c r="L3096" t="b">
        <v>0</v>
      </c>
      <c r="M3096" t="b">
        <v>0</v>
      </c>
      <c r="N3096" t="inlineStr">
        <is>
          <t>ref</t>
        </is>
      </c>
      <c r="O3096" t="n">
        <v>95</v>
      </c>
      <c r="P3096" t="n">
        <v>0.00526</v>
      </c>
      <c r="Q3096" t="n">
        <v>25</v>
      </c>
      <c r="R3096" t="n">
        <v>0.02692</v>
      </c>
      <c r="S3096">
        <f>IMAGE("https://mitra.stanford.edu/kundaje/oak/projects/neuro-variants/variant_position/credible/roussos_2024/variant_figures/roussos_2024.adolescence.GLU/rs7695096_count_position.png",4,220,900)</f>
        <v/>
      </c>
      <c r="T3096">
        <f>IMAGE("https://mitra.stanford.edu/kundaje/oak/projects/neuro-variants/variant_position/credible/roussos_2024/variant_figures/roussos_2024.adolescence.GLU/rs7695096_profile_position.png",4,220,900)</f>
        <v/>
      </c>
    </row>
    <row r="3097">
      <c r="A3097" t="inlineStr">
        <is>
          <t>chr4</t>
        </is>
      </c>
      <c r="B3097" t="n">
        <v>104524048</v>
      </c>
      <c r="C3097" t="inlineStr">
        <is>
          <t>A</t>
        </is>
      </c>
      <c r="D3097" t="inlineStr">
        <is>
          <t>C</t>
        </is>
      </c>
      <c r="E3097" t="inlineStr">
        <is>
          <t>rs2905625</t>
        </is>
      </c>
      <c r="F3097" t="n">
        <v>0.0009816412599999999</v>
      </c>
      <c r="G3097" t="n">
        <v>0.8129156115086658</v>
      </c>
      <c r="H3097" t="n">
        <v>0.0164868780447661</v>
      </c>
      <c r="I3097" t="n">
        <v>0.1195896351932595</v>
      </c>
      <c r="J3097" t="n">
        <v>0.1209079023512012</v>
      </c>
      <c r="K3097" t="n">
        <v>0.5221117137436954</v>
      </c>
      <c r="L3097" t="b">
        <v>0</v>
      </c>
      <c r="M3097" t="b">
        <v>0</v>
      </c>
      <c r="N3097" t="inlineStr">
        <is>
          <t>alt</t>
        </is>
      </c>
      <c r="O3097" t="n">
        <v>-5</v>
      </c>
      <c r="P3097" t="n">
        <v>9.155e-05</v>
      </c>
      <c r="Q3097" t="n">
        <v>55</v>
      </c>
      <c r="R3097" t="n">
        <v>0.0211</v>
      </c>
      <c r="S3097">
        <f>IMAGE("https://mitra.stanford.edu/kundaje/oak/projects/neuro-variants/variant_position/credible/roussos_2024/variant_figures/roussos_2024.adolescence.GLU/rs2905625_count_position.png",4,220,900)</f>
        <v/>
      </c>
      <c r="T3097">
        <f>IMAGE("https://mitra.stanford.edu/kundaje/oak/projects/neuro-variants/variant_position/credible/roussos_2024/variant_figures/roussos_2024.adolescence.GLU/rs2905625_profile_position.png",4,220,900)</f>
        <v/>
      </c>
    </row>
    <row r="3098">
      <c r="A3098" t="inlineStr">
        <is>
          <t>chr4</t>
        </is>
      </c>
      <c r="B3098" t="n">
        <v>104633005</v>
      </c>
      <c r="C3098" t="inlineStr">
        <is>
          <t>A</t>
        </is>
      </c>
      <c r="D3098" t="inlineStr">
        <is>
          <t>G</t>
        </is>
      </c>
      <c r="E3098" t="inlineStr">
        <is>
          <t>rs1875310</t>
        </is>
      </c>
      <c r="F3098" t="n">
        <v>0.00413064568</v>
      </c>
      <c r="G3098" t="n">
        <v>0.4154333275610485</v>
      </c>
      <c r="H3098" t="n">
        <v>0.0095045892997978</v>
      </c>
      <c r="I3098" t="n">
        <v>0.5725651948395665</v>
      </c>
      <c r="J3098" t="n">
        <v>0.0275771409792027</v>
      </c>
      <c r="K3098" t="n">
        <v>0.7828406287182049</v>
      </c>
      <c r="L3098" t="b">
        <v>0</v>
      </c>
      <c r="M3098" t="b">
        <v>0</v>
      </c>
      <c r="N3098" t="inlineStr">
        <is>
          <t>alt</t>
        </is>
      </c>
      <c r="O3098" t="n">
        <v>0</v>
      </c>
      <c r="P3098" t="n">
        <v>0</v>
      </c>
      <c r="Q3098" t="n">
        <v>80</v>
      </c>
      <c r="R3098" t="n">
        <v>0.0239</v>
      </c>
      <c r="S3098">
        <f>IMAGE("https://mitra.stanford.edu/kundaje/oak/projects/neuro-variants/variant_position/credible/roussos_2024/variant_figures/roussos_2024.adolescence.GLU/rs1875310_count_position.png",4,220,900)</f>
        <v/>
      </c>
      <c r="T3098">
        <f>IMAGE("https://mitra.stanford.edu/kundaje/oak/projects/neuro-variants/variant_position/credible/roussos_2024/variant_figures/roussos_2024.adolescence.GLU/rs1875310_profile_position.png",4,220,900)</f>
        <v/>
      </c>
    </row>
    <row r="3099">
      <c r="A3099" t="inlineStr">
        <is>
          <t>chr4</t>
        </is>
      </c>
      <c r="B3099" t="n">
        <v>104645245</v>
      </c>
      <c r="C3099" t="inlineStr">
        <is>
          <t>C</t>
        </is>
      </c>
      <c r="D3099" t="inlineStr">
        <is>
          <t>T</t>
        </is>
      </c>
      <c r="E3099" t="inlineStr">
        <is>
          <t>rs72662364</t>
        </is>
      </c>
      <c r="F3099" t="n">
        <v>-0.0120061908</v>
      </c>
      <c r="G3099" t="n">
        <v>0.4300388520796394</v>
      </c>
      <c r="H3099" t="n">
        <v>0.0080577492102057</v>
      </c>
      <c r="I3099" t="n">
        <v>0.7947661142158164</v>
      </c>
      <c r="J3099" t="n">
        <v>0.0628444463496009</v>
      </c>
      <c r="K3099" t="n">
        <v>0.6584053530315265</v>
      </c>
      <c r="L3099" t="b">
        <v>0</v>
      </c>
      <c r="M3099" t="b">
        <v>0</v>
      </c>
      <c r="N3099" t="inlineStr">
        <is>
          <t>ref</t>
        </is>
      </c>
      <c r="O3099" t="n">
        <v>-30</v>
      </c>
      <c r="P3099" t="n">
        <v>0.001755</v>
      </c>
      <c r="Q3099" t="n">
        <v>90</v>
      </c>
      <c r="R3099" t="n">
        <v>0.1637</v>
      </c>
      <c r="S3099">
        <f>IMAGE("https://mitra.stanford.edu/kundaje/oak/projects/neuro-variants/variant_position/credible/roussos_2024/variant_figures/roussos_2024.adolescence.GLU/rs72662364_count_position.png",4,220,900)</f>
        <v/>
      </c>
      <c r="T3099">
        <f>IMAGE("https://mitra.stanford.edu/kundaje/oak/projects/neuro-variants/variant_position/credible/roussos_2024/variant_figures/roussos_2024.adolescence.GLU/rs72662364_profile_position.png",4,220,900)</f>
        <v/>
      </c>
    </row>
    <row r="3100">
      <c r="A3100" t="inlineStr">
        <is>
          <t>chr4</t>
        </is>
      </c>
      <c r="B3100" t="n">
        <v>104657130</v>
      </c>
      <c r="C3100" t="inlineStr">
        <is>
          <t>A</t>
        </is>
      </c>
      <c r="D3100" t="inlineStr">
        <is>
          <t>G</t>
        </is>
      </c>
      <c r="E3100" t="inlineStr">
        <is>
          <t>rs17034785</t>
        </is>
      </c>
      <c r="F3100" t="n">
        <v>0.0261843576</v>
      </c>
      <c r="G3100" t="n">
        <v>0.2060751084382095</v>
      </c>
      <c r="H3100" t="n">
        <v>0.0122724314135888</v>
      </c>
      <c r="I3100" t="n">
        <v>0.2989310498731345</v>
      </c>
      <c r="J3100" t="n">
        <v>0.12555172142801</v>
      </c>
      <c r="K3100" t="n">
        <v>0.5233056312771222</v>
      </c>
      <c r="L3100" t="b">
        <v>0</v>
      </c>
      <c r="M3100" t="b">
        <v>0</v>
      </c>
      <c r="N3100" t="inlineStr">
        <is>
          <t>alt</t>
        </is>
      </c>
      <c r="O3100" t="n">
        <v>10</v>
      </c>
      <c r="P3100" t="n">
        <v>0.00029</v>
      </c>
      <c r="Q3100" t="n">
        <v>15</v>
      </c>
      <c r="R3100" t="n">
        <v>0.01636</v>
      </c>
      <c r="S3100">
        <f>IMAGE("https://mitra.stanford.edu/kundaje/oak/projects/neuro-variants/variant_position/credible/roussos_2024/variant_figures/roussos_2024.adolescence.GLU/rs17034785_count_position.png",4,220,900)</f>
        <v/>
      </c>
      <c r="T3100">
        <f>IMAGE("https://mitra.stanford.edu/kundaje/oak/projects/neuro-variants/variant_position/credible/roussos_2024/variant_figures/roussos_2024.adolescence.GLU/rs17034785_profile_position.png",4,220,900)</f>
        <v/>
      </c>
    </row>
    <row r="3101">
      <c r="A3101" t="inlineStr">
        <is>
          <t>chr4</t>
        </is>
      </c>
      <c r="B3101" t="n">
        <v>117737811</v>
      </c>
      <c r="C3101" t="inlineStr">
        <is>
          <t>G</t>
        </is>
      </c>
      <c r="D3101" t="inlineStr">
        <is>
          <t>A</t>
        </is>
      </c>
      <c r="E3101" t="inlineStr">
        <is>
          <t>rs6856296</t>
        </is>
      </c>
      <c r="F3101" t="n">
        <v>-0.00353499</v>
      </c>
      <c r="G3101" t="n">
        <v>0.1278765766900615</v>
      </c>
      <c r="H3101" t="n">
        <v>0.0181061976096062</v>
      </c>
      <c r="I3101" t="n">
        <v>0.1233983456600466</v>
      </c>
      <c r="J3101" t="n">
        <v>0.0364832715348178</v>
      </c>
      <c r="K3101" t="n">
        <v>0.7442354931773355</v>
      </c>
      <c r="L3101" t="b">
        <v>0</v>
      </c>
      <c r="M3101" t="b">
        <v>0</v>
      </c>
      <c r="N3101" t="inlineStr">
        <is>
          <t>ref</t>
        </is>
      </c>
      <c r="O3101" t="n">
        <v>-40</v>
      </c>
      <c r="P3101" t="n">
        <v>0.0078</v>
      </c>
      <c r="Q3101" t="n">
        <v>85</v>
      </c>
      <c r="R3101" t="n">
        <v>0.0368</v>
      </c>
      <c r="S3101">
        <f>IMAGE("https://mitra.stanford.edu/kundaje/oak/projects/neuro-variants/variant_position/credible/roussos_2024/variant_figures/roussos_2024.adolescence.GLU/rs6856296_count_position.png",4,220,900)</f>
        <v/>
      </c>
      <c r="T3101">
        <f>IMAGE("https://mitra.stanford.edu/kundaje/oak/projects/neuro-variants/variant_position/credible/roussos_2024/variant_figures/roussos_2024.adolescence.GLU/rs6856296_profile_position.png",4,220,900)</f>
        <v/>
      </c>
    </row>
    <row r="3102">
      <c r="A3102" t="inlineStr">
        <is>
          <t>chr4</t>
        </is>
      </c>
      <c r="B3102" t="n">
        <v>117741466</v>
      </c>
      <c r="C3102" t="inlineStr">
        <is>
          <t>T</t>
        </is>
      </c>
      <c r="D3102" t="inlineStr">
        <is>
          <t>G</t>
        </is>
      </c>
      <c r="E3102" t="inlineStr">
        <is>
          <t>rs6855141</t>
        </is>
      </c>
      <c r="F3102" t="n">
        <v>-0.0001001931999999</v>
      </c>
      <c r="G3102" t="n">
        <v>0.9019971157398576</v>
      </c>
      <c r="H3102" t="n">
        <v>0.0181061473921758</v>
      </c>
      <c r="I3102" t="n">
        <v>0.083340853075455</v>
      </c>
      <c r="J3102" t="n">
        <v>0.014217230712076</v>
      </c>
      <c r="K3102" t="n">
        <v>0.8470885456083084</v>
      </c>
      <c r="L3102" t="b">
        <v>0</v>
      </c>
      <c r="M3102" t="b">
        <v>0</v>
      </c>
      <c r="N3102" t="inlineStr">
        <is>
          <t>ref</t>
        </is>
      </c>
      <c r="O3102" t="n">
        <v>95</v>
      </c>
      <c r="P3102" t="n">
        <v>0.03018</v>
      </c>
      <c r="Q3102" t="n">
        <v>45</v>
      </c>
      <c r="R3102" t="n">
        <v>0.0524</v>
      </c>
      <c r="S3102">
        <f>IMAGE("https://mitra.stanford.edu/kundaje/oak/projects/neuro-variants/variant_position/credible/roussos_2024/variant_figures/roussos_2024.adolescence.GLU/rs6855141_count_position.png",4,220,900)</f>
        <v/>
      </c>
      <c r="T3102">
        <f>IMAGE("https://mitra.stanford.edu/kundaje/oak/projects/neuro-variants/variant_position/credible/roussos_2024/variant_figures/roussos_2024.adolescence.GLU/rs6855141_profile_position.png",4,220,900)</f>
        <v/>
      </c>
    </row>
    <row r="3103">
      <c r="A3103" t="inlineStr">
        <is>
          <t>chr4</t>
        </is>
      </c>
      <c r="B3103" t="n">
        <v>117743748</v>
      </c>
      <c r="C3103" t="inlineStr">
        <is>
          <t>A</t>
        </is>
      </c>
      <c r="D3103" t="inlineStr">
        <is>
          <t>T</t>
        </is>
      </c>
      <c r="E3103" t="inlineStr">
        <is>
          <t>rs7655540</t>
        </is>
      </c>
      <c r="F3103" t="n">
        <v>0.00406015922</v>
      </c>
      <c r="G3103" t="n">
        <v>0.7652391707915531</v>
      </c>
      <c r="H3103" t="n">
        <v>0.0215522040497612</v>
      </c>
      <c r="I3103" t="n">
        <v>0.0427263121770298</v>
      </c>
      <c r="J3103" t="n">
        <v>0.0141014924520078</v>
      </c>
      <c r="K3103" t="n">
        <v>0.8532457933648915</v>
      </c>
      <c r="L3103" t="b">
        <v>0</v>
      </c>
      <c r="M3103" t="b">
        <v>0</v>
      </c>
      <c r="N3103" t="inlineStr">
        <is>
          <t>alt</t>
        </is>
      </c>
      <c r="O3103" t="n">
        <v>-95</v>
      </c>
      <c r="P3103" t="n">
        <v>0.004673</v>
      </c>
      <c r="Q3103" t="n">
        <v>-75</v>
      </c>
      <c r="R3103" t="n">
        <v>0.06854</v>
      </c>
      <c r="S3103">
        <f>IMAGE("https://mitra.stanford.edu/kundaje/oak/projects/neuro-variants/variant_position/credible/roussos_2024/variant_figures/roussos_2024.adolescence.GLU/rs7655540_count_position.png",4,220,900)</f>
        <v/>
      </c>
      <c r="T3103">
        <f>IMAGE("https://mitra.stanford.edu/kundaje/oak/projects/neuro-variants/variant_position/credible/roussos_2024/variant_figures/roussos_2024.adolescence.GLU/rs7655540_profile_position.png",4,220,900)</f>
        <v/>
      </c>
    </row>
    <row r="3104">
      <c r="A3104" t="inlineStr">
        <is>
          <t>chr4</t>
        </is>
      </c>
      <c r="B3104" t="n">
        <v>117744362</v>
      </c>
      <c r="C3104" t="inlineStr">
        <is>
          <t>T</t>
        </is>
      </c>
      <c r="D3104" t="inlineStr">
        <is>
          <t>C</t>
        </is>
      </c>
      <c r="E3104" t="inlineStr">
        <is>
          <t>rs9990663</t>
        </is>
      </c>
      <c r="F3104" t="n">
        <v>0.0278322324</v>
      </c>
      <c r="G3104" t="n">
        <v>0.1895489087782119</v>
      </c>
      <c r="H3104" t="n">
        <v>0.0105395877199769</v>
      </c>
      <c r="I3104" t="n">
        <v>0.4672631203211552</v>
      </c>
      <c r="J3104" t="n">
        <v>0.0028348729379656</v>
      </c>
      <c r="K3104" t="n">
        <v>0.943638365322308</v>
      </c>
      <c r="L3104" t="b">
        <v>0</v>
      </c>
      <c r="M3104" t="b">
        <v>0</v>
      </c>
      <c r="N3104" t="inlineStr">
        <is>
          <t>alt</t>
        </is>
      </c>
      <c r="O3104" t="n">
        <v>-100</v>
      </c>
      <c r="P3104" t="n">
        <v>0.011536</v>
      </c>
      <c r="Q3104" t="n">
        <v>-35</v>
      </c>
      <c r="R3104" t="n">
        <v>0.05328</v>
      </c>
      <c r="S3104">
        <f>IMAGE("https://mitra.stanford.edu/kundaje/oak/projects/neuro-variants/variant_position/credible/roussos_2024/variant_figures/roussos_2024.adolescence.GLU/rs9990663_count_position.png",4,220,900)</f>
        <v/>
      </c>
      <c r="T3104">
        <f>IMAGE("https://mitra.stanford.edu/kundaje/oak/projects/neuro-variants/variant_position/credible/roussos_2024/variant_figures/roussos_2024.adolescence.GLU/rs9990663_profile_position.png",4,220,900)</f>
        <v/>
      </c>
    </row>
    <row r="3105">
      <c r="A3105" t="inlineStr">
        <is>
          <t>chr4</t>
        </is>
      </c>
      <c r="B3105" t="n">
        <v>117745510</v>
      </c>
      <c r="C3105" t="inlineStr">
        <is>
          <t>G</t>
        </is>
      </c>
      <c r="D3105" t="inlineStr">
        <is>
          <t>A</t>
        </is>
      </c>
      <c r="E3105" t="inlineStr">
        <is>
          <t>rs2012723</t>
        </is>
      </c>
      <c r="F3105" t="n">
        <v>-0.1631073639999999</v>
      </c>
      <c r="G3105" t="n">
        <v>0.0016304788891367</v>
      </c>
      <c r="H3105" t="n">
        <v>0.0358645205310621</v>
      </c>
      <c r="I3105" t="n">
        <v>0.0044636325584351</v>
      </c>
      <c r="J3105" t="n">
        <v>0.1154882082717134</v>
      </c>
      <c r="K3105" t="n">
        <v>0.5445443503694136</v>
      </c>
      <c r="L3105" t="b">
        <v>1</v>
      </c>
      <c r="M3105" t="b">
        <v>1</v>
      </c>
      <c r="N3105" t="inlineStr">
        <is>
          <t>ref</t>
        </is>
      </c>
      <c r="O3105" t="n">
        <v>-85</v>
      </c>
      <c r="P3105" t="n">
        <v>0.002811</v>
      </c>
      <c r="Q3105" t="n">
        <v>-95</v>
      </c>
      <c r="R3105" t="n">
        <v>0.05078</v>
      </c>
      <c r="S3105">
        <f>IMAGE("https://mitra.stanford.edu/kundaje/oak/projects/neuro-variants/variant_position/credible/roussos_2024/variant_figures/roussos_2024.adolescence.GLU/rs2012723_count_position.png",4,220,900)</f>
        <v/>
      </c>
      <c r="T3105">
        <f>IMAGE("https://mitra.stanford.edu/kundaje/oak/projects/neuro-variants/variant_position/credible/roussos_2024/variant_figures/roussos_2024.adolescence.GLU/rs2012723_profile_position.png",4,220,900)</f>
        <v/>
      </c>
    </row>
    <row r="3106">
      <c r="A3106" t="inlineStr">
        <is>
          <t>chr4</t>
        </is>
      </c>
      <c r="B3106" t="n">
        <v>117755278</v>
      </c>
      <c r="C3106" t="inlineStr">
        <is>
          <t>T</t>
        </is>
      </c>
      <c r="D3106" t="inlineStr">
        <is>
          <t>G</t>
        </is>
      </c>
      <c r="E3106" t="inlineStr">
        <is>
          <t>rs4600992</t>
        </is>
      </c>
      <c r="F3106" t="n">
        <v>-0.02523206812</v>
      </c>
      <c r="G3106" t="n">
        <v>0.2466538809808794</v>
      </c>
      <c r="H3106" t="n">
        <v>0.0151726949771309</v>
      </c>
      <c r="I3106" t="n">
        <v>0.1972071014803349</v>
      </c>
      <c r="J3106" t="n">
        <v>0.0531224325038757</v>
      </c>
      <c r="K3106" t="n">
        <v>0.6977999032362348</v>
      </c>
      <c r="L3106" t="b">
        <v>0</v>
      </c>
      <c r="M3106" t="b">
        <v>0</v>
      </c>
      <c r="N3106" t="inlineStr">
        <is>
          <t>ref</t>
        </is>
      </c>
      <c r="O3106" t="n">
        <v>100</v>
      </c>
      <c r="P3106" t="n">
        <v>0.00254</v>
      </c>
      <c r="Q3106" t="n">
        <v>100</v>
      </c>
      <c r="R3106" t="n">
        <v>0.04916</v>
      </c>
      <c r="S3106">
        <f>IMAGE("https://mitra.stanford.edu/kundaje/oak/projects/neuro-variants/variant_position/credible/roussos_2024/variant_figures/roussos_2024.adolescence.GLU/rs4600992_count_position.png",4,220,900)</f>
        <v/>
      </c>
      <c r="T3106">
        <f>IMAGE("https://mitra.stanford.edu/kundaje/oak/projects/neuro-variants/variant_position/credible/roussos_2024/variant_figures/roussos_2024.adolescence.GLU/rs4600992_profile_position.png",4,220,900)</f>
        <v/>
      </c>
    </row>
    <row r="3107">
      <c r="A3107" t="inlineStr">
        <is>
          <t>chr4</t>
        </is>
      </c>
      <c r="B3107" t="n">
        <v>117758445</v>
      </c>
      <c r="C3107" t="inlineStr">
        <is>
          <t>C</t>
        </is>
      </c>
      <c r="D3107" t="inlineStr">
        <is>
          <t>T</t>
        </is>
      </c>
      <c r="E3107" t="inlineStr">
        <is>
          <t>rs2169057</t>
        </is>
      </c>
      <c r="F3107" t="n">
        <v>-0.0051258546399999</v>
      </c>
      <c r="G3107" t="n">
        <v>0.7392727839785018</v>
      </c>
      <c r="H3107" t="n">
        <v>0.0084763856368538</v>
      </c>
      <c r="I3107" t="n">
        <v>0.7327673478674913</v>
      </c>
      <c r="J3107" t="n">
        <v>0.163539590343714</v>
      </c>
      <c r="K3107" t="n">
        <v>0.463606678283621</v>
      </c>
      <c r="L3107" t="b">
        <v>0</v>
      </c>
      <c r="M3107" t="b">
        <v>0</v>
      </c>
      <c r="N3107" t="inlineStr">
        <is>
          <t>ref</t>
        </is>
      </c>
      <c r="O3107" t="n">
        <v>30</v>
      </c>
      <c r="P3107" t="n">
        <v>0.001378</v>
      </c>
      <c r="Q3107" t="n">
        <v>80</v>
      </c>
      <c r="R3107" t="n">
        <v>0.05762</v>
      </c>
      <c r="S3107">
        <f>IMAGE("https://mitra.stanford.edu/kundaje/oak/projects/neuro-variants/variant_position/credible/roussos_2024/variant_figures/roussos_2024.adolescence.GLU/rs2169057_count_position.png",4,220,900)</f>
        <v/>
      </c>
      <c r="T3107">
        <f>IMAGE("https://mitra.stanford.edu/kundaje/oak/projects/neuro-variants/variant_position/credible/roussos_2024/variant_figures/roussos_2024.adolescence.GLU/rs2169057_profile_position.png",4,220,900)</f>
        <v/>
      </c>
    </row>
    <row r="3108">
      <c r="A3108" t="inlineStr">
        <is>
          <t>chr4</t>
        </is>
      </c>
      <c r="B3108" t="n">
        <v>117759419</v>
      </c>
      <c r="C3108" t="inlineStr">
        <is>
          <t>T</t>
        </is>
      </c>
      <c r="D3108" t="inlineStr">
        <is>
          <t>C</t>
        </is>
      </c>
      <c r="E3108" t="inlineStr">
        <is>
          <t>rs1540575</t>
        </is>
      </c>
      <c r="F3108" t="n">
        <v>0.0088144924</v>
      </c>
      <c r="G3108" t="n">
        <v>0.5315413889421942</v>
      </c>
      <c r="H3108" t="n">
        <v>0.009735737978647499</v>
      </c>
      <c r="I3108" t="n">
        <v>0.5477248041280598</v>
      </c>
      <c r="J3108" t="n">
        <v>0.0958955783698051</v>
      </c>
      <c r="K3108" t="n">
        <v>0.5872835134698084</v>
      </c>
      <c r="L3108" t="b">
        <v>0</v>
      </c>
      <c r="M3108" t="b">
        <v>0</v>
      </c>
      <c r="N3108" t="inlineStr">
        <is>
          <t>alt</t>
        </is>
      </c>
      <c r="O3108" t="n">
        <v>-95</v>
      </c>
      <c r="P3108" t="n">
        <v>0.00611</v>
      </c>
      <c r="Q3108" t="n">
        <v>-75</v>
      </c>
      <c r="R3108" t="n">
        <v>0.03232</v>
      </c>
      <c r="S3108">
        <f>IMAGE("https://mitra.stanford.edu/kundaje/oak/projects/neuro-variants/variant_position/credible/roussos_2024/variant_figures/roussos_2024.adolescence.GLU/rs1540575_count_position.png",4,220,900)</f>
        <v/>
      </c>
      <c r="T3108">
        <f>IMAGE("https://mitra.stanford.edu/kundaje/oak/projects/neuro-variants/variant_position/credible/roussos_2024/variant_figures/roussos_2024.adolescence.GLU/rs1540575_profile_position.png",4,220,900)</f>
        <v/>
      </c>
    </row>
    <row r="3109">
      <c r="A3109" t="inlineStr">
        <is>
          <t>chr4</t>
        </is>
      </c>
      <c r="B3109" t="n">
        <v>117768523</v>
      </c>
      <c r="C3109" t="inlineStr">
        <is>
          <t>G</t>
        </is>
      </c>
      <c r="D3109" t="inlineStr">
        <is>
          <t>A</t>
        </is>
      </c>
      <c r="E3109" t="inlineStr">
        <is>
          <t>rs6857739</t>
        </is>
      </c>
      <c r="F3109" t="n">
        <v>0.0179681353999999</v>
      </c>
      <c r="G3109" t="n">
        <v>0.3094746358963862</v>
      </c>
      <c r="H3109" t="n">
        <v>0.0255735215906773</v>
      </c>
      <c r="I3109" t="n">
        <v>0.0177676716757578</v>
      </c>
      <c r="J3109" t="n">
        <v>0.0550199684220302</v>
      </c>
      <c r="K3109" t="n">
        <v>0.6847598007110111</v>
      </c>
      <c r="L3109" t="b">
        <v>1</v>
      </c>
      <c r="M3109" t="b">
        <v>0</v>
      </c>
      <c r="N3109" t="inlineStr">
        <is>
          <t>alt</t>
        </is>
      </c>
      <c r="O3109" t="n">
        <v>-85</v>
      </c>
      <c r="P3109" t="n">
        <v>0.014114</v>
      </c>
      <c r="Q3109" t="n">
        <v>25</v>
      </c>
      <c r="R3109" t="n">
        <v>0.04633</v>
      </c>
      <c r="S3109">
        <f>IMAGE("https://mitra.stanford.edu/kundaje/oak/projects/neuro-variants/variant_position/credible/roussos_2024/variant_figures/roussos_2024.adolescence.GLU/rs6857739_count_position.png",4,220,900)</f>
        <v/>
      </c>
      <c r="T3109">
        <f>IMAGE("https://mitra.stanford.edu/kundaje/oak/projects/neuro-variants/variant_position/credible/roussos_2024/variant_figures/roussos_2024.adolescence.GLU/rs6857739_profile_position.png",4,220,900)</f>
        <v/>
      </c>
    </row>
    <row r="3110">
      <c r="A3110" t="inlineStr">
        <is>
          <t>chr4</t>
        </is>
      </c>
      <c r="B3110" t="n">
        <v>117768799</v>
      </c>
      <c r="C3110" t="inlineStr">
        <is>
          <t>G</t>
        </is>
      </c>
      <c r="D3110" t="inlineStr">
        <is>
          <t>A</t>
        </is>
      </c>
      <c r="E3110" t="inlineStr">
        <is>
          <t>rs1350618</t>
        </is>
      </c>
      <c r="F3110" t="n">
        <v>-0.053532589</v>
      </c>
      <c r="G3110" t="n">
        <v>0.0564634185169413</v>
      </c>
      <c r="H3110" t="n">
        <v>0.0163032762120925</v>
      </c>
      <c r="I3110" t="n">
        <v>0.1226450718150984</v>
      </c>
      <c r="J3110" t="n">
        <v>0.0500946624657964</v>
      </c>
      <c r="K3110" t="n">
        <v>0.700039220735294</v>
      </c>
      <c r="L3110" t="b">
        <v>0</v>
      </c>
      <c r="M3110" t="b">
        <v>0</v>
      </c>
      <c r="N3110" t="inlineStr">
        <is>
          <t>ref</t>
        </is>
      </c>
      <c r="O3110" t="n">
        <v>80</v>
      </c>
      <c r="P3110" t="n">
        <v>0.01364</v>
      </c>
      <c r="Q3110" t="n">
        <v>-60</v>
      </c>
      <c r="R3110" t="n">
        <v>0.1215</v>
      </c>
      <c r="S3110">
        <f>IMAGE("https://mitra.stanford.edu/kundaje/oak/projects/neuro-variants/variant_position/credible/roussos_2024/variant_figures/roussos_2024.adolescence.GLU/rs1350618_count_position.png",4,220,900)</f>
        <v/>
      </c>
      <c r="T3110">
        <f>IMAGE("https://mitra.stanford.edu/kundaje/oak/projects/neuro-variants/variant_position/credible/roussos_2024/variant_figures/roussos_2024.adolescence.GLU/rs1350618_profile_position.png",4,220,900)</f>
        <v/>
      </c>
    </row>
    <row r="3111">
      <c r="A3111" t="inlineStr">
        <is>
          <t>chr4</t>
        </is>
      </c>
      <c r="B3111" t="n">
        <v>117771815</v>
      </c>
      <c r="C3111" t="inlineStr">
        <is>
          <t>C</t>
        </is>
      </c>
      <c r="D3111" t="inlineStr">
        <is>
          <t>A</t>
        </is>
      </c>
      <c r="E3111" t="inlineStr">
        <is>
          <t>rs1459538</t>
        </is>
      </c>
      <c r="F3111" t="n">
        <v>0.211881406</v>
      </c>
      <c r="G3111" t="n">
        <v>0.0007982634565071</v>
      </c>
      <c r="H3111" t="n">
        <v>0.08924618217224869</v>
      </c>
      <c r="I3111" t="n">
        <v>0.0003439177432282</v>
      </c>
      <c r="J3111" t="n">
        <v>0.2801766080116595</v>
      </c>
      <c r="K3111" t="n">
        <v>0.2801888298343325</v>
      </c>
      <c r="L3111" t="b">
        <v>1</v>
      </c>
      <c r="M3111" t="b">
        <v>1</v>
      </c>
      <c r="N3111" t="inlineStr">
        <is>
          <t>alt</t>
        </is>
      </c>
      <c r="O3111" t="n">
        <v>-60</v>
      </c>
      <c r="P3111" t="n">
        <v>0.00708</v>
      </c>
      <c r="Q3111" t="n">
        <v>100</v>
      </c>
      <c r="R3111" t="n">
        <v>0.0902</v>
      </c>
      <c r="S3111">
        <f>IMAGE("https://mitra.stanford.edu/kundaje/oak/projects/neuro-variants/variant_position/credible/roussos_2024/variant_figures/roussos_2024.adolescence.GLU/rs1459538_count_position.png",4,220,900)</f>
        <v/>
      </c>
      <c r="T3111">
        <f>IMAGE("https://mitra.stanford.edu/kundaje/oak/projects/neuro-variants/variant_position/credible/roussos_2024/variant_figures/roussos_2024.adolescence.GLU/rs1459538_profile_position.png",4,220,900)</f>
        <v/>
      </c>
    </row>
    <row r="3112">
      <c r="A3112" t="inlineStr">
        <is>
          <t>chr4</t>
        </is>
      </c>
      <c r="B3112" t="n">
        <v>117772174</v>
      </c>
      <c r="C3112" t="inlineStr">
        <is>
          <t>A</t>
        </is>
      </c>
      <c r="D3112" t="inlineStr">
        <is>
          <t>C</t>
        </is>
      </c>
      <c r="E3112" t="inlineStr">
        <is>
          <t>rs10011404</t>
        </is>
      </c>
      <c r="F3112" t="n">
        <v>0.0240085726</v>
      </c>
      <c r="G3112" t="n">
        <v>0.2197491520701904</v>
      </c>
      <c r="H3112" t="n">
        <v>0.0108808442729197</v>
      </c>
      <c r="I3112" t="n">
        <v>0.422147376362622</v>
      </c>
      <c r="J3112" t="n">
        <v>0.3579384301033785</v>
      </c>
      <c r="K3112" t="n">
        <v>0.2025870885227489</v>
      </c>
      <c r="L3112" t="b">
        <v>0</v>
      </c>
      <c r="M3112" t="b">
        <v>0</v>
      </c>
      <c r="N3112" t="inlineStr">
        <is>
          <t>alt</t>
        </is>
      </c>
      <c r="O3112" t="n">
        <v>35</v>
      </c>
      <c r="P3112" t="n">
        <v>0.004326</v>
      </c>
      <c r="Q3112" t="n">
        <v>40</v>
      </c>
      <c r="R3112" t="n">
        <v>0.05737</v>
      </c>
      <c r="S3112">
        <f>IMAGE("https://mitra.stanford.edu/kundaje/oak/projects/neuro-variants/variant_position/credible/roussos_2024/variant_figures/roussos_2024.adolescence.GLU/rs10011404_count_position.png",4,220,900)</f>
        <v/>
      </c>
      <c r="T3112">
        <f>IMAGE("https://mitra.stanford.edu/kundaje/oak/projects/neuro-variants/variant_position/credible/roussos_2024/variant_figures/roussos_2024.adolescence.GLU/rs10011404_profile_position.png",4,220,900)</f>
        <v/>
      </c>
    </row>
    <row r="3113">
      <c r="A3113" t="inlineStr">
        <is>
          <t>chr4</t>
        </is>
      </c>
      <c r="B3113" t="n">
        <v>117772414</v>
      </c>
      <c r="C3113" t="inlineStr">
        <is>
          <t>A</t>
        </is>
      </c>
      <c r="D3113" t="inlineStr">
        <is>
          <t>G</t>
        </is>
      </c>
      <c r="E3113" t="inlineStr">
        <is>
          <t>rs17867553</t>
        </is>
      </c>
      <c r="F3113" t="n">
        <v>0.08583060599999991</v>
      </c>
      <c r="G3113" t="n">
        <v>0.0143842256083995</v>
      </c>
      <c r="H3113" t="n">
        <v>0.0138578679170278</v>
      </c>
      <c r="I3113" t="n">
        <v>0.23190196453149</v>
      </c>
      <c r="J3113" t="n">
        <v>0.4186652949539547</v>
      </c>
      <c r="K3113" t="n">
        <v>0.1488816323775207</v>
      </c>
      <c r="L3113" t="b">
        <v>1</v>
      </c>
      <c r="M3113" t="b">
        <v>0</v>
      </c>
      <c r="N3113" t="inlineStr">
        <is>
          <t>alt</t>
        </is>
      </c>
      <c r="O3113" t="n">
        <v>70</v>
      </c>
      <c r="P3113" t="n">
        <v>0.004242</v>
      </c>
      <c r="Q3113" t="n">
        <v>-80</v>
      </c>
      <c r="R3113" t="n">
        <v>0.03064</v>
      </c>
      <c r="S3113">
        <f>IMAGE("https://mitra.stanford.edu/kundaje/oak/projects/neuro-variants/variant_position/credible/roussos_2024/variant_figures/roussos_2024.adolescence.GLU/rs17867553_count_position.png",4,220,900)</f>
        <v/>
      </c>
      <c r="T3113">
        <f>IMAGE("https://mitra.stanford.edu/kundaje/oak/projects/neuro-variants/variant_position/credible/roussos_2024/variant_figures/roussos_2024.adolescence.GLU/rs17867553_profile_position.png",4,220,900)</f>
        <v/>
      </c>
    </row>
    <row r="3114">
      <c r="A3114" t="inlineStr">
        <is>
          <t>chr4</t>
        </is>
      </c>
      <c r="B3114" t="n">
        <v>117773188</v>
      </c>
      <c r="C3114" t="inlineStr">
        <is>
          <t>G</t>
        </is>
      </c>
      <c r="D3114" t="inlineStr">
        <is>
          <t>T</t>
        </is>
      </c>
      <c r="E3114" t="inlineStr">
        <is>
          <t>rs1459540</t>
        </is>
      </c>
      <c r="F3114" t="n">
        <v>-0.028470883</v>
      </c>
      <c r="G3114" t="n">
        <v>0.1920447253651399</v>
      </c>
      <c r="H3114" t="n">
        <v>0.010902270848251</v>
      </c>
      <c r="I3114" t="n">
        <v>0.430415883844882</v>
      </c>
      <c r="J3114" t="n">
        <v>0.2600238620857177</v>
      </c>
      <c r="K3114" t="n">
        <v>0.3212351482091271</v>
      </c>
      <c r="L3114" t="b">
        <v>0</v>
      </c>
      <c r="M3114" t="b">
        <v>0</v>
      </c>
      <c r="N3114" t="inlineStr">
        <is>
          <t>ref</t>
        </is>
      </c>
      <c r="O3114" t="n">
        <v>5</v>
      </c>
      <c r="P3114" t="n">
        <v>5.72e-05</v>
      </c>
      <c r="Q3114" t="n">
        <v>35</v>
      </c>
      <c r="R3114" t="n">
        <v>0.02405</v>
      </c>
      <c r="S3114">
        <f>IMAGE("https://mitra.stanford.edu/kundaje/oak/projects/neuro-variants/variant_position/credible/roussos_2024/variant_figures/roussos_2024.adolescence.GLU/rs1459540_count_position.png",4,220,900)</f>
        <v/>
      </c>
      <c r="T3114">
        <f>IMAGE("https://mitra.stanford.edu/kundaje/oak/projects/neuro-variants/variant_position/credible/roussos_2024/variant_figures/roussos_2024.adolescence.GLU/rs1459540_profile_position.png",4,220,900)</f>
        <v/>
      </c>
    </row>
    <row r="3115">
      <c r="A3115" t="inlineStr">
        <is>
          <t>chr4</t>
        </is>
      </c>
      <c r="B3115" t="n">
        <v>117776551</v>
      </c>
      <c r="C3115" t="inlineStr">
        <is>
          <t>G</t>
        </is>
      </c>
      <c r="D3115" t="inlineStr">
        <is>
          <t>A</t>
        </is>
      </c>
      <c r="E3115" t="inlineStr">
        <is>
          <t>rs17861256</t>
        </is>
      </c>
      <c r="F3115" t="n">
        <v>0.00282688424</v>
      </c>
      <c r="G3115" t="n">
        <v>0.748392637430825</v>
      </c>
      <c r="H3115" t="n">
        <v>0.0308913811161695</v>
      </c>
      <c r="I3115" t="n">
        <v>0.0076855858960577</v>
      </c>
      <c r="J3115" t="n">
        <v>0.0049967493266461</v>
      </c>
      <c r="K3115" t="n">
        <v>0.9242136153504036</v>
      </c>
      <c r="L3115" t="b">
        <v>0</v>
      </c>
      <c r="M3115" t="b">
        <v>0</v>
      </c>
      <c r="N3115" t="inlineStr">
        <is>
          <t>alt</t>
        </is>
      </c>
      <c r="O3115" t="n">
        <v>75</v>
      </c>
      <c r="P3115" t="n">
        <v>0.004284</v>
      </c>
      <c r="Q3115" t="n">
        <v>-15</v>
      </c>
      <c r="R3115" t="n">
        <v>0.03394</v>
      </c>
      <c r="S3115">
        <f>IMAGE("https://mitra.stanford.edu/kundaje/oak/projects/neuro-variants/variant_position/credible/roussos_2024/variant_figures/roussos_2024.adolescence.GLU/rs17861256_count_position.png",4,220,900)</f>
        <v/>
      </c>
      <c r="T3115">
        <f>IMAGE("https://mitra.stanford.edu/kundaje/oak/projects/neuro-variants/variant_position/credible/roussos_2024/variant_figures/roussos_2024.adolescence.GLU/rs17861256_profile_position.png",4,220,900)</f>
        <v/>
      </c>
    </row>
    <row r="3116">
      <c r="A3116" t="inlineStr">
        <is>
          <t>chr4</t>
        </is>
      </c>
      <c r="B3116" t="n">
        <v>117778480</v>
      </c>
      <c r="C3116" t="inlineStr">
        <is>
          <t>G</t>
        </is>
      </c>
      <c r="D3116" t="inlineStr">
        <is>
          <t>A</t>
        </is>
      </c>
      <c r="E3116" t="inlineStr">
        <is>
          <t>rs1350616</t>
        </is>
      </c>
      <c r="F3116" t="n">
        <v>-0.0039614935</v>
      </c>
      <c r="G3116" t="n">
        <v>0.6988848182321623</v>
      </c>
      <c r="H3116" t="n">
        <v>0.018284153010328</v>
      </c>
      <c r="I3116" t="n">
        <v>0.080472183043486</v>
      </c>
      <c r="J3116" t="n">
        <v>0.0249108743954104</v>
      </c>
      <c r="K3116" t="n">
        <v>0.802731083765962</v>
      </c>
      <c r="L3116" t="b">
        <v>0</v>
      </c>
      <c r="M3116" t="b">
        <v>0</v>
      </c>
      <c r="N3116" t="inlineStr">
        <is>
          <t>ref</t>
        </is>
      </c>
      <c r="O3116" t="n">
        <v>-75</v>
      </c>
      <c r="P3116" t="n">
        <v>0.004944</v>
      </c>
      <c r="Q3116" t="n">
        <v>-45</v>
      </c>
      <c r="R3116" t="n">
        <v>0.08210000000000001</v>
      </c>
      <c r="S3116">
        <f>IMAGE("https://mitra.stanford.edu/kundaje/oak/projects/neuro-variants/variant_position/credible/roussos_2024/variant_figures/roussos_2024.adolescence.GLU/rs1350616_count_position.png",4,220,900)</f>
        <v/>
      </c>
      <c r="T3116">
        <f>IMAGE("https://mitra.stanford.edu/kundaje/oak/projects/neuro-variants/variant_position/credible/roussos_2024/variant_figures/roussos_2024.adolescence.GLU/rs1350616_profile_position.png",4,220,900)</f>
        <v/>
      </c>
    </row>
    <row r="3117">
      <c r="A3117" t="inlineStr">
        <is>
          <t>chr4</t>
        </is>
      </c>
      <c r="B3117" t="n">
        <v>117781119</v>
      </c>
      <c r="C3117" t="inlineStr">
        <is>
          <t>C</t>
        </is>
      </c>
      <c r="D3117" t="inlineStr">
        <is>
          <t>A</t>
        </is>
      </c>
      <c r="E3117" t="inlineStr">
        <is>
          <t>rs4295331</t>
        </is>
      </c>
      <c r="F3117" t="n">
        <v>-0.0071884278399999</v>
      </c>
      <c r="G3117" t="n">
        <v>0.6362579363569023</v>
      </c>
      <c r="H3117" t="n">
        <v>0.0139142312230913</v>
      </c>
      <c r="I3117" t="n">
        <v>0.2108980646107554</v>
      </c>
      <c r="J3117" t="n">
        <v>0.0012016774903372</v>
      </c>
      <c r="K3117" t="n">
        <v>0.9673607962639034</v>
      </c>
      <c r="L3117" t="b">
        <v>0</v>
      </c>
      <c r="M3117" t="b">
        <v>0</v>
      </c>
      <c r="N3117" t="inlineStr">
        <is>
          <t>ref</t>
        </is>
      </c>
      <c r="O3117" t="n">
        <v>-60</v>
      </c>
      <c r="P3117" t="n">
        <v>0.001547</v>
      </c>
      <c r="Q3117" t="n">
        <v>90</v>
      </c>
      <c r="R3117" t="n">
        <v>0.01895</v>
      </c>
      <c r="S3117">
        <f>IMAGE("https://mitra.stanford.edu/kundaje/oak/projects/neuro-variants/variant_position/credible/roussos_2024/variant_figures/roussos_2024.adolescence.GLU/rs4295331_count_position.png",4,220,900)</f>
        <v/>
      </c>
      <c r="T3117">
        <f>IMAGE("https://mitra.stanford.edu/kundaje/oak/projects/neuro-variants/variant_position/credible/roussos_2024/variant_figures/roussos_2024.adolescence.GLU/rs4295331_profile_position.png",4,220,900)</f>
        <v/>
      </c>
    </row>
    <row r="3118">
      <c r="A3118" t="inlineStr">
        <is>
          <t>chr4</t>
        </is>
      </c>
      <c r="B3118" t="n">
        <v>117782152</v>
      </c>
      <c r="C3118" t="inlineStr">
        <is>
          <t>C</t>
        </is>
      </c>
      <c r="D3118" t="inlineStr">
        <is>
          <t>T</t>
        </is>
      </c>
      <c r="E3118" t="inlineStr">
        <is>
          <t>rs1380370</t>
        </is>
      </c>
      <c r="F3118" t="n">
        <v>0.001912261118</v>
      </c>
      <c r="G3118" t="n">
        <v>0.8655648615942326</v>
      </c>
      <c r="H3118" t="n">
        <v>0.0211020922786637</v>
      </c>
      <c r="I3118" t="n">
        <v>0.0450013563345082</v>
      </c>
      <c r="J3118" t="n">
        <v>0.0017603646469625</v>
      </c>
      <c r="K3118" t="n">
        <v>0.9582462784960916</v>
      </c>
      <c r="L3118" t="b">
        <v>0</v>
      </c>
      <c r="M3118" t="b">
        <v>0</v>
      </c>
      <c r="N3118" t="inlineStr">
        <is>
          <t>alt</t>
        </is>
      </c>
      <c r="O3118" t="n">
        <v>-100</v>
      </c>
      <c r="P3118" t="n">
        <v>0.006775</v>
      </c>
      <c r="Q3118" t="n">
        <v>65</v>
      </c>
      <c r="R3118" t="n">
        <v>0.04422</v>
      </c>
      <c r="S3118">
        <f>IMAGE("https://mitra.stanford.edu/kundaje/oak/projects/neuro-variants/variant_position/credible/roussos_2024/variant_figures/roussos_2024.adolescence.GLU/rs1380370_count_position.png",4,220,900)</f>
        <v/>
      </c>
      <c r="T3118">
        <f>IMAGE("https://mitra.stanford.edu/kundaje/oak/projects/neuro-variants/variant_position/credible/roussos_2024/variant_figures/roussos_2024.adolescence.GLU/rs1380370_profile_position.png",4,220,900)</f>
        <v/>
      </c>
    </row>
    <row r="3119">
      <c r="A3119" t="inlineStr">
        <is>
          <t>chr4</t>
        </is>
      </c>
      <c r="B3119" t="n">
        <v>117783014</v>
      </c>
      <c r="C3119" t="inlineStr">
        <is>
          <t>G</t>
        </is>
      </c>
      <c r="D3119" t="inlineStr">
        <is>
          <t>A</t>
        </is>
      </c>
      <c r="E3119" t="inlineStr">
        <is>
          <t>rs4516794</t>
        </is>
      </c>
      <c r="F3119" t="n">
        <v>-0.0494122538</v>
      </c>
      <c r="G3119" t="n">
        <v>0.06792417767921791</v>
      </c>
      <c r="H3119" t="n">
        <v>0.0148589754437429</v>
      </c>
      <c r="I3119" t="n">
        <v>0.1655813807418832</v>
      </c>
      <c r="J3119" t="n">
        <v>0.009930628487329399</v>
      </c>
      <c r="K3119" t="n">
        <v>0.8802236817325628</v>
      </c>
      <c r="L3119" t="b">
        <v>0</v>
      </c>
      <c r="M3119" t="b">
        <v>0</v>
      </c>
      <c r="N3119" t="inlineStr">
        <is>
          <t>ref</t>
        </is>
      </c>
      <c r="O3119" t="n">
        <v>-20</v>
      </c>
      <c r="P3119" t="n">
        <v>0.000904</v>
      </c>
      <c r="Q3119" t="n">
        <v>20</v>
      </c>
      <c r="R3119" t="n">
        <v>0.01917</v>
      </c>
      <c r="S3119">
        <f>IMAGE("https://mitra.stanford.edu/kundaje/oak/projects/neuro-variants/variant_position/credible/roussos_2024/variant_figures/roussos_2024.adolescence.GLU/rs4516794_count_position.png",4,220,900)</f>
        <v/>
      </c>
      <c r="T3119">
        <f>IMAGE("https://mitra.stanford.edu/kundaje/oak/projects/neuro-variants/variant_position/credible/roussos_2024/variant_figures/roussos_2024.adolescence.GLU/rs4516794_profile_position.png",4,220,900)</f>
        <v/>
      </c>
    </row>
    <row r="3120">
      <c r="A3120" t="inlineStr">
        <is>
          <t>chr4</t>
        </is>
      </c>
      <c r="B3120" t="n">
        <v>117784084</v>
      </c>
      <c r="C3120" t="inlineStr">
        <is>
          <t>G</t>
        </is>
      </c>
      <c r="D3120" t="inlineStr">
        <is>
          <t>C</t>
        </is>
      </c>
      <c r="E3120" t="inlineStr">
        <is>
          <t>rs4568305</t>
        </is>
      </c>
      <c r="F3120" t="n">
        <v>0.0221871875999999</v>
      </c>
      <c r="G3120" t="n">
        <v>0.249934175749582</v>
      </c>
      <c r="H3120" t="n">
        <v>0.0144082313925915</v>
      </c>
      <c r="I3120" t="n">
        <v>0.1937231704673135</v>
      </c>
      <c r="J3120" t="n">
        <v>0.0986432903958676</v>
      </c>
      <c r="K3120" t="n">
        <v>0.5695757057992591</v>
      </c>
      <c r="L3120" t="b">
        <v>0</v>
      </c>
      <c r="M3120" t="b">
        <v>0</v>
      </c>
      <c r="N3120" t="inlineStr">
        <is>
          <t>alt</t>
        </is>
      </c>
      <c r="O3120" t="n">
        <v>-100</v>
      </c>
      <c r="P3120" t="n">
        <v>0.0283</v>
      </c>
      <c r="Q3120" t="n">
        <v>-100</v>
      </c>
      <c r="R3120" t="n">
        <v>0.1874</v>
      </c>
      <c r="S3120">
        <f>IMAGE("https://mitra.stanford.edu/kundaje/oak/projects/neuro-variants/variant_position/credible/roussos_2024/variant_figures/roussos_2024.adolescence.GLU/rs4568305_count_position.png",4,220,900)</f>
        <v/>
      </c>
      <c r="T3120">
        <f>IMAGE("https://mitra.stanford.edu/kundaje/oak/projects/neuro-variants/variant_position/credible/roussos_2024/variant_figures/roussos_2024.adolescence.GLU/rs4568305_profile_position.png",4,220,900)</f>
        <v/>
      </c>
    </row>
    <row r="3121">
      <c r="A3121" t="inlineStr">
        <is>
          <t>chr4</t>
        </is>
      </c>
      <c r="B3121" t="n">
        <v>117785060</v>
      </c>
      <c r="C3121" t="inlineStr">
        <is>
          <t>C</t>
        </is>
      </c>
      <c r="D3121" t="inlineStr">
        <is>
          <t>A</t>
        </is>
      </c>
      <c r="E3121" t="inlineStr">
        <is>
          <t>rs7661175</t>
        </is>
      </c>
      <c r="F3121" t="n">
        <v>-0.0029189304</v>
      </c>
      <c r="G3121" t="n">
        <v>0.804380626162167</v>
      </c>
      <c r="H3121" t="n">
        <v>0.0173339061812503</v>
      </c>
      <c r="I3121" t="n">
        <v>0.0952664440459096</v>
      </c>
      <c r="J3121" t="n">
        <v>2.571961334847933e-05</v>
      </c>
      <c r="K3121" t="n">
        <v>0.9986264405850008</v>
      </c>
      <c r="L3121" t="b">
        <v>0</v>
      </c>
      <c r="M3121" t="b">
        <v>0</v>
      </c>
      <c r="N3121" t="inlineStr">
        <is>
          <t>ref</t>
        </is>
      </c>
      <c r="O3121" t="n">
        <v>-20</v>
      </c>
      <c r="P3121" t="n">
        <v>0.004196</v>
      </c>
      <c r="Q3121" t="n">
        <v>-25</v>
      </c>
      <c r="R3121" t="n">
        <v>0.003296</v>
      </c>
      <c r="S3121">
        <f>IMAGE("https://mitra.stanford.edu/kundaje/oak/projects/neuro-variants/variant_position/credible/roussos_2024/variant_figures/roussos_2024.adolescence.GLU/rs7661175_count_position.png",4,220,900)</f>
        <v/>
      </c>
      <c r="T3121">
        <f>IMAGE("https://mitra.stanford.edu/kundaje/oak/projects/neuro-variants/variant_position/credible/roussos_2024/variant_figures/roussos_2024.adolescence.GLU/rs7661175_profile_position.png",4,220,900)</f>
        <v/>
      </c>
    </row>
    <row r="3122">
      <c r="A3122" t="inlineStr">
        <is>
          <t>chr4</t>
        </is>
      </c>
      <c r="B3122" t="n">
        <v>117805467</v>
      </c>
      <c r="C3122" t="inlineStr">
        <is>
          <t>G</t>
        </is>
      </c>
      <c r="D3122" t="inlineStr">
        <is>
          <t>A</t>
        </is>
      </c>
      <c r="E3122" t="inlineStr">
        <is>
          <t>rs1350617</t>
        </is>
      </c>
      <c r="F3122" t="n">
        <v>-0.0489514172</v>
      </c>
      <c r="G3122" t="n">
        <v>0.07059685962220549</v>
      </c>
      <c r="H3122" t="n">
        <v>0.0127161024390816</v>
      </c>
      <c r="I3122" t="n">
        <v>0.2819696308881921</v>
      </c>
      <c r="J3122" t="n">
        <v>0.06772831515099551</v>
      </c>
      <c r="K3122" t="n">
        <v>0.6449406772847074</v>
      </c>
      <c r="L3122" t="b">
        <v>0</v>
      </c>
      <c r="M3122" t="b">
        <v>0</v>
      </c>
      <c r="N3122" t="inlineStr">
        <is>
          <t>ref</t>
        </is>
      </c>
      <c r="O3122" t="n">
        <v>-75</v>
      </c>
      <c r="P3122" t="n">
        <v>0.00919</v>
      </c>
      <c r="Q3122" t="n">
        <v>-75</v>
      </c>
      <c r="R3122" t="n">
        <v>0.0347</v>
      </c>
      <c r="S3122">
        <f>IMAGE("https://mitra.stanford.edu/kundaje/oak/projects/neuro-variants/variant_position/credible/roussos_2024/variant_figures/roussos_2024.adolescence.GLU/rs1350617_count_position.png",4,220,900)</f>
        <v/>
      </c>
      <c r="T3122">
        <f>IMAGE("https://mitra.stanford.edu/kundaje/oak/projects/neuro-variants/variant_position/credible/roussos_2024/variant_figures/roussos_2024.adolescence.GLU/rs1350617_profile_position.png",4,220,900)</f>
        <v/>
      </c>
    </row>
    <row r="3123">
      <c r="A3123" t="inlineStr">
        <is>
          <t>chr4</t>
        </is>
      </c>
      <c r="B3123" t="n">
        <v>117806257</v>
      </c>
      <c r="C3123" t="inlineStr">
        <is>
          <t>A</t>
        </is>
      </c>
      <c r="D3123" t="inlineStr">
        <is>
          <t>G</t>
        </is>
      </c>
      <c r="E3123" t="inlineStr">
        <is>
          <t>rs17863939</t>
        </is>
      </c>
      <c r="F3123" t="n">
        <v>-0.0609551218</v>
      </c>
      <c r="G3123" t="n">
        <v>0.041702263110058</v>
      </c>
      <c r="H3123" t="n">
        <v>0.0245450020651277</v>
      </c>
      <c r="I3123" t="n">
        <v>0.0213225696432869</v>
      </c>
      <c r="J3123" t="n">
        <v>0.0825199505611876</v>
      </c>
      <c r="K3123" t="n">
        <v>0.6140831274912434</v>
      </c>
      <c r="L3123" t="b">
        <v>0</v>
      </c>
      <c r="M3123" t="b">
        <v>0</v>
      </c>
      <c r="N3123" t="inlineStr">
        <is>
          <t>ref</t>
        </is>
      </c>
      <c r="O3123" t="n">
        <v>100</v>
      </c>
      <c r="P3123" t="n">
        <v>0.002396</v>
      </c>
      <c r="Q3123" t="n">
        <v>100</v>
      </c>
      <c r="R3123" t="n">
        <v>0.074</v>
      </c>
      <c r="S3123">
        <f>IMAGE("https://mitra.stanford.edu/kundaje/oak/projects/neuro-variants/variant_position/credible/roussos_2024/variant_figures/roussos_2024.adolescence.GLU/rs17863939_count_position.png",4,220,900)</f>
        <v/>
      </c>
      <c r="T3123">
        <f>IMAGE("https://mitra.stanford.edu/kundaje/oak/projects/neuro-variants/variant_position/credible/roussos_2024/variant_figures/roussos_2024.adolescence.GLU/rs17863939_profile_position.png",4,220,900)</f>
        <v/>
      </c>
    </row>
    <row r="3124">
      <c r="A3124" t="inlineStr">
        <is>
          <t>chr4</t>
        </is>
      </c>
      <c r="B3124" t="n">
        <v>117807611</v>
      </c>
      <c r="C3124" t="inlineStr">
        <is>
          <t>A</t>
        </is>
      </c>
      <c r="D3124" t="inlineStr">
        <is>
          <t>G</t>
        </is>
      </c>
      <c r="E3124" t="inlineStr">
        <is>
          <t>rs9995094</t>
        </is>
      </c>
      <c r="F3124" t="n">
        <v>-0.0024932234499999</v>
      </c>
      <c r="G3124" t="n">
        <v>0.7563019672624822</v>
      </c>
      <c r="H3124" t="n">
        <v>0.0129167599876762</v>
      </c>
      <c r="I3124" t="n">
        <v>0.2492462436726403</v>
      </c>
      <c r="J3124" t="n">
        <v>0.0371419794100205</v>
      </c>
      <c r="K3124" t="n">
        <v>0.7458251127823032</v>
      </c>
      <c r="L3124" t="b">
        <v>0</v>
      </c>
      <c r="M3124" t="b">
        <v>0</v>
      </c>
      <c r="N3124" t="inlineStr">
        <is>
          <t>ref</t>
        </is>
      </c>
      <c r="O3124" t="n">
        <v>-60</v>
      </c>
      <c r="P3124" t="n">
        <v>0.002777</v>
      </c>
      <c r="Q3124" t="n">
        <v>-100</v>
      </c>
      <c r="R3124" t="n">
        <v>0.06665</v>
      </c>
      <c r="S3124">
        <f>IMAGE("https://mitra.stanford.edu/kundaje/oak/projects/neuro-variants/variant_position/credible/roussos_2024/variant_figures/roussos_2024.adolescence.GLU/rs9995094_count_position.png",4,220,900)</f>
        <v/>
      </c>
      <c r="T3124">
        <f>IMAGE("https://mitra.stanford.edu/kundaje/oak/projects/neuro-variants/variant_position/credible/roussos_2024/variant_figures/roussos_2024.adolescence.GLU/rs9995094_profile_position.png",4,220,900)</f>
        <v/>
      </c>
    </row>
    <row r="3125">
      <c r="A3125" t="inlineStr">
        <is>
          <t>chr4</t>
        </is>
      </c>
      <c r="B3125" t="n">
        <v>117812502</v>
      </c>
      <c r="C3125" t="inlineStr">
        <is>
          <t>C</t>
        </is>
      </c>
      <c r="D3125" t="inlineStr">
        <is>
          <t>A</t>
        </is>
      </c>
      <c r="E3125" t="inlineStr">
        <is>
          <t>rs17865121</t>
        </is>
      </c>
      <c r="F3125" t="n">
        <v>0.0894297793</v>
      </c>
      <c r="G3125" t="n">
        <v>0.0431893149699304</v>
      </c>
      <c r="H3125" t="n">
        <v>0.0327001245465094</v>
      </c>
      <c r="I3125" t="n">
        <v>0.0312217373477991</v>
      </c>
      <c r="J3125" t="n">
        <v>0.07757749819605481</v>
      </c>
      <c r="K3125" t="n">
        <v>0.6183503421975324</v>
      </c>
      <c r="L3125" t="b">
        <v>0</v>
      </c>
      <c r="M3125" t="b">
        <v>0</v>
      </c>
      <c r="N3125" t="inlineStr">
        <is>
          <t>alt</t>
        </is>
      </c>
      <c r="O3125" t="n">
        <v>-35</v>
      </c>
      <c r="P3125" t="n">
        <v>0.00408</v>
      </c>
      <c r="Q3125" t="n">
        <v>100</v>
      </c>
      <c r="R3125" t="n">
        <v>0.17</v>
      </c>
      <c r="S3125">
        <f>IMAGE("https://mitra.stanford.edu/kundaje/oak/projects/neuro-variants/variant_position/credible/roussos_2024/variant_figures/roussos_2024.adolescence.GLU/rs17865121_count_position.png",4,220,900)</f>
        <v/>
      </c>
      <c r="T3125">
        <f>IMAGE("https://mitra.stanford.edu/kundaje/oak/projects/neuro-variants/variant_position/credible/roussos_2024/variant_figures/roussos_2024.adolescence.GLU/rs17865121_profile_position.png",4,220,900)</f>
        <v/>
      </c>
    </row>
    <row r="3126">
      <c r="A3126" t="inlineStr">
        <is>
          <t>chr4</t>
        </is>
      </c>
      <c r="B3126" t="n">
        <v>117815750</v>
      </c>
      <c r="C3126" t="inlineStr">
        <is>
          <t>G</t>
        </is>
      </c>
      <c r="D3126" t="inlineStr">
        <is>
          <t>C</t>
        </is>
      </c>
      <c r="E3126" t="inlineStr">
        <is>
          <t>rs6824201</t>
        </is>
      </c>
      <c r="F3126" t="n">
        <v>0.0717661154</v>
      </c>
      <c r="G3126" t="n">
        <v>0.042124645170061</v>
      </c>
      <c r="H3126" t="n">
        <v>0.0208388035098314</v>
      </c>
      <c r="I3126" t="n">
        <v>0.09863124092730011</v>
      </c>
      <c r="J3126" t="n">
        <v>0.0568946424616527</v>
      </c>
      <c r="K3126" t="n">
        <v>0.6762764874814861</v>
      </c>
      <c r="L3126" t="b">
        <v>0</v>
      </c>
      <c r="M3126" t="b">
        <v>0</v>
      </c>
      <c r="N3126" t="inlineStr">
        <is>
          <t>alt</t>
        </is>
      </c>
      <c r="O3126" t="n">
        <v>40</v>
      </c>
      <c r="P3126" t="n">
        <v>0.00851</v>
      </c>
      <c r="Q3126" t="n">
        <v>-50</v>
      </c>
      <c r="R3126" t="n">
        <v>0.05737</v>
      </c>
      <c r="S3126">
        <f>IMAGE("https://mitra.stanford.edu/kundaje/oak/projects/neuro-variants/variant_position/credible/roussos_2024/variant_figures/roussos_2024.adolescence.GLU/rs6824201_count_position.png",4,220,900)</f>
        <v/>
      </c>
      <c r="T3126">
        <f>IMAGE("https://mitra.stanford.edu/kundaje/oak/projects/neuro-variants/variant_position/credible/roussos_2024/variant_figures/roussos_2024.adolescence.GLU/rs6824201_profile_position.png",4,220,900)</f>
        <v/>
      </c>
    </row>
    <row r="3127">
      <c r="A3127" t="inlineStr">
        <is>
          <t>chr4</t>
        </is>
      </c>
      <c r="B3127" t="n">
        <v>117825076</v>
      </c>
      <c r="C3127" t="inlineStr">
        <is>
          <t>A</t>
        </is>
      </c>
      <c r="D3127" t="inlineStr">
        <is>
          <t>C</t>
        </is>
      </c>
      <c r="E3127" t="inlineStr">
        <is>
          <t>rs1459530</t>
        </is>
      </c>
      <c r="F3127" t="n">
        <v>-0.01242030782</v>
      </c>
      <c r="G3127" t="n">
        <v>0.488216900919436</v>
      </c>
      <c r="H3127" t="n">
        <v>0.0170716820883886</v>
      </c>
      <c r="I3127" t="n">
        <v>0.1044115881418031</v>
      </c>
      <c r="J3127" t="n">
        <v>0.1463474576876638</v>
      </c>
      <c r="K3127" t="n">
        <v>0.4880383201613264</v>
      </c>
      <c r="L3127" t="b">
        <v>0</v>
      </c>
      <c r="M3127" t="b">
        <v>0</v>
      </c>
      <c r="N3127" t="inlineStr">
        <is>
          <t>ref</t>
        </is>
      </c>
      <c r="O3127" t="n">
        <v>-100</v>
      </c>
      <c r="P3127" t="n">
        <v>0.02109</v>
      </c>
      <c r="Q3127" t="n">
        <v>35</v>
      </c>
      <c r="R3127" t="n">
        <v>0.009315</v>
      </c>
      <c r="S3127">
        <f>IMAGE("https://mitra.stanford.edu/kundaje/oak/projects/neuro-variants/variant_position/credible/roussos_2024/variant_figures/roussos_2024.adolescence.GLU/rs1459530_count_position.png",4,220,900)</f>
        <v/>
      </c>
      <c r="T3127">
        <f>IMAGE("https://mitra.stanford.edu/kundaje/oak/projects/neuro-variants/variant_position/credible/roussos_2024/variant_figures/roussos_2024.adolescence.GLU/rs1459530_profile_position.png",4,220,900)</f>
        <v/>
      </c>
    </row>
    <row r="3128">
      <c r="A3128" t="inlineStr">
        <is>
          <t>chr4</t>
        </is>
      </c>
      <c r="B3128" t="n">
        <v>117833987</v>
      </c>
      <c r="C3128" t="inlineStr">
        <is>
          <t>T</t>
        </is>
      </c>
      <c r="D3128" t="inlineStr">
        <is>
          <t>C</t>
        </is>
      </c>
      <c r="E3128" t="inlineStr">
        <is>
          <t>rs4834639</t>
        </is>
      </c>
      <c r="F3128" t="n">
        <v>0.0268907589999999</v>
      </c>
      <c r="G3128" t="n">
        <v>0.1970847563905695</v>
      </c>
      <c r="H3128" t="n">
        <v>0.0161636343992871</v>
      </c>
      <c r="I3128" t="n">
        <v>0.1276861009723122</v>
      </c>
      <c r="J3128" t="n">
        <v>0.2093890877396031</v>
      </c>
      <c r="K3128" t="n">
        <v>0.3893877992450302</v>
      </c>
      <c r="L3128" t="b">
        <v>0</v>
      </c>
      <c r="M3128" t="b">
        <v>0</v>
      </c>
      <c r="N3128" t="inlineStr">
        <is>
          <t>alt</t>
        </is>
      </c>
      <c r="O3128" t="n">
        <v>80</v>
      </c>
      <c r="P3128" t="n">
        <v>0.0031</v>
      </c>
      <c r="Q3128" t="n">
        <v>-65</v>
      </c>
      <c r="R3128" t="n">
        <v>0.05524</v>
      </c>
      <c r="S3128">
        <f>IMAGE("https://mitra.stanford.edu/kundaje/oak/projects/neuro-variants/variant_position/credible/roussos_2024/variant_figures/roussos_2024.adolescence.GLU/rs4834639_count_position.png",4,220,900)</f>
        <v/>
      </c>
      <c r="T3128">
        <f>IMAGE("https://mitra.stanford.edu/kundaje/oak/projects/neuro-variants/variant_position/credible/roussos_2024/variant_figures/roussos_2024.adolescence.GLU/rs4834639_profile_position.png",4,220,900)</f>
        <v/>
      </c>
    </row>
    <row r="3129">
      <c r="A3129" t="inlineStr">
        <is>
          <t>chr4</t>
        </is>
      </c>
      <c r="B3129" t="n">
        <v>117861630</v>
      </c>
      <c r="C3129" t="inlineStr">
        <is>
          <t>C</t>
        </is>
      </c>
      <c r="D3129" t="inlineStr">
        <is>
          <t>A</t>
        </is>
      </c>
      <c r="E3129" t="inlineStr">
        <is>
          <t>rs4377658</t>
        </is>
      </c>
      <c r="F3129" t="n">
        <v>-0.00262874086</v>
      </c>
      <c r="G3129" t="n">
        <v>0.8086972946078903</v>
      </c>
      <c r="H3129" t="n">
        <v>0.0282427858005473</v>
      </c>
      <c r="I3129" t="n">
        <v>0.01143914968104</v>
      </c>
      <c r="J3129" t="n">
        <v>0.0078216201927541</v>
      </c>
      <c r="K3129" t="n">
        <v>0.8973330938292782</v>
      </c>
      <c r="L3129" t="b">
        <v>0</v>
      </c>
      <c r="M3129" t="b">
        <v>0</v>
      </c>
      <c r="N3129" t="inlineStr">
        <is>
          <t>ref</t>
        </is>
      </c>
      <c r="O3129" t="n">
        <v>-45</v>
      </c>
      <c r="P3129" t="n">
        <v>0.005188</v>
      </c>
      <c r="Q3129" t="n">
        <v>-95</v>
      </c>
      <c r="R3129" t="n">
        <v>0.04532</v>
      </c>
      <c r="S3129">
        <f>IMAGE("https://mitra.stanford.edu/kundaje/oak/projects/neuro-variants/variant_position/credible/roussos_2024/variant_figures/roussos_2024.adolescence.GLU/rs4377658_count_position.png",4,220,900)</f>
        <v/>
      </c>
      <c r="T3129">
        <f>IMAGE("https://mitra.stanford.edu/kundaje/oak/projects/neuro-variants/variant_position/credible/roussos_2024/variant_figures/roussos_2024.adolescence.GLU/rs4377658_profile_position.png",4,220,900)</f>
        <v/>
      </c>
    </row>
    <row r="3130">
      <c r="A3130" t="inlineStr">
        <is>
          <t>chr4</t>
        </is>
      </c>
      <c r="B3130" t="n">
        <v>117913276</v>
      </c>
      <c r="C3130" t="inlineStr">
        <is>
          <t>A</t>
        </is>
      </c>
      <c r="D3130" t="inlineStr">
        <is>
          <t>G</t>
        </is>
      </c>
      <c r="E3130" t="inlineStr">
        <is>
          <t>rs7680858</t>
        </is>
      </c>
      <c r="F3130" t="n">
        <v>0.0658468598</v>
      </c>
      <c r="G3130" t="n">
        <v>0.0336026032227134</v>
      </c>
      <c r="H3130" t="n">
        <v>0.0171764531740893</v>
      </c>
      <c r="I3130" t="n">
        <v>0.1146006244182687</v>
      </c>
      <c r="J3130" t="n">
        <v>0.0501232398139614</v>
      </c>
      <c r="K3130" t="n">
        <v>0.7027969197077482</v>
      </c>
      <c r="L3130" t="b">
        <v>0</v>
      </c>
      <c r="M3130" t="b">
        <v>0</v>
      </c>
      <c r="N3130" t="inlineStr">
        <is>
          <t>alt</t>
        </is>
      </c>
      <c r="O3130" t="n">
        <v>50</v>
      </c>
      <c r="P3130" t="n">
        <v>0.001508</v>
      </c>
      <c r="Q3130" t="n">
        <v>20</v>
      </c>
      <c r="R3130" t="n">
        <v>0.0105</v>
      </c>
      <c r="S3130">
        <f>IMAGE("https://mitra.stanford.edu/kundaje/oak/projects/neuro-variants/variant_position/credible/roussos_2024/variant_figures/roussos_2024.adolescence.GLU/rs7680858_count_position.png",4,220,900)</f>
        <v/>
      </c>
      <c r="T3130">
        <f>IMAGE("https://mitra.stanford.edu/kundaje/oak/projects/neuro-variants/variant_position/credible/roussos_2024/variant_figures/roussos_2024.adolescence.GLU/rs7680858_profile_position.png",4,220,900)</f>
        <v/>
      </c>
    </row>
    <row r="3131">
      <c r="A3131" t="inlineStr">
        <is>
          <t>chr4</t>
        </is>
      </c>
      <c r="B3131" t="n">
        <v>117917400</v>
      </c>
      <c r="C3131" t="inlineStr">
        <is>
          <t>A</t>
        </is>
      </c>
      <c r="D3131" t="inlineStr">
        <is>
          <t>G</t>
        </is>
      </c>
      <c r="E3131" t="inlineStr">
        <is>
          <t>rs67213843</t>
        </is>
      </c>
      <c r="F3131" t="n">
        <v>0.0555913258</v>
      </c>
      <c r="G3131" t="n">
        <v>0.0473786122904924</v>
      </c>
      <c r="H3131" t="n">
        <v>0.009030904266208501</v>
      </c>
      <c r="I3131" t="n">
        <v>0.651709900509827</v>
      </c>
      <c r="J3131" t="n">
        <v>0.3344435633095426</v>
      </c>
      <c r="K3131" t="n">
        <v>0.232255053475126</v>
      </c>
      <c r="L3131" t="b">
        <v>0</v>
      </c>
      <c r="M3131" t="b">
        <v>0</v>
      </c>
      <c r="N3131" t="inlineStr">
        <is>
          <t>alt</t>
        </is>
      </c>
      <c r="O3131" t="n">
        <v>-50</v>
      </c>
      <c r="P3131" t="n">
        <v>0.00452</v>
      </c>
      <c r="Q3131" t="n">
        <v>100</v>
      </c>
      <c r="R3131" t="n">
        <v>0.06383999999999999</v>
      </c>
      <c r="S3131">
        <f>IMAGE("https://mitra.stanford.edu/kundaje/oak/projects/neuro-variants/variant_position/credible/roussos_2024/variant_figures/roussos_2024.adolescence.GLU/rs67213843_count_position.png",4,220,900)</f>
        <v/>
      </c>
      <c r="T3131">
        <f>IMAGE("https://mitra.stanford.edu/kundaje/oak/projects/neuro-variants/variant_position/credible/roussos_2024/variant_figures/roussos_2024.adolescence.GLU/rs67213843_profile_position.png",4,220,900)</f>
        <v/>
      </c>
    </row>
    <row r="3132">
      <c r="A3132" t="inlineStr">
        <is>
          <t>chr4</t>
        </is>
      </c>
      <c r="B3132" t="n">
        <v>117929247</v>
      </c>
      <c r="C3132" t="inlineStr">
        <is>
          <t>A</t>
        </is>
      </c>
      <c r="D3132" t="inlineStr">
        <is>
          <t>G</t>
        </is>
      </c>
      <c r="E3132" t="inlineStr">
        <is>
          <t>rs55923363</t>
        </is>
      </c>
      <c r="F3132" t="n">
        <v>0.002485108292</v>
      </c>
      <c r="G3132" t="n">
        <v>0.5932488007402433</v>
      </c>
      <c r="H3132" t="n">
        <v>0.0101049164418115</v>
      </c>
      <c r="I3132" t="n">
        <v>0.5311518654407613</v>
      </c>
      <c r="J3132" t="n">
        <v>0.0317751534246379</v>
      </c>
      <c r="K3132" t="n">
        <v>0.763799015954417</v>
      </c>
      <c r="L3132" t="b">
        <v>0</v>
      </c>
      <c r="M3132" t="b">
        <v>0</v>
      </c>
      <c r="N3132" t="inlineStr">
        <is>
          <t>alt</t>
        </is>
      </c>
      <c r="O3132" t="n">
        <v>100</v>
      </c>
      <c r="P3132" t="n">
        <v>0.01703</v>
      </c>
      <c r="Q3132" t="n">
        <v>40</v>
      </c>
      <c r="R3132" t="n">
        <v>0.02475</v>
      </c>
      <c r="S3132">
        <f>IMAGE("https://mitra.stanford.edu/kundaje/oak/projects/neuro-variants/variant_position/credible/roussos_2024/variant_figures/roussos_2024.adolescence.GLU/rs55923363_count_position.png",4,220,900)</f>
        <v/>
      </c>
      <c r="T3132">
        <f>IMAGE("https://mitra.stanford.edu/kundaje/oak/projects/neuro-variants/variant_position/credible/roussos_2024/variant_figures/roussos_2024.adolescence.GLU/rs55923363_profile_position.png",4,220,900)</f>
        <v/>
      </c>
    </row>
    <row r="3133">
      <c r="A3133" t="inlineStr">
        <is>
          <t>chr4</t>
        </is>
      </c>
      <c r="B3133" t="n">
        <v>117931831</v>
      </c>
      <c r="C3133" t="inlineStr">
        <is>
          <t>C</t>
        </is>
      </c>
      <c r="D3133" t="inlineStr">
        <is>
          <t>T</t>
        </is>
      </c>
      <c r="E3133" t="inlineStr">
        <is>
          <t>rs28521069</t>
        </is>
      </c>
      <c r="F3133" t="n">
        <v>-0.0060737804799999</v>
      </c>
      <c r="G3133" t="n">
        <v>0.6351745133457313</v>
      </c>
      <c r="H3133" t="n">
        <v>0.0215078904398578</v>
      </c>
      <c r="I3133" t="n">
        <v>0.0398476922543404</v>
      </c>
      <c r="J3133" t="n">
        <v>0.0256938937351308</v>
      </c>
      <c r="K3133" t="n">
        <v>0.7923395630236441</v>
      </c>
      <c r="L3133" t="b">
        <v>0</v>
      </c>
      <c r="M3133" t="b">
        <v>0</v>
      </c>
      <c r="N3133" t="inlineStr">
        <is>
          <t>ref</t>
        </is>
      </c>
      <c r="O3133" t="n">
        <v>-100</v>
      </c>
      <c r="P3133" t="n">
        <v>0.002441</v>
      </c>
      <c r="Q3133" t="n">
        <v>100</v>
      </c>
      <c r="R3133" t="n">
        <v>0.0321</v>
      </c>
      <c r="S3133">
        <f>IMAGE("https://mitra.stanford.edu/kundaje/oak/projects/neuro-variants/variant_position/credible/roussos_2024/variant_figures/roussos_2024.adolescence.GLU/rs28521069_count_position.png",4,220,900)</f>
        <v/>
      </c>
      <c r="T3133">
        <f>IMAGE("https://mitra.stanford.edu/kundaje/oak/projects/neuro-variants/variant_position/credible/roussos_2024/variant_figures/roussos_2024.adolescence.GLU/rs28521069_profile_position.png",4,220,900)</f>
        <v/>
      </c>
    </row>
    <row r="3134">
      <c r="A3134" t="inlineStr">
        <is>
          <t>chr4</t>
        </is>
      </c>
      <c r="B3134" t="n">
        <v>117937561</v>
      </c>
      <c r="C3134" t="inlineStr">
        <is>
          <t>T</t>
        </is>
      </c>
      <c r="D3134" t="inlineStr">
        <is>
          <t>C</t>
        </is>
      </c>
      <c r="E3134" t="inlineStr">
        <is>
          <t>rs7666685</t>
        </is>
      </c>
      <c r="F3134" t="n">
        <v>0.00200454256</v>
      </c>
      <c r="G3134" t="n">
        <v>0.8231736704434653</v>
      </c>
      <c r="H3134" t="n">
        <v>0.0218699511172331</v>
      </c>
      <c r="I3134" t="n">
        <v>0.0357049749745574</v>
      </c>
      <c r="J3134" t="n">
        <v>0.0234762915175286</v>
      </c>
      <c r="K3134" t="n">
        <v>0.8006255184326588</v>
      </c>
      <c r="L3134" t="b">
        <v>0</v>
      </c>
      <c r="M3134" t="b">
        <v>0</v>
      </c>
      <c r="N3134" t="inlineStr">
        <is>
          <t>alt</t>
        </is>
      </c>
      <c r="O3134" t="n">
        <v>80</v>
      </c>
      <c r="P3134" t="n">
        <v>0.005123</v>
      </c>
      <c r="Q3134" t="n">
        <v>100</v>
      </c>
      <c r="R3134" t="n">
        <v>0.0313</v>
      </c>
      <c r="S3134">
        <f>IMAGE("https://mitra.stanford.edu/kundaje/oak/projects/neuro-variants/variant_position/credible/roussos_2024/variant_figures/roussos_2024.adolescence.GLU/rs7666685_count_position.png",4,220,900)</f>
        <v/>
      </c>
      <c r="T3134">
        <f>IMAGE("https://mitra.stanford.edu/kundaje/oak/projects/neuro-variants/variant_position/credible/roussos_2024/variant_figures/roussos_2024.adolescence.GLU/rs7666685_profile_position.png",4,220,900)</f>
        <v/>
      </c>
    </row>
    <row r="3135">
      <c r="A3135" t="inlineStr">
        <is>
          <t>chr4</t>
        </is>
      </c>
      <c r="B3135" t="n">
        <v>117946001</v>
      </c>
      <c r="C3135" t="inlineStr">
        <is>
          <t>A</t>
        </is>
      </c>
      <c r="D3135" t="inlineStr">
        <is>
          <t>G</t>
        </is>
      </c>
      <c r="E3135" t="inlineStr">
        <is>
          <t>rs6821845</t>
        </is>
      </c>
      <c r="F3135" t="n">
        <v>0.0596253872</v>
      </c>
      <c r="G3135" t="n">
        <v>0.0381212016668387</v>
      </c>
      <c r="H3135" t="n">
        <v>0.0132736045849734</v>
      </c>
      <c r="I3135" t="n">
        <v>0.2522984329213305</v>
      </c>
      <c r="J3135" t="n">
        <v>0.0844060555400761</v>
      </c>
      <c r="K3135" t="n">
        <v>0.6057897863739105</v>
      </c>
      <c r="L3135" t="b">
        <v>0</v>
      </c>
      <c r="M3135" t="b">
        <v>0</v>
      </c>
      <c r="N3135" t="inlineStr">
        <is>
          <t>alt</t>
        </is>
      </c>
      <c r="O3135" t="n">
        <v>-65</v>
      </c>
      <c r="P3135" t="n">
        <v>0.00406</v>
      </c>
      <c r="Q3135" t="n">
        <v>-75</v>
      </c>
      <c r="R3135" t="n">
        <v>0.02936</v>
      </c>
      <c r="S3135">
        <f>IMAGE("https://mitra.stanford.edu/kundaje/oak/projects/neuro-variants/variant_position/credible/roussos_2024/variant_figures/roussos_2024.adolescence.GLU/rs6821845_count_position.png",4,220,900)</f>
        <v/>
      </c>
      <c r="T3135">
        <f>IMAGE("https://mitra.stanford.edu/kundaje/oak/projects/neuro-variants/variant_position/credible/roussos_2024/variant_figures/roussos_2024.adolescence.GLU/rs6821845_profile_position.png",4,220,900)</f>
        <v/>
      </c>
    </row>
    <row r="3136">
      <c r="A3136" t="inlineStr">
        <is>
          <t>chr4</t>
        </is>
      </c>
      <c r="B3136" t="n">
        <v>117951461</v>
      </c>
      <c r="C3136" t="inlineStr">
        <is>
          <t>T</t>
        </is>
      </c>
      <c r="D3136" t="inlineStr">
        <is>
          <t>C</t>
        </is>
      </c>
      <c r="E3136" t="inlineStr">
        <is>
          <t>rs145065097</t>
        </is>
      </c>
      <c r="F3136" t="n">
        <v>0.0144204502999999</v>
      </c>
      <c r="G3136" t="n">
        <v>0.3953916277055067</v>
      </c>
      <c r="H3136" t="n">
        <v>0.009606706379098899</v>
      </c>
      <c r="I3136" t="n">
        <v>0.593837841240592</v>
      </c>
      <c r="J3136" t="n">
        <v>0.143035343035343</v>
      </c>
      <c r="K3136" t="n">
        <v>0.490149005558368</v>
      </c>
      <c r="L3136" t="b">
        <v>0</v>
      </c>
      <c r="M3136" t="b">
        <v>0</v>
      </c>
      <c r="N3136" t="inlineStr">
        <is>
          <t>alt</t>
        </is>
      </c>
      <c r="O3136" t="n">
        <v>85</v>
      </c>
      <c r="P3136" t="n">
        <v>0.007664</v>
      </c>
      <c r="Q3136" t="n">
        <v>-90</v>
      </c>
      <c r="R3136" t="n">
        <v>0.10596</v>
      </c>
      <c r="S3136">
        <f>IMAGE("https://mitra.stanford.edu/kundaje/oak/projects/neuro-variants/variant_position/credible/roussos_2024/variant_figures/roussos_2024.adolescence.GLU/rs145065097_count_position.png",4,220,900)</f>
        <v/>
      </c>
      <c r="T3136">
        <f>IMAGE("https://mitra.stanford.edu/kundaje/oak/projects/neuro-variants/variant_position/credible/roussos_2024/variant_figures/roussos_2024.adolescence.GLU/rs145065097_profile_position.png",4,220,900)</f>
        <v/>
      </c>
    </row>
    <row r="3137">
      <c r="A3137" t="inlineStr">
        <is>
          <t>chr4</t>
        </is>
      </c>
      <c r="B3137" t="n">
        <v>117956409</v>
      </c>
      <c r="C3137" t="inlineStr">
        <is>
          <t>G</t>
        </is>
      </c>
      <c r="D3137" t="inlineStr">
        <is>
          <t>A</t>
        </is>
      </c>
      <c r="E3137" t="inlineStr">
        <is>
          <t>rs12641736</t>
        </is>
      </c>
      <c r="F3137" t="n">
        <v>0.0189385667</v>
      </c>
      <c r="G3137" t="n">
        <v>0.3196341345525149</v>
      </c>
      <c r="H3137" t="n">
        <v>0.0164620817012568</v>
      </c>
      <c r="I3137" t="n">
        <v>0.1410835072051794</v>
      </c>
      <c r="J3137" t="n">
        <v>0.128072243536161</v>
      </c>
      <c r="K3137" t="n">
        <v>0.5135123897034983</v>
      </c>
      <c r="L3137" t="b">
        <v>0</v>
      </c>
      <c r="M3137" t="b">
        <v>0</v>
      </c>
      <c r="N3137" t="inlineStr">
        <is>
          <t>alt</t>
        </is>
      </c>
      <c r="O3137" t="n">
        <v>-100</v>
      </c>
      <c r="P3137" t="n">
        <v>0.001602</v>
      </c>
      <c r="Q3137" t="n">
        <v>95</v>
      </c>
      <c r="R3137" t="n">
        <v>0.08887</v>
      </c>
      <c r="S3137">
        <f>IMAGE("https://mitra.stanford.edu/kundaje/oak/projects/neuro-variants/variant_position/credible/roussos_2024/variant_figures/roussos_2024.adolescence.GLU/rs12641736_count_position.png",4,220,900)</f>
        <v/>
      </c>
      <c r="T3137">
        <f>IMAGE("https://mitra.stanford.edu/kundaje/oak/projects/neuro-variants/variant_position/credible/roussos_2024/variant_figures/roussos_2024.adolescence.GLU/rs12641736_profile_position.png",4,220,900)</f>
        <v/>
      </c>
    </row>
    <row r="3138">
      <c r="A3138" t="inlineStr">
        <is>
          <t>chr4</t>
        </is>
      </c>
      <c r="B3138" t="n">
        <v>117959589</v>
      </c>
      <c r="C3138" t="inlineStr">
        <is>
          <t>T</t>
        </is>
      </c>
      <c r="D3138" t="inlineStr">
        <is>
          <t>C</t>
        </is>
      </c>
      <c r="E3138" t="inlineStr">
        <is>
          <t>rs4834649</t>
        </is>
      </c>
      <c r="F3138" t="n">
        <v>-0.0101795433</v>
      </c>
      <c r="G3138" t="n">
        <v>0.5375447540029568</v>
      </c>
      <c r="H3138" t="n">
        <v>0.0271600379282133</v>
      </c>
      <c r="I3138" t="n">
        <v>0.0140853681677255</v>
      </c>
      <c r="J3138" t="n">
        <v>0.0213172728636645</v>
      </c>
      <c r="K3138" t="n">
        <v>0.8148875839015252</v>
      </c>
      <c r="L3138" t="b">
        <v>1</v>
      </c>
      <c r="M3138" t="b">
        <v>0</v>
      </c>
      <c r="N3138" t="inlineStr">
        <is>
          <t>ref</t>
        </is>
      </c>
      <c r="O3138" t="n">
        <v>-60</v>
      </c>
      <c r="P3138" t="n">
        <v>0.006287</v>
      </c>
      <c r="Q3138" t="n">
        <v>-100</v>
      </c>
      <c r="R3138" t="n">
        <v>0.0941</v>
      </c>
      <c r="S3138">
        <f>IMAGE("https://mitra.stanford.edu/kundaje/oak/projects/neuro-variants/variant_position/credible/roussos_2024/variant_figures/roussos_2024.adolescence.GLU/rs4834649_count_position.png",4,220,900)</f>
        <v/>
      </c>
      <c r="T3138">
        <f>IMAGE("https://mitra.stanford.edu/kundaje/oak/projects/neuro-variants/variant_position/credible/roussos_2024/variant_figures/roussos_2024.adolescence.GLU/rs4834649_profile_position.png",4,220,900)</f>
        <v/>
      </c>
    </row>
    <row r="3139">
      <c r="A3139" t="inlineStr">
        <is>
          <t>chr4</t>
        </is>
      </c>
      <c r="B3139" t="n">
        <v>117960299</v>
      </c>
      <c r="C3139" t="inlineStr">
        <is>
          <t>G</t>
        </is>
      </c>
      <c r="D3139" t="inlineStr">
        <is>
          <t>T</t>
        </is>
      </c>
      <c r="E3139" t="inlineStr">
        <is>
          <t>rs2389473</t>
        </is>
      </c>
      <c r="F3139" t="n">
        <v>0.0029211298599999</v>
      </c>
      <c r="G3139" t="n">
        <v>0.8012016928194039</v>
      </c>
      <c r="H3139" t="n">
        <v>0.0307570413362388</v>
      </c>
      <c r="I3139" t="n">
        <v>0.0077958148398236</v>
      </c>
      <c r="J3139" t="n">
        <v>0.0568246279586485</v>
      </c>
      <c r="K3139" t="n">
        <v>0.6837838282323975</v>
      </c>
      <c r="L3139" t="b">
        <v>1</v>
      </c>
      <c r="M3139" t="b">
        <v>1</v>
      </c>
      <c r="N3139" t="inlineStr">
        <is>
          <t>alt</t>
        </is>
      </c>
      <c r="O3139" t="n">
        <v>100</v>
      </c>
      <c r="P3139" t="n">
        <v>0.01935</v>
      </c>
      <c r="Q3139" t="n">
        <v>100</v>
      </c>
      <c r="R3139" t="n">
        <v>0.0832</v>
      </c>
      <c r="S3139">
        <f>IMAGE("https://mitra.stanford.edu/kundaje/oak/projects/neuro-variants/variant_position/credible/roussos_2024/variant_figures/roussos_2024.adolescence.GLU/rs2389473_count_position.png",4,220,900)</f>
        <v/>
      </c>
      <c r="T3139">
        <f>IMAGE("https://mitra.stanford.edu/kundaje/oak/projects/neuro-variants/variant_position/credible/roussos_2024/variant_figures/roussos_2024.adolescence.GLU/rs2389473_profile_position.png",4,220,900)</f>
        <v/>
      </c>
    </row>
    <row r="3140">
      <c r="A3140" t="inlineStr">
        <is>
          <t>chr4</t>
        </is>
      </c>
      <c r="B3140" t="n">
        <v>117976359</v>
      </c>
      <c r="C3140" t="inlineStr">
        <is>
          <t>T</t>
        </is>
      </c>
      <c r="D3140" t="inlineStr">
        <is>
          <t>C</t>
        </is>
      </c>
      <c r="E3140" t="inlineStr">
        <is>
          <t>rs13111689</t>
        </is>
      </c>
      <c r="F3140" t="n">
        <v>0.0621779816</v>
      </c>
      <c r="G3140" t="n">
        <v>0.0357151409195161</v>
      </c>
      <c r="H3140" t="n">
        <v>0.0177522906501515</v>
      </c>
      <c r="I3140" t="n">
        <v>0.1037386195568248</v>
      </c>
      <c r="J3140" t="n">
        <v>0.009873473790999499</v>
      </c>
      <c r="K3140" t="n">
        <v>0.8811027993205048</v>
      </c>
      <c r="L3140" t="b">
        <v>0</v>
      </c>
      <c r="M3140" t="b">
        <v>0</v>
      </c>
      <c r="N3140" t="inlineStr">
        <is>
          <t>alt</t>
        </is>
      </c>
      <c r="O3140" t="n">
        <v>-100</v>
      </c>
      <c r="P3140" t="n">
        <v>0.02713</v>
      </c>
      <c r="Q3140" t="n">
        <v>-25</v>
      </c>
      <c r="R3140" t="n">
        <v>0.01129</v>
      </c>
      <c r="S3140">
        <f>IMAGE("https://mitra.stanford.edu/kundaje/oak/projects/neuro-variants/variant_position/credible/roussos_2024/variant_figures/roussos_2024.adolescence.GLU/rs13111689_count_position.png",4,220,900)</f>
        <v/>
      </c>
      <c r="T3140">
        <f>IMAGE("https://mitra.stanford.edu/kundaje/oak/projects/neuro-variants/variant_position/credible/roussos_2024/variant_figures/roussos_2024.adolescence.GLU/rs13111689_profile_position.png",4,220,900)</f>
        <v/>
      </c>
    </row>
    <row r="3141">
      <c r="A3141" t="inlineStr">
        <is>
          <t>chr4</t>
        </is>
      </c>
      <c r="B3141" t="n">
        <v>117983309</v>
      </c>
      <c r="C3141" t="inlineStr">
        <is>
          <t>C</t>
        </is>
      </c>
      <c r="D3141" t="inlineStr">
        <is>
          <t>T</t>
        </is>
      </c>
      <c r="E3141" t="inlineStr">
        <is>
          <t>rs10005201</t>
        </is>
      </c>
      <c r="F3141" t="n">
        <v>-0.0001068137799999</v>
      </c>
      <c r="G3141" t="n">
        <v>0.8074034759422041</v>
      </c>
      <c r="H3141" t="n">
        <v>0.0381395938926795</v>
      </c>
      <c r="I3141" t="n">
        <v>0.0035655379980887</v>
      </c>
      <c r="J3141" t="n">
        <v>0.0025776768044808</v>
      </c>
      <c r="K3141" t="n">
        <v>0.9461048197413746</v>
      </c>
      <c r="L3141" t="b">
        <v>0</v>
      </c>
      <c r="M3141" t="b">
        <v>0</v>
      </c>
      <c r="N3141" t="inlineStr">
        <is>
          <t>ref</t>
        </is>
      </c>
      <c r="O3141" t="n">
        <v>80</v>
      </c>
      <c r="P3141" t="n">
        <v>0.004593</v>
      </c>
      <c r="Q3141" t="n">
        <v>-65</v>
      </c>
      <c r="R3141" t="n">
        <v>0.0372</v>
      </c>
      <c r="S3141">
        <f>IMAGE("https://mitra.stanford.edu/kundaje/oak/projects/neuro-variants/variant_position/credible/roussos_2024/variant_figures/roussos_2024.adolescence.GLU/rs10005201_count_position.png",4,220,900)</f>
        <v/>
      </c>
      <c r="T3141">
        <f>IMAGE("https://mitra.stanford.edu/kundaje/oak/projects/neuro-variants/variant_position/credible/roussos_2024/variant_figures/roussos_2024.adolescence.GLU/rs10005201_profile_position.png",4,220,900)</f>
        <v/>
      </c>
    </row>
    <row r="3142">
      <c r="A3142" t="inlineStr">
        <is>
          <t>chr4</t>
        </is>
      </c>
      <c r="B3142" t="n">
        <v>118005778</v>
      </c>
      <c r="C3142" t="inlineStr">
        <is>
          <t>A</t>
        </is>
      </c>
      <c r="D3142" t="inlineStr">
        <is>
          <t>G</t>
        </is>
      </c>
      <c r="E3142" t="inlineStr">
        <is>
          <t>rs1994381</t>
        </is>
      </c>
      <c r="F3142" t="n">
        <v>0.0104723744</v>
      </c>
      <c r="G3142" t="n">
        <v>0.4916528366471361</v>
      </c>
      <c r="H3142" t="n">
        <v>0.0152762173482992</v>
      </c>
      <c r="I3142" t="n">
        <v>0.1530528297575479</v>
      </c>
      <c r="J3142" t="n">
        <v>0.0621471590543755</v>
      </c>
      <c r="K3142" t="n">
        <v>0.6661713853297285</v>
      </c>
      <c r="L3142" t="b">
        <v>0</v>
      </c>
      <c r="M3142" t="b">
        <v>0</v>
      </c>
      <c r="N3142" t="inlineStr">
        <is>
          <t>alt</t>
        </is>
      </c>
      <c r="O3142" t="n">
        <v>-90</v>
      </c>
      <c r="P3142" t="n">
        <v>0.00486</v>
      </c>
      <c r="Q3142" t="n">
        <v>-90</v>
      </c>
      <c r="R3142" t="n">
        <v>0.06884999999999999</v>
      </c>
      <c r="S3142">
        <f>IMAGE("https://mitra.stanford.edu/kundaje/oak/projects/neuro-variants/variant_position/credible/roussos_2024/variant_figures/roussos_2024.adolescence.GLU/rs1994381_count_position.png",4,220,900)</f>
        <v/>
      </c>
      <c r="T3142">
        <f>IMAGE("https://mitra.stanford.edu/kundaje/oak/projects/neuro-variants/variant_position/credible/roussos_2024/variant_figures/roussos_2024.adolescence.GLU/rs1994381_profile_position.png",4,220,900)</f>
        <v/>
      </c>
    </row>
    <row r="3143">
      <c r="A3143" t="inlineStr">
        <is>
          <t>chr4</t>
        </is>
      </c>
      <c r="B3143" t="n">
        <v>118006805</v>
      </c>
      <c r="C3143" t="inlineStr">
        <is>
          <t>C</t>
        </is>
      </c>
      <c r="D3143" t="inlineStr">
        <is>
          <t>A</t>
        </is>
      </c>
      <c r="E3143" t="inlineStr">
        <is>
          <t>rs2892779</t>
        </is>
      </c>
      <c r="F3143" t="n">
        <v>0.00755267156</v>
      </c>
      <c r="G3143" t="n">
        <v>0.592197642279528</v>
      </c>
      <c r="H3143" t="n">
        <v>0.0247629458354429</v>
      </c>
      <c r="I3143" t="n">
        <v>0.020366845772085</v>
      </c>
      <c r="J3143" t="n">
        <v>0.0223946388894842</v>
      </c>
      <c r="K3143" t="n">
        <v>0.8049209654572781</v>
      </c>
      <c r="L3143" t="b">
        <v>0</v>
      </c>
      <c r="M3143" t="b">
        <v>0</v>
      </c>
      <c r="N3143" t="inlineStr">
        <is>
          <t>alt</t>
        </is>
      </c>
      <c r="O3143" t="n">
        <v>65</v>
      </c>
      <c r="P3143" t="n">
        <v>0.00698</v>
      </c>
      <c r="Q3143" t="n">
        <v>80</v>
      </c>
      <c r="R3143" t="n">
        <v>0.0639</v>
      </c>
      <c r="S3143">
        <f>IMAGE("https://mitra.stanford.edu/kundaje/oak/projects/neuro-variants/variant_position/credible/roussos_2024/variant_figures/roussos_2024.adolescence.GLU/rs2892779_count_position.png",4,220,900)</f>
        <v/>
      </c>
      <c r="T3143">
        <f>IMAGE("https://mitra.stanford.edu/kundaje/oak/projects/neuro-variants/variant_position/credible/roussos_2024/variant_figures/roussos_2024.adolescence.GLU/rs2892779_profile_position.png",4,220,900)</f>
        <v/>
      </c>
    </row>
    <row r="3144">
      <c r="A3144" t="inlineStr">
        <is>
          <t>chr4</t>
        </is>
      </c>
      <c r="B3144" t="n">
        <v>142816006</v>
      </c>
      <c r="C3144" t="inlineStr">
        <is>
          <t>G</t>
        </is>
      </c>
      <c r="D3144" t="inlineStr">
        <is>
          <t>A</t>
        </is>
      </c>
      <c r="E3144" t="inlineStr">
        <is>
          <t>rs1992418</t>
        </is>
      </c>
      <c r="F3144" t="n">
        <v>-0.0523839219999999</v>
      </c>
      <c r="G3144" t="n">
        <v>0.0584338324921973</v>
      </c>
      <c r="H3144" t="n">
        <v>0.0126889006917724</v>
      </c>
      <c r="I3144" t="n">
        <v>0.28396522840022</v>
      </c>
      <c r="J3144" t="n">
        <v>0.1773653113859299</v>
      </c>
      <c r="K3144" t="n">
        <v>0.4249411148722057</v>
      </c>
      <c r="L3144" t="b">
        <v>0</v>
      </c>
      <c r="M3144" t="b">
        <v>0</v>
      </c>
      <c r="N3144" t="inlineStr">
        <is>
          <t>ref</t>
        </is>
      </c>
      <c r="O3144" t="n">
        <v>0</v>
      </c>
      <c r="P3144" t="n">
        <v>0</v>
      </c>
      <c r="Q3144" t="n">
        <v>45</v>
      </c>
      <c r="R3144" t="n">
        <v>0.01294</v>
      </c>
      <c r="S3144">
        <f>IMAGE("https://mitra.stanford.edu/kundaje/oak/projects/neuro-variants/variant_position/credible/roussos_2024/variant_figures/roussos_2024.adolescence.GLU/rs1992418_count_position.png",4,220,900)</f>
        <v/>
      </c>
      <c r="T3144">
        <f>IMAGE("https://mitra.stanford.edu/kundaje/oak/projects/neuro-variants/variant_position/credible/roussos_2024/variant_figures/roussos_2024.adolescence.GLU/rs1992418_profile_position.png",4,220,900)</f>
        <v/>
      </c>
    </row>
    <row r="3145">
      <c r="A3145" t="inlineStr">
        <is>
          <t>chr4</t>
        </is>
      </c>
      <c r="B3145" t="n">
        <v>142880194</v>
      </c>
      <c r="C3145" t="inlineStr">
        <is>
          <t>C</t>
        </is>
      </c>
      <c r="D3145" t="inlineStr">
        <is>
          <t>G</t>
        </is>
      </c>
      <c r="E3145" t="inlineStr">
        <is>
          <t>rs6537131</t>
        </is>
      </c>
      <c r="F3145" t="n">
        <v>-0.00237578966</v>
      </c>
      <c r="G3145" t="n">
        <v>0.6991714026469619</v>
      </c>
      <c r="H3145" t="n">
        <v>0.0089762391926634</v>
      </c>
      <c r="I3145" t="n">
        <v>0.6730282519374727</v>
      </c>
      <c r="J3145" t="n">
        <v>0.0222231748004943</v>
      </c>
      <c r="K3145" t="n">
        <v>0.8048629654778698</v>
      </c>
      <c r="L3145" t="b">
        <v>0</v>
      </c>
      <c r="M3145" t="b">
        <v>0</v>
      </c>
      <c r="N3145" t="inlineStr">
        <is>
          <t>ref</t>
        </is>
      </c>
      <c r="O3145" t="n">
        <v>-45</v>
      </c>
      <c r="P3145" t="n">
        <v>0.002045</v>
      </c>
      <c r="Q3145" t="n">
        <v>-80</v>
      </c>
      <c r="R3145" t="n">
        <v>0.0155</v>
      </c>
      <c r="S3145">
        <f>IMAGE("https://mitra.stanford.edu/kundaje/oak/projects/neuro-variants/variant_position/credible/roussos_2024/variant_figures/roussos_2024.adolescence.GLU/rs6537131_count_position.png",4,220,900)</f>
        <v/>
      </c>
      <c r="T3145">
        <f>IMAGE("https://mitra.stanford.edu/kundaje/oak/projects/neuro-variants/variant_position/credible/roussos_2024/variant_figures/roussos_2024.adolescence.GLU/rs6537131_profile_position.png",4,220,900)</f>
        <v/>
      </c>
    </row>
    <row r="3146">
      <c r="A3146" t="inlineStr">
        <is>
          <t>chr4</t>
        </is>
      </c>
      <c r="B3146" t="n">
        <v>142881443</v>
      </c>
      <c r="C3146" t="inlineStr">
        <is>
          <t>T</t>
        </is>
      </c>
      <c r="D3146" t="inlineStr">
        <is>
          <t>C</t>
        </is>
      </c>
      <c r="E3146" t="inlineStr">
        <is>
          <t>rs17016873</t>
        </is>
      </c>
      <c r="F3146" t="n">
        <v>0.05474934</v>
      </c>
      <c r="G3146" t="n">
        <v>0.0492901090847946</v>
      </c>
      <c r="H3146" t="n">
        <v>0.0160174679077887</v>
      </c>
      <c r="I3146" t="n">
        <v>0.1324672909652431</v>
      </c>
      <c r="J3146" t="n">
        <v>0.08559058662151441</v>
      </c>
      <c r="K3146" t="n">
        <v>0.5972124677956223</v>
      </c>
      <c r="L3146" t="b">
        <v>0</v>
      </c>
      <c r="M3146" t="b">
        <v>0</v>
      </c>
      <c r="N3146" t="inlineStr">
        <is>
          <t>alt</t>
        </is>
      </c>
      <c r="O3146" t="n">
        <v>-70</v>
      </c>
      <c r="P3146" t="n">
        <v>0.03168</v>
      </c>
      <c r="Q3146" t="n">
        <v>-15</v>
      </c>
      <c r="R3146" t="n">
        <v>0.01404</v>
      </c>
      <c r="S3146">
        <f>IMAGE("https://mitra.stanford.edu/kundaje/oak/projects/neuro-variants/variant_position/credible/roussos_2024/variant_figures/roussos_2024.adolescence.GLU/rs17016873_count_position.png",4,220,900)</f>
        <v/>
      </c>
      <c r="T3146">
        <f>IMAGE("https://mitra.stanford.edu/kundaje/oak/projects/neuro-variants/variant_position/credible/roussos_2024/variant_figures/roussos_2024.adolescence.GLU/rs17016873_profile_position.png",4,220,900)</f>
        <v/>
      </c>
    </row>
    <row r="3147">
      <c r="A3147" t="inlineStr">
        <is>
          <t>chr4</t>
        </is>
      </c>
      <c r="B3147" t="n">
        <v>142885070</v>
      </c>
      <c r="C3147" t="inlineStr">
        <is>
          <t>C</t>
        </is>
      </c>
      <c r="D3147" t="inlineStr">
        <is>
          <t>A</t>
        </is>
      </c>
      <c r="E3147" t="inlineStr">
        <is>
          <t>rs7681616</t>
        </is>
      </c>
      <c r="F3147" t="n">
        <v>-0.009978751480000001</v>
      </c>
      <c r="G3147" t="n">
        <v>0.5306566297785809</v>
      </c>
      <c r="H3147" t="n">
        <v>0.0214710785779736</v>
      </c>
      <c r="I3147" t="n">
        <v>0.0463952476759968</v>
      </c>
      <c r="J3147" t="n">
        <v>0.06889284208871831</v>
      </c>
      <c r="K3147" t="n">
        <v>0.6420162280258189</v>
      </c>
      <c r="L3147" t="b">
        <v>0</v>
      </c>
      <c r="M3147" t="b">
        <v>0</v>
      </c>
      <c r="N3147" t="inlineStr">
        <is>
          <t>ref</t>
        </is>
      </c>
      <c r="O3147" t="n">
        <v>95</v>
      </c>
      <c r="P3147" t="n">
        <v>0.008529999999999999</v>
      </c>
      <c r="Q3147" t="n">
        <v>-25</v>
      </c>
      <c r="R3147" t="n">
        <v>0.01428</v>
      </c>
      <c r="S3147">
        <f>IMAGE("https://mitra.stanford.edu/kundaje/oak/projects/neuro-variants/variant_position/credible/roussos_2024/variant_figures/roussos_2024.adolescence.GLU/rs7681616_count_position.png",4,220,900)</f>
        <v/>
      </c>
      <c r="T3147">
        <f>IMAGE("https://mitra.stanford.edu/kundaje/oak/projects/neuro-variants/variant_position/credible/roussos_2024/variant_figures/roussos_2024.adolescence.GLU/rs7681616_profile_position.png",4,220,900)</f>
        <v/>
      </c>
    </row>
    <row r="3148">
      <c r="A3148" t="inlineStr">
        <is>
          <t>chr4</t>
        </is>
      </c>
      <c r="B3148" t="n">
        <v>142889951</v>
      </c>
      <c r="C3148" t="inlineStr">
        <is>
          <t>C</t>
        </is>
      </c>
      <c r="D3148" t="inlineStr">
        <is>
          <t>T</t>
        </is>
      </c>
      <c r="E3148" t="inlineStr">
        <is>
          <t>rs7679474</t>
        </is>
      </c>
      <c r="F3148" t="n">
        <v>-0.0202177216</v>
      </c>
      <c r="G3148" t="n">
        <v>0.297062343718685</v>
      </c>
      <c r="H3148" t="n">
        <v>0.0125113469826362</v>
      </c>
      <c r="I3148" t="n">
        <v>0.3013511841493114</v>
      </c>
      <c r="J3148" t="n">
        <v>0.003962249323074</v>
      </c>
      <c r="K3148" t="n">
        <v>0.928918889111999</v>
      </c>
      <c r="L3148" t="b">
        <v>0</v>
      </c>
      <c r="M3148" t="b">
        <v>0</v>
      </c>
      <c r="N3148" t="inlineStr">
        <is>
          <t>ref</t>
        </is>
      </c>
      <c r="O3148" t="n">
        <v>-35</v>
      </c>
      <c r="P3148" t="n">
        <v>0.008449999999999999</v>
      </c>
      <c r="Q3148" t="n">
        <v>-35</v>
      </c>
      <c r="R3148" t="n">
        <v>0.05524</v>
      </c>
      <c r="S3148">
        <f>IMAGE("https://mitra.stanford.edu/kundaje/oak/projects/neuro-variants/variant_position/credible/roussos_2024/variant_figures/roussos_2024.adolescence.GLU/rs7679474_count_position.png",4,220,900)</f>
        <v/>
      </c>
      <c r="T3148">
        <f>IMAGE("https://mitra.stanford.edu/kundaje/oak/projects/neuro-variants/variant_position/credible/roussos_2024/variant_figures/roussos_2024.adolescence.GLU/rs7679474_profile_position.png",4,220,900)</f>
        <v/>
      </c>
    </row>
    <row r="3149">
      <c r="A3149" t="inlineStr">
        <is>
          <t>chr4</t>
        </is>
      </c>
      <c r="B3149" t="n">
        <v>142891668</v>
      </c>
      <c r="C3149" t="inlineStr">
        <is>
          <t>T</t>
        </is>
      </c>
      <c r="D3149" t="inlineStr">
        <is>
          <t>A</t>
        </is>
      </c>
      <c r="E3149" t="inlineStr">
        <is>
          <t>rs10006846</t>
        </is>
      </c>
      <c r="F3149" t="n">
        <v>-0.00584456726</v>
      </c>
      <c r="G3149" t="n">
        <v>0.708703005463298</v>
      </c>
      <c r="H3149" t="n">
        <v>0.0081528607574367</v>
      </c>
      <c r="I3149" t="n">
        <v>0.7652273482494445</v>
      </c>
      <c r="J3149" t="n">
        <v>0.0137257003236384</v>
      </c>
      <c r="K3149" t="n">
        <v>0.8543639107411937</v>
      </c>
      <c r="L3149" t="b">
        <v>0</v>
      </c>
      <c r="M3149" t="b">
        <v>0</v>
      </c>
      <c r="N3149" t="inlineStr">
        <is>
          <t>ref</t>
        </is>
      </c>
      <c r="O3149" t="n">
        <v>35</v>
      </c>
      <c r="P3149" t="n">
        <v>0.001185</v>
      </c>
      <c r="Q3149" t="n">
        <v>60</v>
      </c>
      <c r="R3149" t="n">
        <v>0.0567</v>
      </c>
      <c r="S3149">
        <f>IMAGE("https://mitra.stanford.edu/kundaje/oak/projects/neuro-variants/variant_position/credible/roussos_2024/variant_figures/roussos_2024.adolescence.GLU/rs10006846_count_position.png",4,220,900)</f>
        <v/>
      </c>
      <c r="T3149">
        <f>IMAGE("https://mitra.stanford.edu/kundaje/oak/projects/neuro-variants/variant_position/credible/roussos_2024/variant_figures/roussos_2024.adolescence.GLU/rs10006846_profile_position.png",4,220,900)</f>
        <v/>
      </c>
    </row>
    <row r="3150">
      <c r="A3150" t="inlineStr">
        <is>
          <t>chr4</t>
        </is>
      </c>
      <c r="B3150" t="n">
        <v>142899155</v>
      </c>
      <c r="C3150" t="inlineStr">
        <is>
          <t>A</t>
        </is>
      </c>
      <c r="D3150" t="inlineStr">
        <is>
          <t>G</t>
        </is>
      </c>
      <c r="E3150" t="inlineStr">
        <is>
          <t>rs4690706</t>
        </is>
      </c>
      <c r="F3150" t="n">
        <v>0.008334066080000001</v>
      </c>
      <c r="G3150" t="n">
        <v>0.5679004815418316</v>
      </c>
      <c r="H3150" t="n">
        <v>0.0129361898836551</v>
      </c>
      <c r="I3150" t="n">
        <v>0.2641151991901651</v>
      </c>
      <c r="J3150" t="n">
        <v>0.1587100185038329</v>
      </c>
      <c r="K3150" t="n">
        <v>0.466574036616833</v>
      </c>
      <c r="L3150" t="b">
        <v>0</v>
      </c>
      <c r="M3150" t="b">
        <v>0</v>
      </c>
      <c r="N3150" t="inlineStr">
        <is>
          <t>alt</t>
        </is>
      </c>
      <c r="O3150" t="n">
        <v>-5</v>
      </c>
      <c r="P3150" t="n">
        <v>0.0004807</v>
      </c>
      <c r="Q3150" t="n">
        <v>-40</v>
      </c>
      <c r="R3150" t="n">
        <v>0.01477</v>
      </c>
      <c r="S3150">
        <f>IMAGE("https://mitra.stanford.edu/kundaje/oak/projects/neuro-variants/variant_position/credible/roussos_2024/variant_figures/roussos_2024.adolescence.GLU/rs4690706_count_position.png",4,220,900)</f>
        <v/>
      </c>
      <c r="T3150">
        <f>IMAGE("https://mitra.stanford.edu/kundaje/oak/projects/neuro-variants/variant_position/credible/roussos_2024/variant_figures/roussos_2024.adolescence.GLU/rs4690706_profile_position.png",4,220,900)</f>
        <v/>
      </c>
    </row>
    <row r="3151">
      <c r="A3151" t="inlineStr">
        <is>
          <t>chr4</t>
        </is>
      </c>
      <c r="B3151" t="n">
        <v>142901689</v>
      </c>
      <c r="C3151" t="inlineStr">
        <is>
          <t>C</t>
        </is>
      </c>
      <c r="D3151" t="inlineStr">
        <is>
          <t>T</t>
        </is>
      </c>
      <c r="E3151" t="inlineStr">
        <is>
          <t>rs28390284</t>
        </is>
      </c>
      <c r="F3151" t="n">
        <v>-0.00211831202</v>
      </c>
      <c r="G3151" t="n">
        <v>0.8170804995236246</v>
      </c>
      <c r="H3151" t="n">
        <v>0.0257888827637181</v>
      </c>
      <c r="I3151" t="n">
        <v>0.0209640309775861</v>
      </c>
      <c r="J3151" t="n">
        <v>0.122123868515621</v>
      </c>
      <c r="K3151" t="n">
        <v>0.517817249461576</v>
      </c>
      <c r="L3151" t="b">
        <v>0</v>
      </c>
      <c r="M3151" t="b">
        <v>0</v>
      </c>
      <c r="N3151" t="inlineStr">
        <is>
          <t>ref</t>
        </is>
      </c>
      <c r="O3151" t="n">
        <v>15</v>
      </c>
      <c r="P3151" t="n">
        <v>0.00354</v>
      </c>
      <c r="Q3151" t="n">
        <v>-100</v>
      </c>
      <c r="R3151" t="n">
        <v>0.08386</v>
      </c>
      <c r="S3151">
        <f>IMAGE("https://mitra.stanford.edu/kundaje/oak/projects/neuro-variants/variant_position/credible/roussos_2024/variant_figures/roussos_2024.adolescence.GLU/rs28390284_count_position.png",4,220,900)</f>
        <v/>
      </c>
      <c r="T3151">
        <f>IMAGE("https://mitra.stanford.edu/kundaje/oak/projects/neuro-variants/variant_position/credible/roussos_2024/variant_figures/roussos_2024.adolescence.GLU/rs28390284_profile_position.png",4,220,900)</f>
        <v/>
      </c>
    </row>
    <row r="3152">
      <c r="A3152" t="inlineStr">
        <is>
          <t>chr4</t>
        </is>
      </c>
      <c r="B3152" t="n">
        <v>142904550</v>
      </c>
      <c r="C3152" t="inlineStr">
        <is>
          <t>T</t>
        </is>
      </c>
      <c r="D3152" t="inlineStr">
        <is>
          <t>C</t>
        </is>
      </c>
      <c r="E3152" t="inlineStr">
        <is>
          <t>rs4690709</t>
        </is>
      </c>
      <c r="F3152" t="n">
        <v>0.0218287938</v>
      </c>
      <c r="G3152" t="n">
        <v>0.2505487333665528</v>
      </c>
      <c r="H3152" t="n">
        <v>0.0121439702047799</v>
      </c>
      <c r="I3152" t="n">
        <v>0.3349322070926592</v>
      </c>
      <c r="J3152" t="n">
        <v>0.0330782805009608</v>
      </c>
      <c r="K3152" t="n">
        <v>0.7564611304591311</v>
      </c>
      <c r="L3152" t="b">
        <v>0</v>
      </c>
      <c r="M3152" t="b">
        <v>0</v>
      </c>
      <c r="N3152" t="inlineStr">
        <is>
          <t>alt</t>
        </is>
      </c>
      <c r="O3152" t="n">
        <v>100</v>
      </c>
      <c r="P3152" t="n">
        <v>0.01892</v>
      </c>
      <c r="Q3152" t="n">
        <v>95</v>
      </c>
      <c r="R3152" t="n">
        <v>0.006348</v>
      </c>
      <c r="S3152">
        <f>IMAGE("https://mitra.stanford.edu/kundaje/oak/projects/neuro-variants/variant_position/credible/roussos_2024/variant_figures/roussos_2024.adolescence.GLU/rs4690709_count_position.png",4,220,900)</f>
        <v/>
      </c>
      <c r="T3152">
        <f>IMAGE("https://mitra.stanford.edu/kundaje/oak/projects/neuro-variants/variant_position/credible/roussos_2024/variant_figures/roussos_2024.adolescence.GLU/rs4690709_profile_position.png",4,220,900)</f>
        <v/>
      </c>
    </row>
    <row r="3153">
      <c r="A3153" t="inlineStr">
        <is>
          <t>chr4</t>
        </is>
      </c>
      <c r="B3153" t="n">
        <v>142906694</v>
      </c>
      <c r="C3153" t="inlineStr">
        <is>
          <t>G</t>
        </is>
      </c>
      <c r="D3153" t="inlineStr">
        <is>
          <t>C</t>
        </is>
      </c>
      <c r="E3153" t="inlineStr">
        <is>
          <t>rs1605954</t>
        </is>
      </c>
      <c r="F3153" t="n">
        <v>-0.008947361671999899</v>
      </c>
      <c r="G3153" t="n">
        <v>0.557278107171244</v>
      </c>
      <c r="H3153" t="n">
        <v>0.008068590614689401</v>
      </c>
      <c r="I3153" t="n">
        <v>0.7676467651502965</v>
      </c>
      <c r="J3153" t="n">
        <v>0.0014545870215973</v>
      </c>
      <c r="K3153" t="n">
        <v>0.9640741279763468</v>
      </c>
      <c r="L3153" t="b">
        <v>0</v>
      </c>
      <c r="M3153" t="b">
        <v>0</v>
      </c>
      <c r="N3153" t="inlineStr">
        <is>
          <t>ref</t>
        </is>
      </c>
      <c r="O3153" t="n">
        <v>-30</v>
      </c>
      <c r="P3153" t="n">
        <v>0.001999</v>
      </c>
      <c r="Q3153" t="n">
        <v>5</v>
      </c>
      <c r="R3153" t="n">
        <v>0.005005</v>
      </c>
      <c r="S3153">
        <f>IMAGE("https://mitra.stanford.edu/kundaje/oak/projects/neuro-variants/variant_position/credible/roussos_2024/variant_figures/roussos_2024.adolescence.GLU/rs1605954_count_position.png",4,220,900)</f>
        <v/>
      </c>
      <c r="T3153">
        <f>IMAGE("https://mitra.stanford.edu/kundaje/oak/projects/neuro-variants/variant_position/credible/roussos_2024/variant_figures/roussos_2024.adolescence.GLU/rs1605954_profile_position.png",4,220,900)</f>
        <v/>
      </c>
    </row>
    <row r="3154">
      <c r="A3154" t="inlineStr">
        <is>
          <t>chr4</t>
        </is>
      </c>
      <c r="B3154" t="n">
        <v>142908324</v>
      </c>
      <c r="C3154" t="inlineStr">
        <is>
          <t>T</t>
        </is>
      </c>
      <c r="D3154" t="inlineStr">
        <is>
          <t>A</t>
        </is>
      </c>
      <c r="E3154" t="inlineStr">
        <is>
          <t>rs28849788</t>
        </is>
      </c>
      <c r="F3154" t="n">
        <v>0.00171866464</v>
      </c>
      <c r="G3154" t="n">
        <v>0.7299674197422575</v>
      </c>
      <c r="H3154" t="n">
        <v>0.0057531331053595</v>
      </c>
      <c r="I3154" t="n">
        <v>0.982786108258736</v>
      </c>
      <c r="J3154" t="n">
        <v>0.0276514420844317</v>
      </c>
      <c r="K3154" t="n">
        <v>0.7819387318820535</v>
      </c>
      <c r="L3154" t="b">
        <v>0</v>
      </c>
      <c r="M3154" t="b">
        <v>0</v>
      </c>
      <c r="N3154" t="inlineStr">
        <is>
          <t>alt</t>
        </is>
      </c>
      <c r="O3154" t="n">
        <v>100</v>
      </c>
      <c r="P3154" t="n">
        <v>0.01654</v>
      </c>
      <c r="Q3154" t="n">
        <v>55</v>
      </c>
      <c r="R3154" t="n">
        <v>0.0189</v>
      </c>
      <c r="S3154">
        <f>IMAGE("https://mitra.stanford.edu/kundaje/oak/projects/neuro-variants/variant_position/credible/roussos_2024/variant_figures/roussos_2024.adolescence.GLU/rs28849788_count_position.png",4,220,900)</f>
        <v/>
      </c>
      <c r="T3154">
        <f>IMAGE("https://mitra.stanford.edu/kundaje/oak/projects/neuro-variants/variant_position/credible/roussos_2024/variant_figures/roussos_2024.adolescence.GLU/rs28849788_profile_position.png",4,220,900)</f>
        <v/>
      </c>
    </row>
    <row r="3155">
      <c r="A3155" t="inlineStr">
        <is>
          <t>chr4</t>
        </is>
      </c>
      <c r="B3155" t="n">
        <v>142918372</v>
      </c>
      <c r="C3155" t="inlineStr">
        <is>
          <t>C</t>
        </is>
      </c>
      <c r="D3155" t="inlineStr">
        <is>
          <t>T</t>
        </is>
      </c>
      <c r="E3155" t="inlineStr">
        <is>
          <t>rs1510139</t>
        </is>
      </c>
      <c r="F3155" t="n">
        <v>0.0123675635</v>
      </c>
      <c r="G3155" t="n">
        <v>0.4552278113187872</v>
      </c>
      <c r="H3155" t="n">
        <v>0.0226531009516931</v>
      </c>
      <c r="I3155" t="n">
        <v>0.0335364099932348</v>
      </c>
      <c r="J3155" t="n">
        <v>0.0084031692279114</v>
      </c>
      <c r="K3155" t="n">
        <v>0.8880620012731028</v>
      </c>
      <c r="L3155" t="b">
        <v>0</v>
      </c>
      <c r="M3155" t="b">
        <v>0</v>
      </c>
      <c r="N3155" t="inlineStr">
        <is>
          <t>alt</t>
        </is>
      </c>
      <c r="O3155" t="n">
        <v>100</v>
      </c>
      <c r="P3155" t="n">
        <v>0.01328</v>
      </c>
      <c r="Q3155" t="n">
        <v>-45</v>
      </c>
      <c r="R3155" t="n">
        <v>0.02687</v>
      </c>
      <c r="S3155">
        <f>IMAGE("https://mitra.stanford.edu/kundaje/oak/projects/neuro-variants/variant_position/credible/roussos_2024/variant_figures/roussos_2024.adolescence.GLU/rs1510139_count_position.png",4,220,900)</f>
        <v/>
      </c>
      <c r="T3155">
        <f>IMAGE("https://mitra.stanford.edu/kundaje/oak/projects/neuro-variants/variant_position/credible/roussos_2024/variant_figures/roussos_2024.adolescence.GLU/rs1510139_profile_position.png",4,220,900)</f>
        <v/>
      </c>
    </row>
    <row r="3156">
      <c r="A3156" t="inlineStr">
        <is>
          <t>chr4</t>
        </is>
      </c>
      <c r="B3156" t="n">
        <v>142922142</v>
      </c>
      <c r="C3156" t="inlineStr">
        <is>
          <t>G</t>
        </is>
      </c>
      <c r="D3156" t="inlineStr">
        <is>
          <t>T</t>
        </is>
      </c>
      <c r="E3156" t="inlineStr">
        <is>
          <t>rs2083619</t>
        </is>
      </c>
      <c r="F3156" t="n">
        <v>0.0078914081039999</v>
      </c>
      <c r="G3156" t="n">
        <v>0.5740254369792508</v>
      </c>
      <c r="H3156" t="n">
        <v>0.0120552414396605</v>
      </c>
      <c r="I3156" t="n">
        <v>0.3071680518218185</v>
      </c>
      <c r="J3156" t="n">
        <v>0.1556293803716483</v>
      </c>
      <c r="K3156" t="n">
        <v>0.474013419039184</v>
      </c>
      <c r="L3156" t="b">
        <v>0</v>
      </c>
      <c r="M3156" t="b">
        <v>0</v>
      </c>
      <c r="N3156" t="inlineStr">
        <is>
          <t>alt</t>
        </is>
      </c>
      <c r="O3156" t="n">
        <v>-75</v>
      </c>
      <c r="P3156" t="n">
        <v>0.013306</v>
      </c>
      <c r="Q3156" t="n">
        <v>60</v>
      </c>
      <c r="R3156" t="n">
        <v>0.04803</v>
      </c>
      <c r="S3156">
        <f>IMAGE("https://mitra.stanford.edu/kundaje/oak/projects/neuro-variants/variant_position/credible/roussos_2024/variant_figures/roussos_2024.adolescence.GLU/rs2083619_count_position.png",4,220,900)</f>
        <v/>
      </c>
      <c r="T3156">
        <f>IMAGE("https://mitra.stanford.edu/kundaje/oak/projects/neuro-variants/variant_position/credible/roussos_2024/variant_figures/roussos_2024.adolescence.GLU/rs2083619_profile_position.png",4,220,900)</f>
        <v/>
      </c>
    </row>
    <row r="3157">
      <c r="A3157" t="inlineStr">
        <is>
          <t>chr4</t>
        </is>
      </c>
      <c r="B3157" t="n">
        <v>142925492</v>
      </c>
      <c r="C3157" t="inlineStr">
        <is>
          <t>A</t>
        </is>
      </c>
      <c r="D3157" t="inlineStr">
        <is>
          <t>G</t>
        </is>
      </c>
      <c r="E3157" t="inlineStr">
        <is>
          <t>rs10017013</t>
        </is>
      </c>
      <c r="F3157" t="n">
        <v>0.0358912465999999</v>
      </c>
      <c r="G3157" t="n">
        <v>0.1261664628147318</v>
      </c>
      <c r="H3157" t="n">
        <v>0.0113899883901903</v>
      </c>
      <c r="I3157" t="n">
        <v>0.3805725625787315</v>
      </c>
      <c r="J3157" t="n">
        <v>0.0480442377349593</v>
      </c>
      <c r="K3157" t="n">
        <v>0.7088942344936012</v>
      </c>
      <c r="L3157" t="b">
        <v>0</v>
      </c>
      <c r="M3157" t="b">
        <v>0</v>
      </c>
      <c r="N3157" t="inlineStr">
        <is>
          <t>alt</t>
        </is>
      </c>
      <c r="O3157" t="n">
        <v>-55</v>
      </c>
      <c r="P3157" t="n">
        <v>0.01704</v>
      </c>
      <c r="Q3157" t="n">
        <v>-55</v>
      </c>
      <c r="R3157" t="n">
        <v>0.1803</v>
      </c>
      <c r="S3157">
        <f>IMAGE("https://mitra.stanford.edu/kundaje/oak/projects/neuro-variants/variant_position/credible/roussos_2024/variant_figures/roussos_2024.adolescence.GLU/rs10017013_count_position.png",4,220,900)</f>
        <v/>
      </c>
      <c r="T3157">
        <f>IMAGE("https://mitra.stanford.edu/kundaje/oak/projects/neuro-variants/variant_position/credible/roussos_2024/variant_figures/roussos_2024.adolescence.GLU/rs10017013_profile_position.png",4,220,900)</f>
        <v/>
      </c>
    </row>
    <row r="3158">
      <c r="A3158" t="inlineStr">
        <is>
          <t>chr4</t>
        </is>
      </c>
      <c r="B3158" t="n">
        <v>142926884</v>
      </c>
      <c r="C3158" t="inlineStr">
        <is>
          <t>C</t>
        </is>
      </c>
      <c r="D3158" t="inlineStr">
        <is>
          <t>T</t>
        </is>
      </c>
      <c r="E3158" t="inlineStr">
        <is>
          <t>rs1876939</t>
        </is>
      </c>
      <c r="F3158" t="n">
        <v>-0.076782982</v>
      </c>
      <c r="G3158" t="n">
        <v>0.0194395121184971</v>
      </c>
      <c r="H3158" t="n">
        <v>0.0204063498403617</v>
      </c>
      <c r="I3158" t="n">
        <v>0.06552857534358141</v>
      </c>
      <c r="J3158" t="n">
        <v>0.0538768744954311</v>
      </c>
      <c r="K3158" t="n">
        <v>0.6933409895270961</v>
      </c>
      <c r="L3158" t="b">
        <v>1</v>
      </c>
      <c r="M3158" t="b">
        <v>0</v>
      </c>
      <c r="N3158" t="inlineStr">
        <is>
          <t>ref</t>
        </is>
      </c>
      <c r="O3158" t="n">
        <v>100</v>
      </c>
      <c r="P3158" t="n">
        <v>0.002071</v>
      </c>
      <c r="Q3158" t="n">
        <v>-100</v>
      </c>
      <c r="R3158" t="n">
        <v>0.06469999999999999</v>
      </c>
      <c r="S3158">
        <f>IMAGE("https://mitra.stanford.edu/kundaje/oak/projects/neuro-variants/variant_position/credible/roussos_2024/variant_figures/roussos_2024.adolescence.GLU/rs1876939_count_position.png",4,220,900)</f>
        <v/>
      </c>
      <c r="T3158">
        <f>IMAGE("https://mitra.stanford.edu/kundaje/oak/projects/neuro-variants/variant_position/credible/roussos_2024/variant_figures/roussos_2024.adolescence.GLU/rs1876939_profile_position.png",4,220,900)</f>
        <v/>
      </c>
    </row>
    <row r="3159">
      <c r="A3159" t="inlineStr">
        <is>
          <t>chr4</t>
        </is>
      </c>
      <c r="B3159" t="n">
        <v>142932630</v>
      </c>
      <c r="C3159" t="inlineStr">
        <is>
          <t>G</t>
        </is>
      </c>
      <c r="D3159" t="inlineStr">
        <is>
          <t>T</t>
        </is>
      </c>
      <c r="E3159" t="inlineStr">
        <is>
          <t>rs2010483</t>
        </is>
      </c>
      <c r="F3159" t="n">
        <v>-0.00165558011</v>
      </c>
      <c r="G3159" t="n">
        <v>0.8193137405936334</v>
      </c>
      <c r="H3159" t="n">
        <v>0.0176223172418113</v>
      </c>
      <c r="I3159" t="n">
        <v>0.0951491690923594</v>
      </c>
      <c r="J3159" t="n">
        <v>0.1004150859820962</v>
      </c>
      <c r="K3159" t="n">
        <v>0.5724369990960039</v>
      </c>
      <c r="L3159" t="b">
        <v>0</v>
      </c>
      <c r="M3159" t="b">
        <v>0</v>
      </c>
      <c r="N3159" t="inlineStr">
        <is>
          <t>ref</t>
        </is>
      </c>
      <c r="O3159" t="n">
        <v>10</v>
      </c>
      <c r="P3159" t="n">
        <v>0.0005264</v>
      </c>
      <c r="Q3159" t="n">
        <v>-50</v>
      </c>
      <c r="R3159" t="n">
        <v>0.0703</v>
      </c>
      <c r="S3159">
        <f>IMAGE("https://mitra.stanford.edu/kundaje/oak/projects/neuro-variants/variant_position/credible/roussos_2024/variant_figures/roussos_2024.adolescence.GLU/rs2010483_count_position.png",4,220,900)</f>
        <v/>
      </c>
      <c r="T3159">
        <f>IMAGE("https://mitra.stanford.edu/kundaje/oak/projects/neuro-variants/variant_position/credible/roussos_2024/variant_figures/roussos_2024.adolescence.GLU/rs2010483_profile_position.png",4,220,900)</f>
        <v/>
      </c>
    </row>
    <row r="3160">
      <c r="A3160" t="inlineStr">
        <is>
          <t>chr4</t>
        </is>
      </c>
      <c r="B3160" t="n">
        <v>142944753</v>
      </c>
      <c r="C3160" t="inlineStr">
        <is>
          <t>A</t>
        </is>
      </c>
      <c r="D3160" t="inlineStr">
        <is>
          <t>G</t>
        </is>
      </c>
      <c r="E3160" t="inlineStr">
        <is>
          <t>rs4690738</t>
        </is>
      </c>
      <c r="F3160" t="n">
        <v>0.0454711862</v>
      </c>
      <c r="G3160" t="n">
        <v>0.07798635196979201</v>
      </c>
      <c r="H3160" t="n">
        <v>0.009470580591193699</v>
      </c>
      <c r="I3160" t="n">
        <v>0.6005210284867657</v>
      </c>
      <c r="J3160" t="n">
        <v>0.0251552107222209</v>
      </c>
      <c r="K3160" t="n">
        <v>0.7980937011444779</v>
      </c>
      <c r="L3160" t="b">
        <v>0</v>
      </c>
      <c r="M3160" t="b">
        <v>0</v>
      </c>
      <c r="N3160" t="inlineStr">
        <is>
          <t>alt</t>
        </is>
      </c>
      <c r="O3160" t="n">
        <v>-90</v>
      </c>
      <c r="P3160" t="n">
        <v>0.005165</v>
      </c>
      <c r="Q3160" t="n">
        <v>100</v>
      </c>
      <c r="R3160" t="n">
        <v>0.05627</v>
      </c>
      <c r="S3160">
        <f>IMAGE("https://mitra.stanford.edu/kundaje/oak/projects/neuro-variants/variant_position/credible/roussos_2024/variant_figures/roussos_2024.adolescence.GLU/rs4690738_count_position.png",4,220,900)</f>
        <v/>
      </c>
      <c r="T3160">
        <f>IMAGE("https://mitra.stanford.edu/kundaje/oak/projects/neuro-variants/variant_position/credible/roussos_2024/variant_figures/roussos_2024.adolescence.GLU/rs4690738_profile_position.png",4,220,900)</f>
        <v/>
      </c>
    </row>
    <row r="3161">
      <c r="A3161" t="inlineStr">
        <is>
          <t>chr4</t>
        </is>
      </c>
      <c r="B3161" t="n">
        <v>142945462</v>
      </c>
      <c r="C3161" t="inlineStr">
        <is>
          <t>G</t>
        </is>
      </c>
      <c r="D3161" t="inlineStr">
        <is>
          <t>A</t>
        </is>
      </c>
      <c r="E3161" t="inlineStr">
        <is>
          <t>rs13115045</t>
        </is>
      </c>
      <c r="F3161" t="n">
        <v>-0.0326949016</v>
      </c>
      <c r="G3161" t="n">
        <v>0.1565899856679751</v>
      </c>
      <c r="H3161" t="n">
        <v>0.0110044682387813</v>
      </c>
      <c r="I3161" t="n">
        <v>0.4229411864800483</v>
      </c>
      <c r="J3161" t="n">
        <v>0.1688664080416657</v>
      </c>
      <c r="K3161" t="n">
        <v>0.4553772348616027</v>
      </c>
      <c r="L3161" t="b">
        <v>0</v>
      </c>
      <c r="M3161" t="b">
        <v>0</v>
      </c>
      <c r="N3161" t="inlineStr">
        <is>
          <t>ref</t>
        </is>
      </c>
      <c r="O3161" t="n">
        <v>-100</v>
      </c>
      <c r="P3161" t="n">
        <v>0.00966</v>
      </c>
      <c r="Q3161" t="n">
        <v>-80</v>
      </c>
      <c r="R3161" t="n">
        <v>0.03723</v>
      </c>
      <c r="S3161">
        <f>IMAGE("https://mitra.stanford.edu/kundaje/oak/projects/neuro-variants/variant_position/credible/roussos_2024/variant_figures/roussos_2024.adolescence.GLU/rs13115045_count_position.png",4,220,900)</f>
        <v/>
      </c>
      <c r="T3161">
        <f>IMAGE("https://mitra.stanford.edu/kundaje/oak/projects/neuro-variants/variant_position/credible/roussos_2024/variant_figures/roussos_2024.adolescence.GLU/rs13115045_profile_position.png",4,220,900)</f>
        <v/>
      </c>
    </row>
    <row r="3162">
      <c r="A3162" t="inlineStr">
        <is>
          <t>chr4</t>
        </is>
      </c>
      <c r="B3162" t="n">
        <v>142949730</v>
      </c>
      <c r="C3162" t="inlineStr">
        <is>
          <t>G</t>
        </is>
      </c>
      <c r="D3162" t="inlineStr">
        <is>
          <t>A</t>
        </is>
      </c>
      <c r="E3162" t="inlineStr">
        <is>
          <t>rs10009395</t>
        </is>
      </c>
      <c r="F3162" t="n">
        <v>0.00079381492</v>
      </c>
      <c r="G3162" t="n">
        <v>0.7436664596071536</v>
      </c>
      <c r="H3162" t="n">
        <v>0.0236886733150048</v>
      </c>
      <c r="I3162" t="n">
        <v>0.0269542164536569</v>
      </c>
      <c r="J3162" t="n">
        <v>0.0182166305877645</v>
      </c>
      <c r="K3162" t="n">
        <v>0.826456207237853</v>
      </c>
      <c r="L3162" t="b">
        <v>0</v>
      </c>
      <c r="M3162" t="b">
        <v>0</v>
      </c>
      <c r="N3162" t="inlineStr">
        <is>
          <t>alt</t>
        </is>
      </c>
      <c r="O3162" t="n">
        <v>75</v>
      </c>
      <c r="P3162" t="n">
        <v>0.0031</v>
      </c>
      <c r="Q3162" t="n">
        <v>25</v>
      </c>
      <c r="R3162" t="n">
        <v>0.00946</v>
      </c>
      <c r="S3162">
        <f>IMAGE("https://mitra.stanford.edu/kundaje/oak/projects/neuro-variants/variant_position/credible/roussos_2024/variant_figures/roussos_2024.adolescence.GLU/rs10009395_count_position.png",4,220,900)</f>
        <v/>
      </c>
      <c r="T3162">
        <f>IMAGE("https://mitra.stanford.edu/kundaje/oak/projects/neuro-variants/variant_position/credible/roussos_2024/variant_figures/roussos_2024.adolescence.GLU/rs10009395_profile_position.png",4,220,900)</f>
        <v/>
      </c>
    </row>
    <row r="3163">
      <c r="A3163" t="inlineStr">
        <is>
          <t>chr4</t>
        </is>
      </c>
      <c r="B3163" t="n">
        <v>142955127</v>
      </c>
      <c r="C3163" t="inlineStr">
        <is>
          <t>A</t>
        </is>
      </c>
      <c r="D3163" t="inlineStr">
        <is>
          <t>G</t>
        </is>
      </c>
      <c r="E3163" t="inlineStr">
        <is>
          <t>rs34596213</t>
        </is>
      </c>
      <c r="F3163" t="n">
        <v>0.0702343506</v>
      </c>
      <c r="G3163" t="n">
        <v>0.0227479561943861</v>
      </c>
      <c r="H3163" t="n">
        <v>0.0129348811183398</v>
      </c>
      <c r="I3163" t="n">
        <v>0.285195308461005</v>
      </c>
      <c r="J3163" t="n">
        <v>0.451929328217988</v>
      </c>
      <c r="K3163" t="n">
        <v>0.1179121632784631</v>
      </c>
      <c r="L3163" t="b">
        <v>0</v>
      </c>
      <c r="M3163" t="b">
        <v>0</v>
      </c>
      <c r="N3163" t="inlineStr">
        <is>
          <t>alt</t>
        </is>
      </c>
      <c r="O3163" t="n">
        <v>-95</v>
      </c>
      <c r="P3163" t="n">
        <v>0.03528</v>
      </c>
      <c r="Q3163" t="n">
        <v>-100</v>
      </c>
      <c r="R3163" t="n">
        <v>0.06006</v>
      </c>
      <c r="S3163">
        <f>IMAGE("https://mitra.stanford.edu/kundaje/oak/projects/neuro-variants/variant_position/credible/roussos_2024/variant_figures/roussos_2024.adolescence.GLU/rs34596213_count_position.png",4,220,900)</f>
        <v/>
      </c>
      <c r="T3163">
        <f>IMAGE("https://mitra.stanford.edu/kundaje/oak/projects/neuro-variants/variant_position/credible/roussos_2024/variant_figures/roussos_2024.adolescence.GLU/rs34596213_profile_position.png",4,220,900)</f>
        <v/>
      </c>
    </row>
    <row r="3164">
      <c r="A3164" t="inlineStr">
        <is>
          <t>chr4</t>
        </is>
      </c>
      <c r="B3164" t="n">
        <v>142960579</v>
      </c>
      <c r="C3164" t="inlineStr">
        <is>
          <t>A</t>
        </is>
      </c>
      <c r="D3164" t="inlineStr">
        <is>
          <t>T</t>
        </is>
      </c>
      <c r="E3164" t="inlineStr">
        <is>
          <t>rs4690740</t>
        </is>
      </c>
      <c r="F3164" t="n">
        <v>0.0044709452</v>
      </c>
      <c r="G3164" t="n">
        <v>0.6851391548121988</v>
      </c>
      <c r="H3164" t="n">
        <v>0.0227587477746349</v>
      </c>
      <c r="I3164" t="n">
        <v>0.0318265059373422</v>
      </c>
      <c r="J3164" t="n">
        <v>0.1237056247365525</v>
      </c>
      <c r="K3164" t="n">
        <v>0.5200218271863393</v>
      </c>
      <c r="L3164" t="b">
        <v>0</v>
      </c>
      <c r="M3164" t="b">
        <v>0</v>
      </c>
      <c r="N3164" t="inlineStr">
        <is>
          <t>alt</t>
        </is>
      </c>
      <c r="O3164" t="n">
        <v>40</v>
      </c>
      <c r="P3164" t="n">
        <v>0.01526</v>
      </c>
      <c r="Q3164" t="n">
        <v>35</v>
      </c>
      <c r="R3164" t="n">
        <v>0.04987</v>
      </c>
      <c r="S3164">
        <f>IMAGE("https://mitra.stanford.edu/kundaje/oak/projects/neuro-variants/variant_position/credible/roussos_2024/variant_figures/roussos_2024.adolescence.GLU/rs4690740_count_position.png",4,220,900)</f>
        <v/>
      </c>
      <c r="T3164">
        <f>IMAGE("https://mitra.stanford.edu/kundaje/oak/projects/neuro-variants/variant_position/credible/roussos_2024/variant_figures/roussos_2024.adolescence.GLU/rs4690740_profile_position.png",4,220,900)</f>
        <v/>
      </c>
    </row>
    <row r="3165">
      <c r="A3165" t="inlineStr">
        <is>
          <t>chr4</t>
        </is>
      </c>
      <c r="B3165" t="n">
        <v>142964484</v>
      </c>
      <c r="C3165" t="inlineStr">
        <is>
          <t>C</t>
        </is>
      </c>
      <c r="D3165" t="inlineStr">
        <is>
          <t>T</t>
        </is>
      </c>
      <c r="E3165" t="inlineStr">
        <is>
          <t>rs17678304</t>
        </is>
      </c>
      <c r="F3165" t="n">
        <v>-0.0363497116</v>
      </c>
      <c r="G3165" t="n">
        <v>0.1361908150260064</v>
      </c>
      <c r="H3165" t="n">
        <v>0.0091485066513137</v>
      </c>
      <c r="I3165" t="n">
        <v>0.6405272461074912</v>
      </c>
      <c r="J3165" t="n">
        <v>0.190009359081524</v>
      </c>
      <c r="K3165" t="n">
        <v>0.4124124278835804</v>
      </c>
      <c r="L3165" t="b">
        <v>0</v>
      </c>
      <c r="M3165" t="b">
        <v>0</v>
      </c>
      <c r="N3165" t="inlineStr">
        <is>
          <t>ref</t>
        </is>
      </c>
      <c r="O3165" t="n">
        <v>-100</v>
      </c>
      <c r="P3165" t="n">
        <v>0.03696</v>
      </c>
      <c r="Q3165" t="n">
        <v>-80</v>
      </c>
      <c r="R3165" t="n">
        <v>0.0343</v>
      </c>
      <c r="S3165">
        <f>IMAGE("https://mitra.stanford.edu/kundaje/oak/projects/neuro-variants/variant_position/credible/roussos_2024/variant_figures/roussos_2024.adolescence.GLU/rs17678304_count_position.png",4,220,900)</f>
        <v/>
      </c>
      <c r="T3165">
        <f>IMAGE("https://mitra.stanford.edu/kundaje/oak/projects/neuro-variants/variant_position/credible/roussos_2024/variant_figures/roussos_2024.adolescence.GLU/rs17678304_profile_position.png",4,220,900)</f>
        <v/>
      </c>
    </row>
    <row r="3166">
      <c r="A3166" t="inlineStr">
        <is>
          <t>chr4</t>
        </is>
      </c>
      <c r="B3166" t="n">
        <v>142965389</v>
      </c>
      <c r="C3166" t="inlineStr">
        <is>
          <t>G</t>
        </is>
      </c>
      <c r="D3166" t="inlineStr">
        <is>
          <t>A</t>
        </is>
      </c>
      <c r="E3166" t="inlineStr">
        <is>
          <t>rs10026166</t>
        </is>
      </c>
      <c r="F3166" t="n">
        <v>-0.0363763834</v>
      </c>
      <c r="G3166" t="n">
        <v>0.1363953325434908</v>
      </c>
      <c r="H3166" t="n">
        <v>0.0102722308487727</v>
      </c>
      <c r="I3166" t="n">
        <v>0.4884449703207748</v>
      </c>
      <c r="J3166" t="n">
        <v>0.1362439362439362</v>
      </c>
      <c r="K3166" t="n">
        <v>0.5090454358254509</v>
      </c>
      <c r="L3166" t="b">
        <v>0</v>
      </c>
      <c r="M3166" t="b">
        <v>0</v>
      </c>
      <c r="N3166" t="inlineStr">
        <is>
          <t>ref</t>
        </is>
      </c>
      <c r="O3166" t="n">
        <v>-85</v>
      </c>
      <c r="P3166" t="n">
        <v>0.003254</v>
      </c>
      <c r="Q3166" t="n">
        <v>-100</v>
      </c>
      <c r="R3166" t="n">
        <v>0.0725</v>
      </c>
      <c r="S3166">
        <f>IMAGE("https://mitra.stanford.edu/kundaje/oak/projects/neuro-variants/variant_position/credible/roussos_2024/variant_figures/roussos_2024.adolescence.GLU/rs10026166_count_position.png",4,220,900)</f>
        <v/>
      </c>
      <c r="T3166">
        <f>IMAGE("https://mitra.stanford.edu/kundaje/oak/projects/neuro-variants/variant_position/credible/roussos_2024/variant_figures/roussos_2024.adolescence.GLU/rs10026166_profile_position.png",4,220,900)</f>
        <v/>
      </c>
    </row>
    <row r="3167">
      <c r="A3167" t="inlineStr">
        <is>
          <t>chr4</t>
        </is>
      </c>
      <c r="B3167" t="n">
        <v>142970712</v>
      </c>
      <c r="C3167" t="inlineStr">
        <is>
          <t>G</t>
        </is>
      </c>
      <c r="D3167" t="inlineStr">
        <is>
          <t>A</t>
        </is>
      </c>
      <c r="E3167" t="inlineStr">
        <is>
          <t>rs7666854</t>
        </is>
      </c>
      <c r="F3167" t="n">
        <v>0.004317516572</v>
      </c>
      <c r="G3167" t="n">
        <v>0.7540161837050404</v>
      </c>
      <c r="H3167" t="n">
        <v>0.0132200063732784</v>
      </c>
      <c r="I3167" t="n">
        <v>0.2560595502354169</v>
      </c>
      <c r="J3167" t="n">
        <v>0.0715019539761807</v>
      </c>
      <c r="K3167" t="n">
        <v>0.6411513885739177</v>
      </c>
      <c r="L3167" t="b">
        <v>0</v>
      </c>
      <c r="M3167" t="b">
        <v>0</v>
      </c>
      <c r="N3167" t="inlineStr">
        <is>
          <t>alt</t>
        </is>
      </c>
      <c r="O3167" t="n">
        <v>-95</v>
      </c>
      <c r="P3167" t="n">
        <v>0.07764</v>
      </c>
      <c r="Q3167" t="n">
        <v>-55</v>
      </c>
      <c r="R3167" t="n">
        <v>0.0332</v>
      </c>
      <c r="S3167">
        <f>IMAGE("https://mitra.stanford.edu/kundaje/oak/projects/neuro-variants/variant_position/credible/roussos_2024/variant_figures/roussos_2024.adolescence.GLU/rs7666854_count_position.png",4,220,900)</f>
        <v/>
      </c>
      <c r="T3167">
        <f>IMAGE("https://mitra.stanford.edu/kundaje/oak/projects/neuro-variants/variant_position/credible/roussos_2024/variant_figures/roussos_2024.adolescence.GLU/rs7666854_profile_position.png",4,220,900)</f>
        <v/>
      </c>
    </row>
    <row r="3168">
      <c r="A3168" t="inlineStr">
        <is>
          <t>chr4</t>
        </is>
      </c>
      <c r="B3168" t="n">
        <v>142971699</v>
      </c>
      <c r="C3168" t="inlineStr">
        <is>
          <t>C</t>
        </is>
      </c>
      <c r="D3168" t="inlineStr">
        <is>
          <t>G</t>
        </is>
      </c>
      <c r="E3168" t="inlineStr">
        <is>
          <t>rs11936467</t>
        </is>
      </c>
      <c r="F3168" t="n">
        <v>-0.0354033988</v>
      </c>
      <c r="G3168" t="n">
        <v>0.1419577978110783</v>
      </c>
      <c r="H3168" t="n">
        <v>0.0221628637072024</v>
      </c>
      <c r="I3168" t="n">
        <v>0.0395670154782083</v>
      </c>
      <c r="J3168" t="n">
        <v>0.0645133634824356</v>
      </c>
      <c r="K3168" t="n">
        <v>0.6640303085941167</v>
      </c>
      <c r="L3168" t="b">
        <v>0</v>
      </c>
      <c r="M3168" t="b">
        <v>0</v>
      </c>
      <c r="N3168" t="inlineStr">
        <is>
          <t>ref</t>
        </is>
      </c>
      <c r="O3168" t="n">
        <v>-100</v>
      </c>
      <c r="P3168" t="n">
        <v>0.0455</v>
      </c>
      <c r="Q3168" t="n">
        <v>80</v>
      </c>
      <c r="R3168" t="n">
        <v>0.0362</v>
      </c>
      <c r="S3168">
        <f>IMAGE("https://mitra.stanford.edu/kundaje/oak/projects/neuro-variants/variant_position/credible/roussos_2024/variant_figures/roussos_2024.adolescence.GLU/rs11936467_count_position.png",4,220,900)</f>
        <v/>
      </c>
      <c r="T3168">
        <f>IMAGE("https://mitra.stanford.edu/kundaje/oak/projects/neuro-variants/variant_position/credible/roussos_2024/variant_figures/roussos_2024.adolescence.GLU/rs11936467_profile_position.png",4,220,900)</f>
        <v/>
      </c>
    </row>
    <row r="3169">
      <c r="A3169" t="inlineStr">
        <is>
          <t>chr4</t>
        </is>
      </c>
      <c r="B3169" t="n">
        <v>142972938</v>
      </c>
      <c r="C3169" t="inlineStr">
        <is>
          <t>T</t>
        </is>
      </c>
      <c r="D3169" t="inlineStr">
        <is>
          <t>C</t>
        </is>
      </c>
      <c r="E3169" t="inlineStr">
        <is>
          <t>rs6820975</t>
        </is>
      </c>
      <c r="F3169" t="n">
        <v>0.0004709287599999</v>
      </c>
      <c r="G3169" t="n">
        <v>0.8893785477327444</v>
      </c>
      <c r="H3169" t="n">
        <v>0.0068891835037503</v>
      </c>
      <c r="I3169" t="n">
        <v>0.9220177896402006</v>
      </c>
      <c r="J3169" t="n">
        <v>0.0522322481085367</v>
      </c>
      <c r="K3169" t="n">
        <v>0.702431863807614</v>
      </c>
      <c r="L3169" t="b">
        <v>0</v>
      </c>
      <c r="M3169" t="b">
        <v>0</v>
      </c>
      <c r="N3169" t="inlineStr">
        <is>
          <t>alt</t>
        </is>
      </c>
      <c r="O3169" t="n">
        <v>30</v>
      </c>
      <c r="P3169" t="n">
        <v>0.00145</v>
      </c>
      <c r="Q3169" t="n">
        <v>5</v>
      </c>
      <c r="R3169" t="n">
        <v>0.001984</v>
      </c>
      <c r="S3169">
        <f>IMAGE("https://mitra.stanford.edu/kundaje/oak/projects/neuro-variants/variant_position/credible/roussos_2024/variant_figures/roussos_2024.adolescence.GLU/rs6820975_count_position.png",4,220,900)</f>
        <v/>
      </c>
      <c r="T3169">
        <f>IMAGE("https://mitra.stanford.edu/kundaje/oak/projects/neuro-variants/variant_position/credible/roussos_2024/variant_figures/roussos_2024.adolescence.GLU/rs6820975_profile_position.png",4,220,900)</f>
        <v/>
      </c>
    </row>
    <row r="3170">
      <c r="A3170" t="inlineStr">
        <is>
          <t>chr4</t>
        </is>
      </c>
      <c r="B3170" t="n">
        <v>142972944</v>
      </c>
      <c r="C3170" t="inlineStr">
        <is>
          <t>A</t>
        </is>
      </c>
      <c r="D3170" t="inlineStr">
        <is>
          <t>T</t>
        </is>
      </c>
      <c r="E3170" t="inlineStr">
        <is>
          <t>rs6815888</t>
        </is>
      </c>
      <c r="F3170" t="n">
        <v>-0.00670663596</v>
      </c>
      <c r="G3170" t="n">
        <v>0.6064548189892489</v>
      </c>
      <c r="H3170" t="n">
        <v>0.0116792085986477</v>
      </c>
      <c r="I3170" t="n">
        <v>0.3565236080734952</v>
      </c>
      <c r="J3170" t="n">
        <v>0.0534239235270162</v>
      </c>
      <c r="K3170" t="n">
        <v>0.6989000386105618</v>
      </c>
      <c r="L3170" t="b">
        <v>0</v>
      </c>
      <c r="M3170" t="b">
        <v>0</v>
      </c>
      <c r="N3170" t="inlineStr">
        <is>
          <t>ref</t>
        </is>
      </c>
      <c r="O3170" t="n">
        <v>-30</v>
      </c>
      <c r="P3170" t="n">
        <v>0.002584</v>
      </c>
      <c r="Q3170" t="n">
        <v>-5</v>
      </c>
      <c r="R3170" t="n">
        <v>0.003479</v>
      </c>
      <c r="S3170">
        <f>IMAGE("https://mitra.stanford.edu/kundaje/oak/projects/neuro-variants/variant_position/credible/roussos_2024/variant_figures/roussos_2024.adolescence.GLU/rs6815888_count_position.png",4,220,900)</f>
        <v/>
      </c>
      <c r="T3170">
        <f>IMAGE("https://mitra.stanford.edu/kundaje/oak/projects/neuro-variants/variant_position/credible/roussos_2024/variant_figures/roussos_2024.adolescence.GLU/rs6815888_profile_position.png",4,220,900)</f>
        <v/>
      </c>
    </row>
    <row r="3171">
      <c r="A3171" t="inlineStr">
        <is>
          <t>chr4</t>
        </is>
      </c>
      <c r="B3171" t="n">
        <v>142973444</v>
      </c>
      <c r="C3171" t="inlineStr">
        <is>
          <t>C</t>
        </is>
      </c>
      <c r="D3171" t="inlineStr">
        <is>
          <t>G</t>
        </is>
      </c>
      <c r="E3171" t="inlineStr">
        <is>
          <t>rs13101590</t>
        </is>
      </c>
      <c r="F3171" t="n">
        <v>0.00741744916</v>
      </c>
      <c r="G3171" t="n">
        <v>0.6014135081958542</v>
      </c>
      <c r="H3171" t="n">
        <v>0.0102658392145408</v>
      </c>
      <c r="I3171" t="n">
        <v>0.4972947811942598</v>
      </c>
      <c r="J3171" t="n">
        <v>0.1362639403876517</v>
      </c>
      <c r="K3171" t="n">
        <v>0.5103861628901764</v>
      </c>
      <c r="L3171" t="b">
        <v>0</v>
      </c>
      <c r="M3171" t="b">
        <v>0</v>
      </c>
      <c r="N3171" t="inlineStr">
        <is>
          <t>alt</t>
        </is>
      </c>
      <c r="O3171" t="n">
        <v>25</v>
      </c>
      <c r="P3171" t="n">
        <v>0.001251</v>
      </c>
      <c r="Q3171" t="n">
        <v>80</v>
      </c>
      <c r="R3171" t="n">
        <v>0.05115</v>
      </c>
      <c r="S3171">
        <f>IMAGE("https://mitra.stanford.edu/kundaje/oak/projects/neuro-variants/variant_position/credible/roussos_2024/variant_figures/roussos_2024.adolescence.GLU/rs13101590_count_position.png",4,220,900)</f>
        <v/>
      </c>
      <c r="T3171">
        <f>IMAGE("https://mitra.stanford.edu/kundaje/oak/projects/neuro-variants/variant_position/credible/roussos_2024/variant_figures/roussos_2024.adolescence.GLU/rs13101590_profile_position.png",4,220,900)</f>
        <v/>
      </c>
    </row>
    <row r="3172">
      <c r="A3172" t="inlineStr">
        <is>
          <t>chr4</t>
        </is>
      </c>
      <c r="B3172" t="n">
        <v>142973452</v>
      </c>
      <c r="C3172" t="inlineStr">
        <is>
          <t>A</t>
        </is>
      </c>
      <c r="D3172" t="inlineStr">
        <is>
          <t>G</t>
        </is>
      </c>
      <c r="E3172" t="inlineStr">
        <is>
          <t>rs13128465</t>
        </is>
      </c>
      <c r="F3172" t="n">
        <v>0.0252665188</v>
      </c>
      <c r="G3172" t="n">
        <v>0.211754879855303</v>
      </c>
      <c r="H3172" t="n">
        <v>0.0118378423403632</v>
      </c>
      <c r="I3172" t="n">
        <v>0.3541769917937828</v>
      </c>
      <c r="J3172" t="n">
        <v>0.1434811496667166</v>
      </c>
      <c r="K3172" t="n">
        <v>0.4977974550755608</v>
      </c>
      <c r="L3172" t="b">
        <v>0</v>
      </c>
      <c r="M3172" t="b">
        <v>0</v>
      </c>
      <c r="N3172" t="inlineStr">
        <is>
          <t>alt</t>
        </is>
      </c>
      <c r="O3172" t="n">
        <v>15</v>
      </c>
      <c r="P3172" t="n">
        <v>0.00111</v>
      </c>
      <c r="Q3172" t="n">
        <v>70</v>
      </c>
      <c r="R3172" t="n">
        <v>0.03613</v>
      </c>
      <c r="S3172">
        <f>IMAGE("https://mitra.stanford.edu/kundaje/oak/projects/neuro-variants/variant_position/credible/roussos_2024/variant_figures/roussos_2024.adolescence.GLU/rs13128465_count_position.png",4,220,900)</f>
        <v/>
      </c>
      <c r="T3172">
        <f>IMAGE("https://mitra.stanford.edu/kundaje/oak/projects/neuro-variants/variant_position/credible/roussos_2024/variant_figures/roussos_2024.adolescence.GLU/rs13128465_profile_position.png",4,220,900)</f>
        <v/>
      </c>
    </row>
    <row r="3173">
      <c r="A3173" t="inlineStr">
        <is>
          <t>chr4</t>
        </is>
      </c>
      <c r="B3173" t="n">
        <v>142975241</v>
      </c>
      <c r="C3173" t="inlineStr">
        <is>
          <t>T</t>
        </is>
      </c>
      <c r="D3173" t="inlineStr">
        <is>
          <t>A</t>
        </is>
      </c>
      <c r="E3173" t="inlineStr">
        <is>
          <t>rs13147901</t>
        </is>
      </c>
      <c r="F3173" t="n">
        <v>0.00876262308</v>
      </c>
      <c r="G3173" t="n">
        <v>0.5517870085478302</v>
      </c>
      <c r="H3173" t="n">
        <v>0.0235812721549777</v>
      </c>
      <c r="I3173" t="n">
        <v>0.0260977320854732</v>
      </c>
      <c r="J3173" t="n">
        <v>0.0741139235984596</v>
      </c>
      <c r="K3173" t="n">
        <v>0.6286732005650592</v>
      </c>
      <c r="L3173" t="b">
        <v>0</v>
      </c>
      <c r="M3173" t="b">
        <v>0</v>
      </c>
      <c r="N3173" t="inlineStr">
        <is>
          <t>alt</t>
        </is>
      </c>
      <c r="O3173" t="n">
        <v>65</v>
      </c>
      <c r="P3173" t="n">
        <v>0.001923</v>
      </c>
      <c r="Q3173" t="n">
        <v>-25</v>
      </c>
      <c r="R3173" t="n">
        <v>0.0617</v>
      </c>
      <c r="S3173">
        <f>IMAGE("https://mitra.stanford.edu/kundaje/oak/projects/neuro-variants/variant_position/credible/roussos_2024/variant_figures/roussos_2024.adolescence.GLU/rs13147901_count_position.png",4,220,900)</f>
        <v/>
      </c>
      <c r="T3173">
        <f>IMAGE("https://mitra.stanford.edu/kundaje/oak/projects/neuro-variants/variant_position/credible/roussos_2024/variant_figures/roussos_2024.adolescence.GLU/rs13147901_profile_position.png",4,220,900)</f>
        <v/>
      </c>
    </row>
    <row r="3174">
      <c r="A3174" t="inlineStr">
        <is>
          <t>chr4</t>
        </is>
      </c>
      <c r="B3174" t="n">
        <v>142976607</v>
      </c>
      <c r="C3174" t="inlineStr">
        <is>
          <t>A</t>
        </is>
      </c>
      <c r="D3174" t="inlineStr">
        <is>
          <t>G</t>
        </is>
      </c>
      <c r="E3174" t="inlineStr">
        <is>
          <t>rs4690743</t>
        </is>
      </c>
      <c r="F3174" t="n">
        <v>0.0117951117999999</v>
      </c>
      <c r="G3174" t="n">
        <v>0.4441191270860511</v>
      </c>
      <c r="H3174" t="n">
        <v>0.0213252029706181</v>
      </c>
      <c r="I3174" t="n">
        <v>0.0398347349696773</v>
      </c>
      <c r="J3174" t="n">
        <v>0.0047109758449964</v>
      </c>
      <c r="K3174" t="n">
        <v>0.924568254615712</v>
      </c>
      <c r="L3174" t="b">
        <v>0</v>
      </c>
      <c r="M3174" t="b">
        <v>0</v>
      </c>
      <c r="N3174" t="inlineStr">
        <is>
          <t>alt</t>
        </is>
      </c>
      <c r="O3174" t="n">
        <v>5</v>
      </c>
      <c r="P3174" t="n">
        <v>0.0007896</v>
      </c>
      <c r="Q3174" t="n">
        <v>-30</v>
      </c>
      <c r="R3174" t="n">
        <v>0.0483</v>
      </c>
      <c r="S3174">
        <f>IMAGE("https://mitra.stanford.edu/kundaje/oak/projects/neuro-variants/variant_position/credible/roussos_2024/variant_figures/roussos_2024.adolescence.GLU/rs4690743_count_position.png",4,220,900)</f>
        <v/>
      </c>
      <c r="T3174">
        <f>IMAGE("https://mitra.stanford.edu/kundaje/oak/projects/neuro-variants/variant_position/credible/roussos_2024/variant_figures/roussos_2024.adolescence.GLU/rs4690743_profile_position.png",4,220,900)</f>
        <v/>
      </c>
    </row>
    <row r="3175">
      <c r="A3175" t="inlineStr">
        <is>
          <t>chr4</t>
        </is>
      </c>
      <c r="B3175" t="n">
        <v>142976996</v>
      </c>
      <c r="C3175" t="inlineStr">
        <is>
          <t>T</t>
        </is>
      </c>
      <c r="D3175" t="inlineStr">
        <is>
          <t>C</t>
        </is>
      </c>
      <c r="E3175" t="inlineStr">
        <is>
          <t>rs13110491</t>
        </is>
      </c>
      <c r="F3175" t="n">
        <v>0.0474044674</v>
      </c>
      <c r="G3175" t="n">
        <v>0.0687492766340581</v>
      </c>
      <c r="H3175" t="n">
        <v>0.0156378211648852</v>
      </c>
      <c r="I3175" t="n">
        <v>0.1406339768827743</v>
      </c>
      <c r="J3175" t="n">
        <v>0.0037121975266304</v>
      </c>
      <c r="K3175" t="n">
        <v>0.9312687254279834</v>
      </c>
      <c r="L3175" t="b">
        <v>0</v>
      </c>
      <c r="M3175" t="b">
        <v>0</v>
      </c>
      <c r="N3175" t="inlineStr">
        <is>
          <t>alt</t>
        </is>
      </c>
      <c r="O3175" t="n">
        <v>85</v>
      </c>
      <c r="P3175" t="n">
        <v>0.287</v>
      </c>
      <c r="Q3175" t="n">
        <v>0</v>
      </c>
      <c r="R3175" t="n">
        <v>0</v>
      </c>
      <c r="S3175">
        <f>IMAGE("https://mitra.stanford.edu/kundaje/oak/projects/neuro-variants/variant_position/credible/roussos_2024/variant_figures/roussos_2024.adolescence.GLU/rs13110491_count_position.png",4,220,900)</f>
        <v/>
      </c>
      <c r="T3175">
        <f>IMAGE("https://mitra.stanford.edu/kundaje/oak/projects/neuro-variants/variant_position/credible/roussos_2024/variant_figures/roussos_2024.adolescence.GLU/rs13110491_profile_position.png",4,220,900)</f>
        <v/>
      </c>
    </row>
    <row r="3176">
      <c r="A3176" t="inlineStr">
        <is>
          <t>chr4</t>
        </is>
      </c>
      <c r="B3176" t="n">
        <v>142977422</v>
      </c>
      <c r="C3176" t="inlineStr">
        <is>
          <t>T</t>
        </is>
      </c>
      <c r="D3176" t="inlineStr">
        <is>
          <t>C</t>
        </is>
      </c>
      <c r="E3176" t="inlineStr">
        <is>
          <t>rs9308158</t>
        </is>
      </c>
      <c r="F3176" t="n">
        <v>0.043895863</v>
      </c>
      <c r="G3176" t="n">
        <v>0.09016363839453941</v>
      </c>
      <c r="H3176" t="n">
        <v>0.0196331249139282</v>
      </c>
      <c r="I3176" t="n">
        <v>0.07054585456472739</v>
      </c>
      <c r="J3176" t="n">
        <v>0.0059398018160904</v>
      </c>
      <c r="K3176" t="n">
        <v>0.9076723971907772</v>
      </c>
      <c r="L3176" t="b">
        <v>0</v>
      </c>
      <c r="M3176" t="b">
        <v>0</v>
      </c>
      <c r="N3176" t="inlineStr">
        <is>
          <t>alt</t>
        </is>
      </c>
      <c r="O3176" t="n">
        <v>-100</v>
      </c>
      <c r="P3176" t="n">
        <v>0.01627</v>
      </c>
      <c r="Q3176" t="n">
        <v>-100</v>
      </c>
      <c r="R3176" t="n">
        <v>0.03796</v>
      </c>
      <c r="S3176">
        <f>IMAGE("https://mitra.stanford.edu/kundaje/oak/projects/neuro-variants/variant_position/credible/roussos_2024/variant_figures/roussos_2024.adolescence.GLU/rs9308158_count_position.png",4,220,900)</f>
        <v/>
      </c>
      <c r="T3176">
        <f>IMAGE("https://mitra.stanford.edu/kundaje/oak/projects/neuro-variants/variant_position/credible/roussos_2024/variant_figures/roussos_2024.adolescence.GLU/rs9308158_profile_position.png",4,220,900)</f>
        <v/>
      </c>
    </row>
    <row r="3177">
      <c r="A3177" t="inlineStr">
        <is>
          <t>chr4</t>
        </is>
      </c>
      <c r="B3177" t="n">
        <v>142990330</v>
      </c>
      <c r="C3177" t="inlineStr">
        <is>
          <t>C</t>
        </is>
      </c>
      <c r="D3177" t="inlineStr">
        <is>
          <t>T</t>
        </is>
      </c>
      <c r="E3177" t="inlineStr">
        <is>
          <t>rs1510140</t>
        </is>
      </c>
      <c r="F3177" t="n">
        <v>-0.0685706012</v>
      </c>
      <c r="G3177" t="n">
        <v>0.0274607587948248</v>
      </c>
      <c r="H3177" t="n">
        <v>0.0140068656550032</v>
      </c>
      <c r="I3177" t="n">
        <v>0.2122458136890897</v>
      </c>
      <c r="J3177" t="n">
        <v>0.4114080773874587</v>
      </c>
      <c r="K3177" t="n">
        <v>0.1561132126290923</v>
      </c>
      <c r="L3177" t="b">
        <v>0</v>
      </c>
      <c r="M3177" t="b">
        <v>0</v>
      </c>
      <c r="N3177" t="inlineStr">
        <is>
          <t>ref</t>
        </is>
      </c>
      <c r="O3177" t="n">
        <v>95</v>
      </c>
      <c r="P3177" t="n">
        <v>0.001411</v>
      </c>
      <c r="Q3177" t="n">
        <v>100</v>
      </c>
      <c r="R3177" t="n">
        <v>0.07006999999999999</v>
      </c>
      <c r="S3177">
        <f>IMAGE("https://mitra.stanford.edu/kundaje/oak/projects/neuro-variants/variant_position/credible/roussos_2024/variant_figures/roussos_2024.adolescence.GLU/rs1510140_count_position.png",4,220,900)</f>
        <v/>
      </c>
      <c r="T3177">
        <f>IMAGE("https://mitra.stanford.edu/kundaje/oak/projects/neuro-variants/variant_position/credible/roussos_2024/variant_figures/roussos_2024.adolescence.GLU/rs1510140_profile_position.png",4,220,900)</f>
        <v/>
      </c>
    </row>
    <row r="3178">
      <c r="A3178" t="inlineStr">
        <is>
          <t>chr4</t>
        </is>
      </c>
      <c r="B3178" t="n">
        <v>155258235</v>
      </c>
      <c r="C3178" t="inlineStr">
        <is>
          <t>A</t>
        </is>
      </c>
      <c r="D3178" t="inlineStr">
        <is>
          <t>G</t>
        </is>
      </c>
      <c r="E3178" t="inlineStr">
        <is>
          <t>rs2341895</t>
        </is>
      </c>
      <c r="F3178" t="n">
        <v>0.0631575754</v>
      </c>
      <c r="G3178" t="n">
        <v>0.0345915945848168</v>
      </c>
      <c r="H3178" t="n">
        <v>0.0236049214372436</v>
      </c>
      <c r="I3178" t="n">
        <v>0.0280885139961096</v>
      </c>
      <c r="J3178" t="n">
        <v>0.0315994027334233</v>
      </c>
      <c r="K3178" t="n">
        <v>0.7666727771706154</v>
      </c>
      <c r="L3178" t="b">
        <v>0</v>
      </c>
      <c r="M3178" t="b">
        <v>0</v>
      </c>
      <c r="N3178" t="inlineStr">
        <is>
          <t>alt</t>
        </is>
      </c>
      <c r="O3178" t="n">
        <v>90</v>
      </c>
      <c r="P3178" t="n">
        <v>0.00537</v>
      </c>
      <c r="Q3178" t="n">
        <v>85</v>
      </c>
      <c r="R3178" t="n">
        <v>0.10596</v>
      </c>
      <c r="S3178">
        <f>IMAGE("https://mitra.stanford.edu/kundaje/oak/projects/neuro-variants/variant_position/credible/roussos_2024/variant_figures/roussos_2024.adolescence.GLU/rs2341895_count_position.png",4,220,900)</f>
        <v/>
      </c>
      <c r="T3178">
        <f>IMAGE("https://mitra.stanford.edu/kundaje/oak/projects/neuro-variants/variant_position/credible/roussos_2024/variant_figures/roussos_2024.adolescence.GLU/rs2341895_profile_position.png",4,220,900)</f>
        <v/>
      </c>
    </row>
    <row r="3179">
      <c r="A3179" t="inlineStr">
        <is>
          <t>chr4</t>
        </is>
      </c>
      <c r="B3179" t="n">
        <v>155281590</v>
      </c>
      <c r="C3179" t="inlineStr">
        <is>
          <t>G</t>
        </is>
      </c>
      <c r="D3179" t="inlineStr">
        <is>
          <t>T</t>
        </is>
      </c>
      <c r="E3179" t="inlineStr">
        <is>
          <t>rs12651028</t>
        </is>
      </c>
      <c r="F3179" t="n">
        <v>0.0011352475599999</v>
      </c>
      <c r="G3179" t="n">
        <v>0.8125881377962327</v>
      </c>
      <c r="H3179" t="n">
        <v>0.0197225807333252</v>
      </c>
      <c r="I3179" t="n">
        <v>0.0613169919227645</v>
      </c>
      <c r="J3179" t="n">
        <v>0.010513606389895</v>
      </c>
      <c r="K3179" t="n">
        <v>0.8717562760705353</v>
      </c>
      <c r="L3179" t="b">
        <v>0</v>
      </c>
      <c r="M3179" t="b">
        <v>0</v>
      </c>
      <c r="N3179" t="inlineStr">
        <is>
          <t>alt</t>
        </is>
      </c>
      <c r="O3179" t="n">
        <v>-100</v>
      </c>
      <c r="P3179" t="n">
        <v>0.01253</v>
      </c>
      <c r="Q3179" t="n">
        <v>5</v>
      </c>
      <c r="R3179" t="n">
        <v>0.003508</v>
      </c>
      <c r="S3179">
        <f>IMAGE("https://mitra.stanford.edu/kundaje/oak/projects/neuro-variants/variant_position/credible/roussos_2024/variant_figures/roussos_2024.adolescence.GLU/rs12651028_count_position.png",4,220,900)</f>
        <v/>
      </c>
      <c r="T3179">
        <f>IMAGE("https://mitra.stanford.edu/kundaje/oak/projects/neuro-variants/variant_position/credible/roussos_2024/variant_figures/roussos_2024.adolescence.GLU/rs12651028_profile_position.png",4,220,900)</f>
        <v/>
      </c>
    </row>
    <row r="3180">
      <c r="A3180" t="inlineStr">
        <is>
          <t>chr4</t>
        </is>
      </c>
      <c r="B3180" t="n">
        <v>155296326</v>
      </c>
      <c r="C3180" t="inlineStr">
        <is>
          <t>G</t>
        </is>
      </c>
      <c r="D3180" t="inlineStr">
        <is>
          <t>A</t>
        </is>
      </c>
      <c r="E3180" t="inlineStr">
        <is>
          <t>rs982012</t>
        </is>
      </c>
      <c r="F3180" t="n">
        <v>0.00339203272</v>
      </c>
      <c r="G3180" t="n">
        <v>0.755874139199879</v>
      </c>
      <c r="H3180" t="n">
        <v>0.0072576015813776</v>
      </c>
      <c r="I3180" t="n">
        <v>0.8863274921381685</v>
      </c>
      <c r="J3180" t="n">
        <v>0.0470497460188181</v>
      </c>
      <c r="K3180" t="n">
        <v>0.7130238310677338</v>
      </c>
      <c r="L3180" t="b">
        <v>0</v>
      </c>
      <c r="M3180" t="b">
        <v>0</v>
      </c>
      <c r="N3180" t="inlineStr">
        <is>
          <t>alt</t>
        </is>
      </c>
      <c r="O3180" t="n">
        <v>75</v>
      </c>
      <c r="P3180" t="n">
        <v>0.007633</v>
      </c>
      <c r="Q3180" t="n">
        <v>-45</v>
      </c>
      <c r="R3180" t="n">
        <v>0.02356</v>
      </c>
      <c r="S3180">
        <f>IMAGE("https://mitra.stanford.edu/kundaje/oak/projects/neuro-variants/variant_position/credible/roussos_2024/variant_figures/roussos_2024.adolescence.GLU/rs982012_count_position.png",4,220,900)</f>
        <v/>
      </c>
      <c r="T3180">
        <f>IMAGE("https://mitra.stanford.edu/kundaje/oak/projects/neuro-variants/variant_position/credible/roussos_2024/variant_figures/roussos_2024.adolescence.GLU/rs982012_profile_position.png",4,220,900)</f>
        <v/>
      </c>
    </row>
    <row r="3181">
      <c r="A3181" t="inlineStr">
        <is>
          <t>chr4</t>
        </is>
      </c>
      <c r="B3181" t="n">
        <v>155297067</v>
      </c>
      <c r="C3181" t="inlineStr">
        <is>
          <t>G</t>
        </is>
      </c>
      <c r="D3181" t="inlineStr">
        <is>
          <t>T</t>
        </is>
      </c>
      <c r="E3181" t="inlineStr">
        <is>
          <t>rs877367</t>
        </is>
      </c>
      <c r="F3181" t="n">
        <v>0.00562750132</v>
      </c>
      <c r="G3181" t="n">
        <v>0.6295466740459172</v>
      </c>
      <c r="H3181" t="n">
        <v>0.0153831087849003</v>
      </c>
      <c r="I3181" t="n">
        <v>0.1475827263374708</v>
      </c>
      <c r="J3181" t="n">
        <v>0.0419201120232047</v>
      </c>
      <c r="K3181" t="n">
        <v>0.7342874102891388</v>
      </c>
      <c r="L3181" t="b">
        <v>0</v>
      </c>
      <c r="M3181" t="b">
        <v>0</v>
      </c>
      <c r="N3181" t="inlineStr">
        <is>
          <t>alt</t>
        </is>
      </c>
      <c r="O3181" t="n">
        <v>60</v>
      </c>
      <c r="P3181" t="n">
        <v>0.006157</v>
      </c>
      <c r="Q3181" t="n">
        <v>-100</v>
      </c>
      <c r="R3181" t="n">
        <v>0.01268</v>
      </c>
      <c r="S3181">
        <f>IMAGE("https://mitra.stanford.edu/kundaje/oak/projects/neuro-variants/variant_position/credible/roussos_2024/variant_figures/roussos_2024.adolescence.GLU/rs877367_count_position.png",4,220,900)</f>
        <v/>
      </c>
      <c r="T3181">
        <f>IMAGE("https://mitra.stanford.edu/kundaje/oak/projects/neuro-variants/variant_position/credible/roussos_2024/variant_figures/roussos_2024.adolescence.GLU/rs877367_profile_position.png",4,220,900)</f>
        <v/>
      </c>
    </row>
    <row r="3182">
      <c r="A3182" t="inlineStr">
        <is>
          <t>chr4</t>
        </is>
      </c>
      <c r="B3182" t="n">
        <v>155322740</v>
      </c>
      <c r="C3182" t="inlineStr">
        <is>
          <t>T</t>
        </is>
      </c>
      <c r="D3182" t="inlineStr">
        <is>
          <t>C</t>
        </is>
      </c>
      <c r="E3182" t="inlineStr">
        <is>
          <t>rs1037027</t>
        </is>
      </c>
      <c r="F3182" t="n">
        <v>0.0479590112</v>
      </c>
      <c r="G3182" t="n">
        <v>0.0689918748770464</v>
      </c>
      <c r="H3182" t="n">
        <v>0.0114551537668865</v>
      </c>
      <c r="I3182" t="n">
        <v>0.3793933679732951</v>
      </c>
      <c r="J3182" t="n">
        <v>0.12529881189675</v>
      </c>
      <c r="K3182" t="n">
        <v>0.5186542919537817</v>
      </c>
      <c r="L3182" t="b">
        <v>0</v>
      </c>
      <c r="M3182" t="b">
        <v>0</v>
      </c>
      <c r="N3182" t="inlineStr">
        <is>
          <t>alt</t>
        </is>
      </c>
      <c r="O3182" t="n">
        <v>30</v>
      </c>
      <c r="P3182" t="n">
        <v>0.005016</v>
      </c>
      <c r="Q3182" t="n">
        <v>45</v>
      </c>
      <c r="R3182" t="n">
        <v>0.063</v>
      </c>
      <c r="S3182">
        <f>IMAGE("https://mitra.stanford.edu/kundaje/oak/projects/neuro-variants/variant_position/credible/roussos_2024/variant_figures/roussos_2024.adolescence.GLU/rs1037027_count_position.png",4,220,900)</f>
        <v/>
      </c>
      <c r="T3182">
        <f>IMAGE("https://mitra.stanford.edu/kundaje/oak/projects/neuro-variants/variant_position/credible/roussos_2024/variant_figures/roussos_2024.adolescence.GLU/rs1037027_profile_position.png",4,220,900)</f>
        <v/>
      </c>
    </row>
    <row r="3183">
      <c r="A3183" t="inlineStr">
        <is>
          <t>chr4</t>
        </is>
      </c>
      <c r="B3183" t="n">
        <v>155324249</v>
      </c>
      <c r="C3183" t="inlineStr">
        <is>
          <t>C</t>
        </is>
      </c>
      <c r="D3183" t="inlineStr">
        <is>
          <t>T</t>
        </is>
      </c>
      <c r="E3183" t="inlineStr">
        <is>
          <t>rs1955154</t>
        </is>
      </c>
      <c r="F3183" t="n">
        <v>-0.008369990839999999</v>
      </c>
      <c r="G3183" t="n">
        <v>0.5759044617777703</v>
      </c>
      <c r="H3183" t="n">
        <v>0.0100141755643225</v>
      </c>
      <c r="I3183" t="n">
        <v>0.5415816299831754</v>
      </c>
      <c r="J3183" t="n">
        <v>0.1630223403419279</v>
      </c>
      <c r="K3183" t="n">
        <v>0.4654272615394977</v>
      </c>
      <c r="L3183" t="b">
        <v>0</v>
      </c>
      <c r="M3183" t="b">
        <v>0</v>
      </c>
      <c r="N3183" t="inlineStr">
        <is>
          <t>ref</t>
        </is>
      </c>
      <c r="O3183" t="n">
        <v>-100</v>
      </c>
      <c r="P3183" t="n">
        <v>0.1088</v>
      </c>
      <c r="Q3183" t="n">
        <v>-70</v>
      </c>
      <c r="R3183" t="n">
        <v>0.04663</v>
      </c>
      <c r="S3183">
        <f>IMAGE("https://mitra.stanford.edu/kundaje/oak/projects/neuro-variants/variant_position/credible/roussos_2024/variant_figures/roussos_2024.adolescence.GLU/rs1955154_count_position.png",4,220,900)</f>
        <v/>
      </c>
      <c r="T3183">
        <f>IMAGE("https://mitra.stanford.edu/kundaje/oak/projects/neuro-variants/variant_position/credible/roussos_2024/variant_figures/roussos_2024.adolescence.GLU/rs1955154_profile_position.png",4,220,900)</f>
        <v/>
      </c>
    </row>
    <row r="3184">
      <c r="A3184" t="inlineStr">
        <is>
          <t>chr4</t>
        </is>
      </c>
      <c r="B3184" t="n">
        <v>155334090</v>
      </c>
      <c r="C3184" t="inlineStr">
        <is>
          <t>A</t>
        </is>
      </c>
      <c r="D3184" t="inlineStr">
        <is>
          <t>G</t>
        </is>
      </c>
      <c r="E3184" t="inlineStr">
        <is>
          <t>rs1899932</t>
        </is>
      </c>
      <c r="F3184" t="n">
        <v>-3.8546474e-05</v>
      </c>
      <c r="G3184" t="n">
        <v>0.8341730688978465</v>
      </c>
      <c r="H3184" t="n">
        <v>0.0277086964045797</v>
      </c>
      <c r="I3184" t="n">
        <v>0.0121185025740627</v>
      </c>
      <c r="J3184" t="n">
        <v>0.0113294896800051</v>
      </c>
      <c r="K3184" t="n">
        <v>0.8723069061167908</v>
      </c>
      <c r="L3184" t="b">
        <v>1</v>
      </c>
      <c r="M3184" t="b">
        <v>0</v>
      </c>
      <c r="N3184" t="inlineStr">
        <is>
          <t>ref</t>
        </is>
      </c>
      <c r="O3184" t="n">
        <v>65</v>
      </c>
      <c r="P3184" t="n">
        <v>0.003834</v>
      </c>
      <c r="Q3184" t="n">
        <v>95</v>
      </c>
      <c r="R3184" t="n">
        <v>0.1572</v>
      </c>
      <c r="S3184">
        <f>IMAGE("https://mitra.stanford.edu/kundaje/oak/projects/neuro-variants/variant_position/credible/roussos_2024/variant_figures/roussos_2024.adolescence.GLU/rs1899932_count_position.png",4,220,900)</f>
        <v/>
      </c>
      <c r="T3184">
        <f>IMAGE("https://mitra.stanford.edu/kundaje/oak/projects/neuro-variants/variant_position/credible/roussos_2024/variant_figures/roussos_2024.adolescence.GLU/rs1899932_profile_position.png",4,220,900)</f>
        <v/>
      </c>
    </row>
    <row r="3185">
      <c r="A3185" t="inlineStr">
        <is>
          <t>chr4</t>
        </is>
      </c>
      <c r="B3185" t="n">
        <v>155342266</v>
      </c>
      <c r="C3185" t="inlineStr">
        <is>
          <t>G</t>
        </is>
      </c>
      <c r="D3185" t="inlineStr">
        <is>
          <t>A</t>
        </is>
      </c>
      <c r="E3185" t="inlineStr">
        <is>
          <t>rs1020356</t>
        </is>
      </c>
      <c r="F3185" t="n">
        <v>0.002761937588</v>
      </c>
      <c r="G3185" t="n">
        <v>0.8249985740452137</v>
      </c>
      <c r="H3185" t="n">
        <v>0.0167807701631338</v>
      </c>
      <c r="I3185" t="n">
        <v>0.1120677573566016</v>
      </c>
      <c r="J3185" t="n">
        <v>0.078864907730887</v>
      </c>
      <c r="K3185" t="n">
        <v>0.6159863564356545</v>
      </c>
      <c r="L3185" t="b">
        <v>0</v>
      </c>
      <c r="M3185" t="b">
        <v>0</v>
      </c>
      <c r="N3185" t="inlineStr">
        <is>
          <t>alt</t>
        </is>
      </c>
      <c r="O3185" t="n">
        <v>-50</v>
      </c>
      <c r="P3185" t="n">
        <v>0.001221</v>
      </c>
      <c r="Q3185" t="n">
        <v>85</v>
      </c>
      <c r="R3185" t="n">
        <v>0.02264</v>
      </c>
      <c r="S3185">
        <f>IMAGE("https://mitra.stanford.edu/kundaje/oak/projects/neuro-variants/variant_position/credible/roussos_2024/variant_figures/roussos_2024.adolescence.GLU/rs1020356_count_position.png",4,220,900)</f>
        <v/>
      </c>
      <c r="T3185">
        <f>IMAGE("https://mitra.stanford.edu/kundaje/oak/projects/neuro-variants/variant_position/credible/roussos_2024/variant_figures/roussos_2024.adolescence.GLU/rs1020356_profile_position.png",4,220,900)</f>
        <v/>
      </c>
    </row>
    <row r="3186">
      <c r="A3186" t="inlineStr">
        <is>
          <t>chr4</t>
        </is>
      </c>
      <c r="B3186" t="n">
        <v>155349668</v>
      </c>
      <c r="C3186" t="inlineStr">
        <is>
          <t>C</t>
        </is>
      </c>
      <c r="D3186" t="inlineStr">
        <is>
          <t>T</t>
        </is>
      </c>
      <c r="E3186" t="inlineStr">
        <is>
          <t>rs116327309</t>
        </is>
      </c>
      <c r="F3186" t="n">
        <v>-0.0007744541799999</v>
      </c>
      <c r="G3186" t="n">
        <v>0.7055778318633991</v>
      </c>
      <c r="H3186" t="n">
        <v>0.0197745963134446</v>
      </c>
      <c r="I3186" t="n">
        <v>0.0596224870856288</v>
      </c>
      <c r="J3186" t="n">
        <v>0.1141579327146337</v>
      </c>
      <c r="K3186" t="n">
        <v>0.5359488452205353</v>
      </c>
      <c r="L3186" t="b">
        <v>0</v>
      </c>
      <c r="M3186" t="b">
        <v>0</v>
      </c>
      <c r="N3186" t="inlineStr">
        <is>
          <t>ref</t>
        </is>
      </c>
      <c r="O3186" t="n">
        <v>25</v>
      </c>
      <c r="P3186" t="n">
        <v>0.001825</v>
      </c>
      <c r="Q3186" t="n">
        <v>85</v>
      </c>
      <c r="R3186" t="n">
        <v>0.1224</v>
      </c>
      <c r="S3186">
        <f>IMAGE("https://mitra.stanford.edu/kundaje/oak/projects/neuro-variants/variant_position/credible/roussos_2024/variant_figures/roussos_2024.adolescence.GLU/rs116327309_count_position.png",4,220,900)</f>
        <v/>
      </c>
      <c r="T3186">
        <f>IMAGE("https://mitra.stanford.edu/kundaje/oak/projects/neuro-variants/variant_position/credible/roussos_2024/variant_figures/roussos_2024.adolescence.GLU/rs116327309_profile_position.png",4,220,900)</f>
        <v/>
      </c>
    </row>
    <row r="3187">
      <c r="A3187" t="inlineStr">
        <is>
          <t>chr4</t>
        </is>
      </c>
      <c r="B3187" t="n">
        <v>155350000</v>
      </c>
      <c r="C3187" t="inlineStr">
        <is>
          <t>T</t>
        </is>
      </c>
      <c r="D3187" t="inlineStr">
        <is>
          <t>C</t>
        </is>
      </c>
      <c r="E3187" t="inlineStr">
        <is>
          <t>rs17311826</t>
        </is>
      </c>
      <c r="F3187" t="n">
        <v>0.003801499</v>
      </c>
      <c r="G3187" t="n">
        <v>0.7525219506829042</v>
      </c>
      <c r="H3187" t="n">
        <v>0.01500690954173</v>
      </c>
      <c r="I3187" t="n">
        <v>0.158134373271021</v>
      </c>
      <c r="J3187" t="n">
        <v>0.0327610719363296</v>
      </c>
      <c r="K3187" t="n">
        <v>0.75793189203119</v>
      </c>
      <c r="L3187" t="b">
        <v>0</v>
      </c>
      <c r="M3187" t="b">
        <v>0</v>
      </c>
      <c r="N3187" t="inlineStr">
        <is>
          <t>alt</t>
        </is>
      </c>
      <c r="O3187" t="n">
        <v>-85</v>
      </c>
      <c r="P3187" t="n">
        <v>0.01672</v>
      </c>
      <c r="Q3187" t="n">
        <v>-100</v>
      </c>
      <c r="R3187" t="n">
        <v>0.1372</v>
      </c>
      <c r="S3187">
        <f>IMAGE("https://mitra.stanford.edu/kundaje/oak/projects/neuro-variants/variant_position/credible/roussos_2024/variant_figures/roussos_2024.adolescence.GLU/rs17311826_count_position.png",4,220,900)</f>
        <v/>
      </c>
      <c r="T3187">
        <f>IMAGE("https://mitra.stanford.edu/kundaje/oak/projects/neuro-variants/variant_position/credible/roussos_2024/variant_figures/roussos_2024.adolescence.GLU/rs17311826_profile_position.png",4,220,900)</f>
        <v/>
      </c>
    </row>
    <row r="3188">
      <c r="A3188" t="inlineStr">
        <is>
          <t>chr4</t>
        </is>
      </c>
      <c r="B3188" t="n">
        <v>155380586</v>
      </c>
      <c r="C3188" t="inlineStr">
        <is>
          <t>T</t>
        </is>
      </c>
      <c r="D3188" t="inlineStr">
        <is>
          <t>G</t>
        </is>
      </c>
      <c r="E3188" t="inlineStr">
        <is>
          <t>rs7657567</t>
        </is>
      </c>
      <c r="F3188" t="n">
        <v>-0.02154885214</v>
      </c>
      <c r="G3188" t="n">
        <v>0.3024907700355898</v>
      </c>
      <c r="H3188" t="n">
        <v>0.0189814067946849</v>
      </c>
      <c r="I3188" t="n">
        <v>0.0752097761398753</v>
      </c>
      <c r="J3188" t="n">
        <v>0.0482399925698894</v>
      </c>
      <c r="K3188" t="n">
        <v>0.7023967314894769</v>
      </c>
      <c r="L3188" t="b">
        <v>0</v>
      </c>
      <c r="M3188" t="b">
        <v>0</v>
      </c>
      <c r="N3188" t="inlineStr">
        <is>
          <t>ref</t>
        </is>
      </c>
      <c r="O3188" t="n">
        <v>40</v>
      </c>
      <c r="P3188" t="n">
        <v>0.02176</v>
      </c>
      <c r="Q3188" t="n">
        <v>20</v>
      </c>
      <c r="R3188" t="n">
        <v>0.02655</v>
      </c>
      <c r="S3188">
        <f>IMAGE("https://mitra.stanford.edu/kundaje/oak/projects/neuro-variants/variant_position/credible/roussos_2024/variant_figures/roussos_2024.adolescence.GLU/rs7657567_count_position.png",4,220,900)</f>
        <v/>
      </c>
      <c r="T3188">
        <f>IMAGE("https://mitra.stanford.edu/kundaje/oak/projects/neuro-variants/variant_position/credible/roussos_2024/variant_figures/roussos_2024.adolescence.GLU/rs7657567_profile_position.png",4,220,900)</f>
        <v/>
      </c>
    </row>
    <row r="3189">
      <c r="A3189" t="inlineStr">
        <is>
          <t>chr4</t>
        </is>
      </c>
      <c r="B3189" t="n">
        <v>169282697</v>
      </c>
      <c r="C3189" t="inlineStr">
        <is>
          <t>A</t>
        </is>
      </c>
      <c r="D3189" t="inlineStr">
        <is>
          <t>C</t>
        </is>
      </c>
      <c r="E3189" t="inlineStr">
        <is>
          <t>rs13112591</t>
        </is>
      </c>
      <c r="F3189" t="n">
        <v>-0.006951074758</v>
      </c>
      <c r="G3189" t="n">
        <v>0.6607599226308755</v>
      </c>
      <c r="H3189" t="n">
        <v>0.0260130484496901</v>
      </c>
      <c r="I3189" t="n">
        <v>0.017700289396777</v>
      </c>
      <c r="J3189" t="n">
        <v>0.1064649105886218</v>
      </c>
      <c r="K3189" t="n">
        <v>0.5589712869440751</v>
      </c>
      <c r="L3189" t="b">
        <v>1</v>
      </c>
      <c r="M3189" t="b">
        <v>0</v>
      </c>
      <c r="N3189" t="inlineStr">
        <is>
          <t>ref</t>
        </is>
      </c>
      <c r="O3189" t="n">
        <v>-95</v>
      </c>
      <c r="P3189" t="n">
        <v>0.01926</v>
      </c>
      <c r="Q3189" t="n">
        <v>30</v>
      </c>
      <c r="R3189" t="n">
        <v>0.02455</v>
      </c>
      <c r="S3189">
        <f>IMAGE("https://mitra.stanford.edu/kundaje/oak/projects/neuro-variants/variant_position/credible/roussos_2024/variant_figures/roussos_2024.adolescence.GLU/rs13112591_count_position.png",4,220,900)</f>
        <v/>
      </c>
      <c r="T3189">
        <f>IMAGE("https://mitra.stanford.edu/kundaje/oak/projects/neuro-variants/variant_position/credible/roussos_2024/variant_figures/roussos_2024.adolescence.GLU/rs13112591_profile_position.png",4,220,900)</f>
        <v/>
      </c>
    </row>
    <row r="3190">
      <c r="A3190" t="inlineStr">
        <is>
          <t>chr4</t>
        </is>
      </c>
      <c r="B3190" t="n">
        <v>169315812</v>
      </c>
      <c r="C3190" t="inlineStr">
        <is>
          <t>C</t>
        </is>
      </c>
      <c r="D3190" t="inlineStr">
        <is>
          <t>T</t>
        </is>
      </c>
      <c r="E3190" t="inlineStr">
        <is>
          <t>rs4692712</t>
        </is>
      </c>
      <c r="F3190" t="n">
        <v>0.029975968</v>
      </c>
      <c r="G3190" t="n">
        <v>0.1719672173960704</v>
      </c>
      <c r="H3190" t="n">
        <v>0.0186422513859746</v>
      </c>
      <c r="I3190" t="n">
        <v>0.0747217185680339</v>
      </c>
      <c r="J3190" t="n">
        <v>0.2676111480235191</v>
      </c>
      <c r="K3190" t="n">
        <v>0.3084920465586243</v>
      </c>
      <c r="L3190" t="b">
        <v>0</v>
      </c>
      <c r="M3190" t="b">
        <v>0</v>
      </c>
      <c r="N3190" t="inlineStr">
        <is>
          <t>alt</t>
        </is>
      </c>
      <c r="O3190" t="n">
        <v>-55</v>
      </c>
      <c r="P3190" t="n">
        <v>0.002438</v>
      </c>
      <c r="Q3190" t="n">
        <v>-55</v>
      </c>
      <c r="R3190" t="n">
        <v>0.04022</v>
      </c>
      <c r="S3190">
        <f>IMAGE("https://mitra.stanford.edu/kundaje/oak/projects/neuro-variants/variant_position/credible/roussos_2024/variant_figures/roussos_2024.adolescence.GLU/rs4692712_count_position.png",4,220,900)</f>
        <v/>
      </c>
      <c r="T3190">
        <f>IMAGE("https://mitra.stanford.edu/kundaje/oak/projects/neuro-variants/variant_position/credible/roussos_2024/variant_figures/roussos_2024.adolescence.GLU/rs4692712_profile_position.png",4,220,900)</f>
        <v/>
      </c>
    </row>
    <row r="3191">
      <c r="A3191" t="inlineStr">
        <is>
          <t>chr4</t>
        </is>
      </c>
      <c r="B3191" t="n">
        <v>169364223</v>
      </c>
      <c r="C3191" t="inlineStr">
        <is>
          <t>G</t>
        </is>
      </c>
      <c r="D3191" t="inlineStr">
        <is>
          <t>A</t>
        </is>
      </c>
      <c r="E3191" t="inlineStr">
        <is>
          <t>rs6839248</t>
        </is>
      </c>
      <c r="F3191" t="n">
        <v>-0.018032922</v>
      </c>
      <c r="G3191" t="n">
        <v>0.3295869591822198</v>
      </c>
      <c r="H3191" t="n">
        <v>0.0120946883262842</v>
      </c>
      <c r="I3191" t="n">
        <v>0.3279156873028666</v>
      </c>
      <c r="J3191" t="n">
        <v>0.1325674604025119</v>
      </c>
      <c r="K3191" t="n">
        <v>0.5028176277404647</v>
      </c>
      <c r="L3191" t="b">
        <v>0</v>
      </c>
      <c r="M3191" t="b">
        <v>0</v>
      </c>
      <c r="N3191" t="inlineStr">
        <is>
          <t>ref</t>
        </is>
      </c>
      <c r="O3191" t="n">
        <v>100</v>
      </c>
      <c r="P3191" t="n">
        <v>0.00923</v>
      </c>
      <c r="Q3191" t="n">
        <v>100</v>
      </c>
      <c r="R3191" t="n">
        <v>0.04193</v>
      </c>
      <c r="S3191">
        <f>IMAGE("https://mitra.stanford.edu/kundaje/oak/projects/neuro-variants/variant_position/credible/roussos_2024/variant_figures/roussos_2024.adolescence.GLU/rs6839248_count_position.png",4,220,900)</f>
        <v/>
      </c>
      <c r="T3191">
        <f>IMAGE("https://mitra.stanford.edu/kundaje/oak/projects/neuro-variants/variant_position/credible/roussos_2024/variant_figures/roussos_2024.adolescence.GLU/rs6839248_profile_position.png",4,220,900)</f>
        <v/>
      </c>
    </row>
    <row r="3192">
      <c r="A3192" t="inlineStr">
        <is>
          <t>chr4</t>
        </is>
      </c>
      <c r="B3192" t="n">
        <v>169374686</v>
      </c>
      <c r="C3192" t="inlineStr">
        <is>
          <t>G</t>
        </is>
      </c>
      <c r="D3192" t="inlineStr">
        <is>
          <t>A</t>
        </is>
      </c>
      <c r="E3192" t="inlineStr">
        <is>
          <t>rs12641082</t>
        </is>
      </c>
      <c r="F3192" t="n">
        <v>-0.00181992069264</v>
      </c>
      <c r="G3192" t="n">
        <v>0.8472896555311104</v>
      </c>
      <c r="H3192" t="n">
        <v>0.0169921701292455</v>
      </c>
      <c r="I3192" t="n">
        <v>0.1047371786770019</v>
      </c>
      <c r="J3192" t="n">
        <v>0.0249223053346764</v>
      </c>
      <c r="K3192" t="n">
        <v>0.7959637762260596</v>
      </c>
      <c r="L3192" t="b">
        <v>0</v>
      </c>
      <c r="M3192" t="b">
        <v>0</v>
      </c>
      <c r="N3192" t="inlineStr">
        <is>
          <t>ref</t>
        </is>
      </c>
      <c r="O3192" t="n">
        <v>-40</v>
      </c>
      <c r="P3192" t="n">
        <v>0.005207</v>
      </c>
      <c r="Q3192" t="n">
        <v>100</v>
      </c>
      <c r="R3192" t="n">
        <v>0.1428</v>
      </c>
      <c r="S3192">
        <f>IMAGE("https://mitra.stanford.edu/kundaje/oak/projects/neuro-variants/variant_position/credible/roussos_2024/variant_figures/roussos_2024.adolescence.GLU/rs12641082_count_position.png",4,220,900)</f>
        <v/>
      </c>
      <c r="T3192">
        <f>IMAGE("https://mitra.stanford.edu/kundaje/oak/projects/neuro-variants/variant_position/credible/roussos_2024/variant_figures/roussos_2024.adolescence.GLU/rs12641082_profile_position.png",4,220,900)</f>
        <v/>
      </c>
    </row>
    <row r="3193">
      <c r="A3193" t="inlineStr">
        <is>
          <t>chr4</t>
        </is>
      </c>
      <c r="B3193" t="n">
        <v>169388304</v>
      </c>
      <c r="C3193" t="inlineStr">
        <is>
          <t>T</t>
        </is>
      </c>
      <c r="D3193" t="inlineStr">
        <is>
          <t>C</t>
        </is>
      </c>
      <c r="E3193" t="inlineStr">
        <is>
          <t>rs12500131</t>
        </is>
      </c>
      <c r="F3193" t="n">
        <v>-0.0019508071159999</v>
      </c>
      <c r="G3193" t="n">
        <v>0.6344487631523381</v>
      </c>
      <c r="H3193" t="n">
        <v>0.0101601733275004</v>
      </c>
      <c r="I3193" t="n">
        <v>0.5166575972280806</v>
      </c>
      <c r="J3193" t="n">
        <v>0.1332633188303291</v>
      </c>
      <c r="K3193" t="n">
        <v>0.5125662261249282</v>
      </c>
      <c r="L3193" t="b">
        <v>0</v>
      </c>
      <c r="M3193" t="b">
        <v>0</v>
      </c>
      <c r="N3193" t="inlineStr">
        <is>
          <t>ref</t>
        </is>
      </c>
      <c r="O3193" t="n">
        <v>100</v>
      </c>
      <c r="P3193" t="n">
        <v>0.003876</v>
      </c>
      <c r="Q3193" t="n">
        <v>50</v>
      </c>
      <c r="R3193" t="n">
        <v>0.07543999999999999</v>
      </c>
      <c r="S3193">
        <f>IMAGE("https://mitra.stanford.edu/kundaje/oak/projects/neuro-variants/variant_position/credible/roussos_2024/variant_figures/roussos_2024.adolescence.GLU/rs12500131_count_position.png",4,220,900)</f>
        <v/>
      </c>
      <c r="T3193">
        <f>IMAGE("https://mitra.stanford.edu/kundaje/oak/projects/neuro-variants/variant_position/credible/roussos_2024/variant_figures/roussos_2024.adolescence.GLU/rs12500131_profile_position.png",4,220,900)</f>
        <v/>
      </c>
    </row>
    <row r="3194">
      <c r="A3194" t="inlineStr">
        <is>
          <t>chr4</t>
        </is>
      </c>
      <c r="B3194" t="n">
        <v>169486897</v>
      </c>
      <c r="C3194" t="inlineStr">
        <is>
          <t>T</t>
        </is>
      </c>
      <c r="D3194" t="inlineStr">
        <is>
          <t>G</t>
        </is>
      </c>
      <c r="E3194" t="inlineStr">
        <is>
          <t>rs6553440</t>
        </is>
      </c>
      <c r="F3194" t="n">
        <v>0.0043175208139999</v>
      </c>
      <c r="G3194" t="n">
        <v>0.735120600736257</v>
      </c>
      <c r="H3194" t="n">
        <v>0.0267171438260611</v>
      </c>
      <c r="I3194" t="n">
        <v>0.0139092174794171</v>
      </c>
      <c r="J3194" t="n">
        <v>0.0568603496438547</v>
      </c>
      <c r="K3194" t="n">
        <v>0.6770985245362727</v>
      </c>
      <c r="L3194" t="b">
        <v>1</v>
      </c>
      <c r="M3194" t="b">
        <v>0</v>
      </c>
      <c r="N3194" t="inlineStr">
        <is>
          <t>alt</t>
        </is>
      </c>
      <c r="O3194" t="n">
        <v>90</v>
      </c>
      <c r="P3194" t="n">
        <v>0.00843</v>
      </c>
      <c r="Q3194" t="n">
        <v>-10</v>
      </c>
      <c r="R3194" t="n">
        <v>0.02423</v>
      </c>
      <c r="S3194">
        <f>IMAGE("https://mitra.stanford.edu/kundaje/oak/projects/neuro-variants/variant_position/credible/roussos_2024/variant_figures/roussos_2024.adolescence.GLU/rs6553440_count_position.png",4,220,900)</f>
        <v/>
      </c>
      <c r="T3194">
        <f>IMAGE("https://mitra.stanford.edu/kundaje/oak/projects/neuro-variants/variant_position/credible/roussos_2024/variant_figures/roussos_2024.adolescence.GLU/rs6553440_profile_position.png",4,220,900)</f>
        <v/>
      </c>
    </row>
    <row r="3195">
      <c r="A3195" t="inlineStr">
        <is>
          <t>chr4</t>
        </is>
      </c>
      <c r="B3195" t="n">
        <v>169570462</v>
      </c>
      <c r="C3195" t="inlineStr">
        <is>
          <t>A</t>
        </is>
      </c>
      <c r="D3195" t="inlineStr">
        <is>
          <t>G</t>
        </is>
      </c>
      <c r="E3195" t="inlineStr">
        <is>
          <t>rs75394761</t>
        </is>
      </c>
      <c r="F3195" t="n">
        <v>-0.0084156659199999</v>
      </c>
      <c r="G3195" t="n">
        <v>0.5717964627202713</v>
      </c>
      <c r="H3195" t="n">
        <v>0.0141554617910006</v>
      </c>
      <c r="I3195" t="n">
        <v>0.2122132311666705</v>
      </c>
      <c r="J3195" t="n">
        <v>0.5804873866729537</v>
      </c>
      <c r="K3195" t="n">
        <v>0.0447389472764573</v>
      </c>
      <c r="L3195" t="b">
        <v>0</v>
      </c>
      <c r="M3195" t="b">
        <v>0</v>
      </c>
      <c r="N3195" t="inlineStr">
        <is>
          <t>ref</t>
        </is>
      </c>
      <c r="O3195" t="n">
        <v>-5</v>
      </c>
      <c r="P3195" t="n">
        <v>0.001343</v>
      </c>
      <c r="Q3195" t="n">
        <v>-5</v>
      </c>
      <c r="R3195" t="n">
        <v>0.01523</v>
      </c>
      <c r="S3195">
        <f>IMAGE("https://mitra.stanford.edu/kundaje/oak/projects/neuro-variants/variant_position/credible/roussos_2024/variant_figures/roussos_2024.adolescence.GLU/rs75394761_count_position.png",4,220,900)</f>
        <v/>
      </c>
      <c r="T3195">
        <f>IMAGE("https://mitra.stanford.edu/kundaje/oak/projects/neuro-variants/variant_position/credible/roussos_2024/variant_figures/roussos_2024.adolescence.GLU/rs75394761_profile_position.png",4,220,900)</f>
        <v/>
      </c>
    </row>
    <row r="3196">
      <c r="A3196" t="inlineStr">
        <is>
          <t>chr4</t>
        </is>
      </c>
      <c r="B3196" t="n">
        <v>169590400</v>
      </c>
      <c r="C3196" t="inlineStr">
        <is>
          <t>T</t>
        </is>
      </c>
      <c r="D3196" t="inlineStr">
        <is>
          <t>G</t>
        </is>
      </c>
      <c r="E3196" t="inlineStr">
        <is>
          <t>rs4235024</t>
        </is>
      </c>
      <c r="F3196" t="n">
        <v>0.0610589229</v>
      </c>
      <c r="G3196" t="n">
        <v>0.0494176493013802</v>
      </c>
      <c r="H3196" t="n">
        <v>0.026463328397552</v>
      </c>
      <c r="I3196" t="n">
        <v>0.0254314367783192</v>
      </c>
      <c r="J3196" t="n">
        <v>0.0723835651670702</v>
      </c>
      <c r="K3196" t="n">
        <v>0.6365910468633684</v>
      </c>
      <c r="L3196" t="b">
        <v>0</v>
      </c>
      <c r="M3196" t="b">
        <v>0</v>
      </c>
      <c r="N3196" t="inlineStr">
        <is>
          <t>alt</t>
        </is>
      </c>
      <c r="O3196" t="n">
        <v>-80</v>
      </c>
      <c r="P3196" t="n">
        <v>0.002995</v>
      </c>
      <c r="Q3196" t="n">
        <v>-75</v>
      </c>
      <c r="R3196" t="n">
        <v>0.02686</v>
      </c>
      <c r="S3196">
        <f>IMAGE("https://mitra.stanford.edu/kundaje/oak/projects/neuro-variants/variant_position/credible/roussos_2024/variant_figures/roussos_2024.adolescence.GLU/rs4235024_count_position.png",4,220,900)</f>
        <v/>
      </c>
      <c r="T3196">
        <f>IMAGE("https://mitra.stanford.edu/kundaje/oak/projects/neuro-variants/variant_position/credible/roussos_2024/variant_figures/roussos_2024.adolescence.GLU/rs4235024_profile_position.png",4,220,900)</f>
        <v/>
      </c>
    </row>
    <row r="3197">
      <c r="A3197" t="inlineStr">
        <is>
          <t>chr4</t>
        </is>
      </c>
      <c r="B3197" t="n">
        <v>169639180</v>
      </c>
      <c r="C3197" t="inlineStr">
        <is>
          <t>C</t>
        </is>
      </c>
      <c r="D3197" t="inlineStr">
        <is>
          <t>T</t>
        </is>
      </c>
      <c r="E3197" t="inlineStr">
        <is>
          <t>rs4692574</t>
        </is>
      </c>
      <c r="F3197" t="n">
        <v>0.001297270908</v>
      </c>
      <c r="G3197" t="n">
        <v>0.8634339284489668</v>
      </c>
      <c r="H3197" t="n">
        <v>0.0080107261190365</v>
      </c>
      <c r="I3197" t="n">
        <v>0.7733054169639134</v>
      </c>
      <c r="J3197" t="n">
        <v>0.0937922855448628</v>
      </c>
      <c r="K3197" t="n">
        <v>0.5904342141650216</v>
      </c>
      <c r="L3197" t="b">
        <v>0</v>
      </c>
      <c r="M3197" t="b">
        <v>0</v>
      </c>
      <c r="N3197" t="inlineStr">
        <is>
          <t>alt</t>
        </is>
      </c>
      <c r="O3197" t="n">
        <v>-50</v>
      </c>
      <c r="P3197" t="n">
        <v>0.005142</v>
      </c>
      <c r="Q3197" t="n">
        <v>-100</v>
      </c>
      <c r="R3197" t="n">
        <v>0.0842</v>
      </c>
      <c r="S3197">
        <f>IMAGE("https://mitra.stanford.edu/kundaje/oak/projects/neuro-variants/variant_position/credible/roussos_2024/variant_figures/roussos_2024.adolescence.GLU/rs4692574_count_position.png",4,220,900)</f>
        <v/>
      </c>
      <c r="T3197">
        <f>IMAGE("https://mitra.stanford.edu/kundaje/oak/projects/neuro-variants/variant_position/credible/roussos_2024/variant_figures/roussos_2024.adolescence.GLU/rs4692574_profile_position.png",4,220,900)</f>
        <v/>
      </c>
    </row>
    <row r="3198">
      <c r="A3198" t="inlineStr">
        <is>
          <t>chr4</t>
        </is>
      </c>
      <c r="B3198" t="n">
        <v>169678993</v>
      </c>
      <c r="C3198" t="inlineStr">
        <is>
          <t>C</t>
        </is>
      </c>
      <c r="D3198" t="inlineStr">
        <is>
          <t>A</t>
        </is>
      </c>
      <c r="E3198" t="inlineStr">
        <is>
          <t>rs115477840</t>
        </is>
      </c>
      <c r="F3198" t="n">
        <v>0.055717878</v>
      </c>
      <c r="G3198" t="n">
        <v>0.06324661776512</v>
      </c>
      <c r="H3198" t="n">
        <v>0.0250509355849314</v>
      </c>
      <c r="I3198" t="n">
        <v>0.0275230606775891</v>
      </c>
      <c r="J3198" t="n">
        <v>0.5279193547234785</v>
      </c>
      <c r="K3198" t="n">
        <v>0.0711301018738572</v>
      </c>
      <c r="L3198" t="b">
        <v>0</v>
      </c>
      <c r="M3198" t="b">
        <v>0</v>
      </c>
      <c r="N3198" t="inlineStr">
        <is>
          <t>alt</t>
        </is>
      </c>
      <c r="O3198" t="n">
        <v>70</v>
      </c>
      <c r="P3198" t="n">
        <v>0.00116</v>
      </c>
      <c r="Q3198" t="n">
        <v>25</v>
      </c>
      <c r="R3198" t="n">
        <v>0.0408</v>
      </c>
      <c r="S3198">
        <f>IMAGE("https://mitra.stanford.edu/kundaje/oak/projects/neuro-variants/variant_position/credible/roussos_2024/variant_figures/roussos_2024.adolescence.GLU/rs115477840_count_position.png",4,220,900)</f>
        <v/>
      </c>
      <c r="T3198">
        <f>IMAGE("https://mitra.stanford.edu/kundaje/oak/projects/neuro-variants/variant_position/credible/roussos_2024/variant_figures/roussos_2024.adolescence.GLU/rs115477840_profile_position.png",4,220,900)</f>
        <v/>
      </c>
    </row>
    <row r="3199">
      <c r="A3199" t="inlineStr">
        <is>
          <t>chr4</t>
        </is>
      </c>
      <c r="B3199" t="n">
        <v>169694182</v>
      </c>
      <c r="C3199" t="inlineStr">
        <is>
          <t>A</t>
        </is>
      </c>
      <c r="D3199" t="inlineStr">
        <is>
          <t>G</t>
        </is>
      </c>
      <c r="E3199" t="inlineStr">
        <is>
          <t>rs6823311</t>
        </is>
      </c>
      <c r="F3199" t="n">
        <v>0.0118850352</v>
      </c>
      <c r="G3199" t="n">
        <v>0.4455949341904353</v>
      </c>
      <c r="H3199" t="n">
        <v>0.0174284959895393</v>
      </c>
      <c r="I3199" t="n">
        <v>0.0983504605605217</v>
      </c>
      <c r="J3199" t="n">
        <v>0.0332811796729322</v>
      </c>
      <c r="K3199" t="n">
        <v>0.7642188918566409</v>
      </c>
      <c r="L3199" t="b">
        <v>0</v>
      </c>
      <c r="M3199" t="b">
        <v>0</v>
      </c>
      <c r="N3199" t="inlineStr">
        <is>
          <t>alt</t>
        </is>
      </c>
      <c r="O3199" t="n">
        <v>50</v>
      </c>
      <c r="P3199" t="n">
        <v>0.0027</v>
      </c>
      <c r="Q3199" t="n">
        <v>20</v>
      </c>
      <c r="R3199" t="n">
        <v>0.00877</v>
      </c>
      <c r="S3199">
        <f>IMAGE("https://mitra.stanford.edu/kundaje/oak/projects/neuro-variants/variant_position/credible/roussos_2024/variant_figures/roussos_2024.adolescence.GLU/rs6823311_count_position.png",4,220,900)</f>
        <v/>
      </c>
      <c r="T3199">
        <f>IMAGE("https://mitra.stanford.edu/kundaje/oak/projects/neuro-variants/variant_position/credible/roussos_2024/variant_figures/roussos_2024.adolescence.GLU/rs6823311_profile_position.png",4,220,900)</f>
        <v/>
      </c>
    </row>
    <row r="3200">
      <c r="A3200" t="inlineStr">
        <is>
          <t>chr4</t>
        </is>
      </c>
      <c r="B3200" t="n">
        <v>169736898</v>
      </c>
      <c r="C3200" t="inlineStr">
        <is>
          <t>C</t>
        </is>
      </c>
      <c r="D3200" t="inlineStr">
        <is>
          <t>T</t>
        </is>
      </c>
      <c r="E3200" t="inlineStr">
        <is>
          <t>rs6850446</t>
        </is>
      </c>
      <c r="F3200" t="n">
        <v>-0.0607257725999999</v>
      </c>
      <c r="G3200" t="n">
        <v>0.0365951869545207</v>
      </c>
      <c r="H3200" t="n">
        <v>0.0116789733899298</v>
      </c>
      <c r="I3200" t="n">
        <v>0.3619457903513703</v>
      </c>
      <c r="J3200" t="n">
        <v>0.2040922762572246</v>
      </c>
      <c r="K3200" t="n">
        <v>0.3994050000792463</v>
      </c>
      <c r="L3200" t="b">
        <v>0</v>
      </c>
      <c r="M3200" t="b">
        <v>0</v>
      </c>
      <c r="N3200" t="inlineStr">
        <is>
          <t>ref</t>
        </is>
      </c>
      <c r="O3200" t="n">
        <v>100</v>
      </c>
      <c r="P3200" t="n">
        <v>0.003387</v>
      </c>
      <c r="Q3200" t="n">
        <v>-90</v>
      </c>
      <c r="R3200" t="n">
        <v>0.12067</v>
      </c>
      <c r="S3200">
        <f>IMAGE("https://mitra.stanford.edu/kundaje/oak/projects/neuro-variants/variant_position/credible/roussos_2024/variant_figures/roussos_2024.adolescence.GLU/rs6850446_count_position.png",4,220,900)</f>
        <v/>
      </c>
      <c r="T3200">
        <f>IMAGE("https://mitra.stanford.edu/kundaje/oak/projects/neuro-variants/variant_position/credible/roussos_2024/variant_figures/roussos_2024.adolescence.GLU/rs6850446_profile_position.png",4,220,900)</f>
        <v/>
      </c>
    </row>
    <row r="3201">
      <c r="A3201" t="inlineStr">
        <is>
          <t>chr4</t>
        </is>
      </c>
      <c r="B3201" t="n">
        <v>175797785</v>
      </c>
      <c r="C3201" t="inlineStr">
        <is>
          <t>G</t>
        </is>
      </c>
      <c r="D3201" t="inlineStr">
        <is>
          <t>A</t>
        </is>
      </c>
      <c r="E3201" t="inlineStr">
        <is>
          <t>rs1027407</t>
        </is>
      </c>
      <c r="F3201" t="n">
        <v>0.0052622928</v>
      </c>
      <c r="G3201" t="n">
        <v>0.6991512005520876</v>
      </c>
      <c r="H3201" t="n">
        <v>0.0229256138851078</v>
      </c>
      <c r="I3201" t="n">
        <v>0.0318670118091963</v>
      </c>
      <c r="J3201" t="n">
        <v>0.0246265297811688</v>
      </c>
      <c r="K3201" t="n">
        <v>0.8042905761665121</v>
      </c>
      <c r="L3201" t="b">
        <v>0</v>
      </c>
      <c r="M3201" t="b">
        <v>0</v>
      </c>
      <c r="N3201" t="inlineStr">
        <is>
          <t>alt</t>
        </is>
      </c>
      <c r="O3201" t="n">
        <v>80</v>
      </c>
      <c r="P3201" t="n">
        <v>0.00206</v>
      </c>
      <c r="Q3201" t="n">
        <v>-20</v>
      </c>
      <c r="R3201" t="n">
        <v>0.002785</v>
      </c>
      <c r="S3201">
        <f>IMAGE("https://mitra.stanford.edu/kundaje/oak/projects/neuro-variants/variant_position/credible/roussos_2024/variant_figures/roussos_2024.adolescence.GLU/rs1027407_count_position.png",4,220,900)</f>
        <v/>
      </c>
      <c r="T3201">
        <f>IMAGE("https://mitra.stanford.edu/kundaje/oak/projects/neuro-variants/variant_position/credible/roussos_2024/variant_figures/roussos_2024.adolescence.GLU/rs1027407_profile_position.png",4,220,900)</f>
        <v/>
      </c>
    </row>
    <row r="3202">
      <c r="A3202" t="inlineStr">
        <is>
          <t>chr4</t>
        </is>
      </c>
      <c r="B3202" t="n">
        <v>175802229</v>
      </c>
      <c r="C3202" t="inlineStr">
        <is>
          <t>G</t>
        </is>
      </c>
      <c r="D3202" t="inlineStr">
        <is>
          <t>T</t>
        </is>
      </c>
      <c r="E3202" t="inlineStr">
        <is>
          <t>rs28376387</t>
        </is>
      </c>
      <c r="F3202" t="n">
        <v>-0.0042959035999999</v>
      </c>
      <c r="G3202" t="n">
        <v>0.7278704325101688</v>
      </c>
      <c r="H3202" t="n">
        <v>0.022386351707739</v>
      </c>
      <c r="I3202" t="n">
        <v>0.032735010752628</v>
      </c>
      <c r="J3202" t="n">
        <v>0.0200070014503003</v>
      </c>
      <c r="K3202" t="n">
        <v>0.8310431089301095</v>
      </c>
      <c r="L3202" t="b">
        <v>0</v>
      </c>
      <c r="M3202" t="b">
        <v>0</v>
      </c>
      <c r="N3202" t="inlineStr">
        <is>
          <t>ref</t>
        </is>
      </c>
      <c r="O3202" t="n">
        <v>-100</v>
      </c>
      <c r="P3202" t="n">
        <v>0.004173</v>
      </c>
      <c r="Q3202" t="n">
        <v>-100</v>
      </c>
      <c r="R3202" t="n">
        <v>0.0998</v>
      </c>
      <c r="S3202">
        <f>IMAGE("https://mitra.stanford.edu/kundaje/oak/projects/neuro-variants/variant_position/credible/roussos_2024/variant_figures/roussos_2024.adolescence.GLU/rs28376387_count_position.png",4,220,900)</f>
        <v/>
      </c>
      <c r="T3202">
        <f>IMAGE("https://mitra.stanford.edu/kundaje/oak/projects/neuro-variants/variant_position/credible/roussos_2024/variant_figures/roussos_2024.adolescence.GLU/rs28376387_profile_position.png",4,220,900)</f>
        <v/>
      </c>
    </row>
    <row r="3203">
      <c r="A3203" t="inlineStr">
        <is>
          <t>chr4</t>
        </is>
      </c>
      <c r="B3203" t="n">
        <v>175823911</v>
      </c>
      <c r="C3203" t="inlineStr">
        <is>
          <t>C</t>
        </is>
      </c>
      <c r="D3203" t="inlineStr">
        <is>
          <t>T</t>
        </is>
      </c>
      <c r="E3203" t="inlineStr">
        <is>
          <t>rs17062106</t>
        </is>
      </c>
      <c r="F3203" t="n">
        <v>-0.0282606374</v>
      </c>
      <c r="G3203" t="n">
        <v>0.1919291085127871</v>
      </c>
      <c r="H3203" t="n">
        <v>0.0093657265450125</v>
      </c>
      <c r="I3203" t="n">
        <v>0.5730034593895148</v>
      </c>
      <c r="J3203" t="n">
        <v>0.1654871366211572</v>
      </c>
      <c r="K3203" t="n">
        <v>0.4568345939836972</v>
      </c>
      <c r="L3203" t="b">
        <v>0</v>
      </c>
      <c r="M3203" t="b">
        <v>0</v>
      </c>
      <c r="N3203" t="inlineStr">
        <is>
          <t>ref</t>
        </is>
      </c>
      <c r="O3203" t="n">
        <v>-100</v>
      </c>
      <c r="P3203" t="n">
        <v>0.005962</v>
      </c>
      <c r="Q3203" t="n">
        <v>-100</v>
      </c>
      <c r="R3203" t="n">
        <v>0.0525</v>
      </c>
      <c r="S3203">
        <f>IMAGE("https://mitra.stanford.edu/kundaje/oak/projects/neuro-variants/variant_position/credible/roussos_2024/variant_figures/roussos_2024.adolescence.GLU/rs17062106_count_position.png",4,220,900)</f>
        <v/>
      </c>
      <c r="T3203">
        <f>IMAGE("https://mitra.stanford.edu/kundaje/oak/projects/neuro-variants/variant_position/credible/roussos_2024/variant_figures/roussos_2024.adolescence.GLU/rs17062106_profile_position.png",4,220,900)</f>
        <v/>
      </c>
    </row>
    <row r="3204">
      <c r="A3204" t="inlineStr">
        <is>
          <t>chr4</t>
        </is>
      </c>
      <c r="B3204" t="n">
        <v>175934070</v>
      </c>
      <c r="C3204" t="inlineStr">
        <is>
          <t>C</t>
        </is>
      </c>
      <c r="D3204" t="inlineStr">
        <is>
          <t>T</t>
        </is>
      </c>
      <c r="E3204" t="inlineStr">
        <is>
          <t>rs62334820</t>
        </is>
      </c>
      <c r="F3204" t="n">
        <v>-0.0406356352</v>
      </c>
      <c r="G3204" t="n">
        <v>0.1076494100131543</v>
      </c>
      <c r="H3204" t="n">
        <v>0.0202292532999738</v>
      </c>
      <c r="I3204" t="n">
        <v>0.0568409745433703</v>
      </c>
      <c r="J3204" t="n">
        <v>0.0782862164305462</v>
      </c>
      <c r="K3204" t="n">
        <v>0.6259165702365962</v>
      </c>
      <c r="L3204" t="b">
        <v>0</v>
      </c>
      <c r="M3204" t="b">
        <v>0</v>
      </c>
      <c r="N3204" t="inlineStr">
        <is>
          <t>ref</t>
        </is>
      </c>
      <c r="O3204" t="n">
        <v>95</v>
      </c>
      <c r="P3204" t="n">
        <v>0.00634</v>
      </c>
      <c r="Q3204" t="n">
        <v>35</v>
      </c>
      <c r="R3204" t="n">
        <v>0.01851</v>
      </c>
      <c r="S3204">
        <f>IMAGE("https://mitra.stanford.edu/kundaje/oak/projects/neuro-variants/variant_position/credible/roussos_2024/variant_figures/roussos_2024.adolescence.GLU/rs62334820_count_position.png",4,220,900)</f>
        <v/>
      </c>
      <c r="T3204">
        <f>IMAGE("https://mitra.stanford.edu/kundaje/oak/projects/neuro-variants/variant_position/credible/roussos_2024/variant_figures/roussos_2024.adolescence.GLU/rs62334820_profile_position.png",4,220,900)</f>
        <v/>
      </c>
    </row>
    <row r="3205">
      <c r="A3205" t="inlineStr">
        <is>
          <t>chr4</t>
        </is>
      </c>
      <c r="B3205" t="n">
        <v>182609678</v>
      </c>
      <c r="C3205" t="inlineStr">
        <is>
          <t>A</t>
        </is>
      </c>
      <c r="D3205" t="inlineStr">
        <is>
          <t>G</t>
        </is>
      </c>
      <c r="E3205" t="inlineStr">
        <is>
          <t>rs12501338</t>
        </is>
      </c>
      <c r="F3205" t="n">
        <v>0.02080081366</v>
      </c>
      <c r="G3205" t="n">
        <v>0.3348593499608446</v>
      </c>
      <c r="H3205" t="n">
        <v>0.0087580175782263</v>
      </c>
      <c r="I3205" t="n">
        <v>0.5536736965836998</v>
      </c>
      <c r="J3205" t="n">
        <v>0.0377349593844438</v>
      </c>
      <c r="K3205" t="n">
        <v>0.7402181265196335</v>
      </c>
      <c r="L3205" t="b">
        <v>0</v>
      </c>
      <c r="M3205" t="b">
        <v>0</v>
      </c>
      <c r="N3205" t="inlineStr">
        <is>
          <t>alt</t>
        </is>
      </c>
      <c r="O3205" t="n">
        <v>100</v>
      </c>
      <c r="P3205" t="n">
        <v>0.01057</v>
      </c>
      <c r="Q3205" t="n">
        <v>0</v>
      </c>
      <c r="R3205" t="n">
        <v>0</v>
      </c>
      <c r="S3205">
        <f>IMAGE("https://mitra.stanford.edu/kundaje/oak/projects/neuro-variants/variant_position/credible/roussos_2024/variant_figures/roussos_2024.adolescence.GLU/rs12501338_count_position.png",4,220,900)</f>
        <v/>
      </c>
      <c r="T3205">
        <f>IMAGE("https://mitra.stanford.edu/kundaje/oak/projects/neuro-variants/variant_position/credible/roussos_2024/variant_figures/roussos_2024.adolescence.GLU/rs12501338_profile_position.png",4,220,900)</f>
        <v/>
      </c>
    </row>
    <row r="3206">
      <c r="A3206" t="inlineStr">
        <is>
          <t>chr4</t>
        </is>
      </c>
      <c r="B3206" t="n">
        <v>182609964</v>
      </c>
      <c r="C3206" t="inlineStr">
        <is>
          <t>G</t>
        </is>
      </c>
      <c r="D3206" t="inlineStr">
        <is>
          <t>T</t>
        </is>
      </c>
      <c r="E3206" t="inlineStr">
        <is>
          <t>rs55875929</t>
        </is>
      </c>
      <c r="F3206" t="n">
        <v>0.0036842571372</v>
      </c>
      <c r="G3206" t="n">
        <v>0.7227723164681188</v>
      </c>
      <c r="H3206" t="n">
        <v>0.015096039744787</v>
      </c>
      <c r="I3206" t="n">
        <v>0.159678652010876</v>
      </c>
      <c r="J3206" t="n">
        <v>0.0073000835887433</v>
      </c>
      <c r="K3206" t="n">
        <v>0.8988114350301012</v>
      </c>
      <c r="L3206" t="b">
        <v>0</v>
      </c>
      <c r="M3206" t="b">
        <v>0</v>
      </c>
      <c r="N3206" t="inlineStr">
        <is>
          <t>alt</t>
        </is>
      </c>
      <c r="O3206" t="n">
        <v>65</v>
      </c>
      <c r="P3206" t="n">
        <v>0.01511</v>
      </c>
      <c r="Q3206" t="n">
        <v>-100</v>
      </c>
      <c r="R3206" t="n">
        <v>0.04907</v>
      </c>
      <c r="S3206">
        <f>IMAGE("https://mitra.stanford.edu/kundaje/oak/projects/neuro-variants/variant_position/credible/roussos_2024/variant_figures/roussos_2024.adolescence.GLU/rs55875929_count_position.png",4,220,900)</f>
        <v/>
      </c>
      <c r="T3206">
        <f>IMAGE("https://mitra.stanford.edu/kundaje/oak/projects/neuro-variants/variant_position/credible/roussos_2024/variant_figures/roussos_2024.adolescence.GLU/rs55875929_profile_position.png",4,220,900)</f>
        <v/>
      </c>
    </row>
    <row r="3207">
      <c r="A3207" t="inlineStr">
        <is>
          <t>chr4</t>
        </is>
      </c>
      <c r="B3207" t="n">
        <v>182610323</v>
      </c>
      <c r="C3207" t="inlineStr">
        <is>
          <t>C</t>
        </is>
      </c>
      <c r="D3207" t="inlineStr">
        <is>
          <t>T</t>
        </is>
      </c>
      <c r="E3207" t="inlineStr">
        <is>
          <t>rs55903810</t>
        </is>
      </c>
      <c r="F3207" t="n">
        <v>-0.0100938036999999</v>
      </c>
      <c r="G3207" t="n">
        <v>0.5227489724122216</v>
      </c>
      <c r="H3207" t="n">
        <v>0.0113066357191533</v>
      </c>
      <c r="I3207" t="n">
        <v>0.3874573836817787</v>
      </c>
      <c r="J3207" t="n">
        <v>0.003635038686585</v>
      </c>
      <c r="K3207" t="n">
        <v>0.9333119426520504</v>
      </c>
      <c r="L3207" t="b">
        <v>0</v>
      </c>
      <c r="M3207" t="b">
        <v>0</v>
      </c>
      <c r="N3207" t="inlineStr">
        <is>
          <t>ref</t>
        </is>
      </c>
      <c r="O3207" t="n">
        <v>-70</v>
      </c>
      <c r="P3207" t="n">
        <v>0.01868</v>
      </c>
      <c r="Q3207" t="n">
        <v>-80</v>
      </c>
      <c r="R3207" t="n">
        <v>0.000534</v>
      </c>
      <c r="S3207">
        <f>IMAGE("https://mitra.stanford.edu/kundaje/oak/projects/neuro-variants/variant_position/credible/roussos_2024/variant_figures/roussos_2024.adolescence.GLU/rs55903810_count_position.png",4,220,900)</f>
        <v/>
      </c>
      <c r="T3207">
        <f>IMAGE("https://mitra.stanford.edu/kundaje/oak/projects/neuro-variants/variant_position/credible/roussos_2024/variant_figures/roussos_2024.adolescence.GLU/rs55903810_profile_position.png",4,220,900)</f>
        <v/>
      </c>
    </row>
    <row r="3208">
      <c r="A3208" t="inlineStr">
        <is>
          <t>chr4</t>
        </is>
      </c>
      <c r="B3208" t="n">
        <v>182617560</v>
      </c>
      <c r="C3208" t="inlineStr">
        <is>
          <t>T</t>
        </is>
      </c>
      <c r="D3208" t="inlineStr">
        <is>
          <t>C</t>
        </is>
      </c>
      <c r="E3208" t="inlineStr">
        <is>
          <t>rs17324506</t>
        </is>
      </c>
      <c r="F3208" t="n">
        <v>0.0527655086</v>
      </c>
      <c r="G3208" t="n">
        <v>0.052484637714383</v>
      </c>
      <c r="H3208" t="n">
        <v>0.0125878115574644</v>
      </c>
      <c r="I3208" t="n">
        <v>0.2899853935975558</v>
      </c>
      <c r="J3208" t="n">
        <v>0.0145058619285422</v>
      </c>
      <c r="K3208" t="n">
        <v>0.8581901362971063</v>
      </c>
      <c r="L3208" t="b">
        <v>0</v>
      </c>
      <c r="M3208" t="b">
        <v>0</v>
      </c>
      <c r="N3208" t="inlineStr">
        <is>
          <t>alt</t>
        </is>
      </c>
      <c r="O3208" t="n">
        <v>-100</v>
      </c>
      <c r="P3208" t="n">
        <v>0.002533</v>
      </c>
      <c r="Q3208" t="n">
        <v>20</v>
      </c>
      <c r="R3208" t="n">
        <v>0.01468</v>
      </c>
      <c r="S3208">
        <f>IMAGE("https://mitra.stanford.edu/kundaje/oak/projects/neuro-variants/variant_position/credible/roussos_2024/variant_figures/roussos_2024.adolescence.GLU/rs17324506_count_position.png",4,220,900)</f>
        <v/>
      </c>
      <c r="T3208">
        <f>IMAGE("https://mitra.stanford.edu/kundaje/oak/projects/neuro-variants/variant_position/credible/roussos_2024/variant_figures/roussos_2024.adolescence.GLU/rs17324506_profile_position.png",4,220,900)</f>
        <v/>
      </c>
    </row>
    <row r="3209">
      <c r="A3209" t="inlineStr">
        <is>
          <t>chr4</t>
        </is>
      </c>
      <c r="B3209" t="n">
        <v>182664152</v>
      </c>
      <c r="C3209" t="inlineStr">
        <is>
          <t>T</t>
        </is>
      </c>
      <c r="D3209" t="inlineStr">
        <is>
          <t>C</t>
        </is>
      </c>
      <c r="E3209" t="inlineStr">
        <is>
          <t>rs28753071</t>
        </is>
      </c>
      <c r="F3209" t="n">
        <v>0.0819091</v>
      </c>
      <c r="G3209" t="n">
        <v>0.0135186346062537</v>
      </c>
      <c r="H3209" t="n">
        <v>0.0125724390424427</v>
      </c>
      <c r="I3209" t="n">
        <v>0.2870541199444526</v>
      </c>
      <c r="J3209" t="n">
        <v>0.2310450021790227</v>
      </c>
      <c r="K3209" t="n">
        <v>0.3570117429979651</v>
      </c>
      <c r="L3209" t="b">
        <v>1</v>
      </c>
      <c r="M3209" t="b">
        <v>0</v>
      </c>
      <c r="N3209" t="inlineStr">
        <is>
          <t>alt</t>
        </is>
      </c>
      <c r="O3209" t="n">
        <v>40</v>
      </c>
      <c r="P3209" t="n">
        <v>0.004757</v>
      </c>
      <c r="Q3209" t="n">
        <v>-50</v>
      </c>
      <c r="R3209" t="n">
        <v>0.05273</v>
      </c>
      <c r="S3209">
        <f>IMAGE("https://mitra.stanford.edu/kundaje/oak/projects/neuro-variants/variant_position/credible/roussos_2024/variant_figures/roussos_2024.adolescence.GLU/rs28753071_count_position.png",4,220,900)</f>
        <v/>
      </c>
      <c r="T3209">
        <f>IMAGE("https://mitra.stanford.edu/kundaje/oak/projects/neuro-variants/variant_position/credible/roussos_2024/variant_figures/roussos_2024.adolescence.GLU/rs28753071_profile_position.png",4,220,900)</f>
        <v/>
      </c>
    </row>
    <row r="3210">
      <c r="A3210" t="inlineStr">
        <is>
          <t>chr4</t>
        </is>
      </c>
      <c r="B3210" t="n">
        <v>182691382</v>
      </c>
      <c r="C3210" t="inlineStr">
        <is>
          <t>G</t>
        </is>
      </c>
      <c r="D3210" t="inlineStr">
        <is>
          <t>T</t>
        </is>
      </c>
      <c r="E3210" t="inlineStr">
        <is>
          <t>rs7694547</t>
        </is>
      </c>
      <c r="F3210" t="n">
        <v>-0.0178456461</v>
      </c>
      <c r="G3210" t="n">
        <v>0.3369472025728911</v>
      </c>
      <c r="H3210" t="n">
        <v>0.0175529432021546</v>
      </c>
      <c r="I3210" t="n">
        <v>0.09723298234344679</v>
      </c>
      <c r="J3210" t="n">
        <v>0.07483978824185</v>
      </c>
      <c r="K3210" t="n">
        <v>0.6251871108474313</v>
      </c>
      <c r="L3210" t="b">
        <v>0</v>
      </c>
      <c r="M3210" t="b">
        <v>0</v>
      </c>
      <c r="N3210" t="inlineStr">
        <is>
          <t>ref</t>
        </is>
      </c>
      <c r="O3210" t="n">
        <v>-20</v>
      </c>
      <c r="P3210" t="n">
        <v>0.000412</v>
      </c>
      <c r="Q3210" t="n">
        <v>-70</v>
      </c>
      <c r="R3210" t="n">
        <v>0.02795</v>
      </c>
      <c r="S3210">
        <f>IMAGE("https://mitra.stanford.edu/kundaje/oak/projects/neuro-variants/variant_position/credible/roussos_2024/variant_figures/roussos_2024.adolescence.GLU/rs7694547_count_position.png",4,220,900)</f>
        <v/>
      </c>
      <c r="T3210">
        <f>IMAGE("https://mitra.stanford.edu/kundaje/oak/projects/neuro-variants/variant_position/credible/roussos_2024/variant_figures/roussos_2024.adolescence.GLU/rs7694547_profile_position.png",4,220,900)</f>
        <v/>
      </c>
    </row>
    <row r="3211">
      <c r="A3211" t="inlineStr">
        <is>
          <t>chr4</t>
        </is>
      </c>
      <c r="B3211" t="n">
        <v>182692684</v>
      </c>
      <c r="C3211" t="inlineStr">
        <is>
          <t>A</t>
        </is>
      </c>
      <c r="D3211" t="inlineStr">
        <is>
          <t>G</t>
        </is>
      </c>
      <c r="E3211" t="inlineStr">
        <is>
          <t>rs12501438</t>
        </is>
      </c>
      <c r="F3211" t="n">
        <v>-0.01745505314</v>
      </c>
      <c r="G3211" t="n">
        <v>0.3912596417031598</v>
      </c>
      <c r="H3211" t="n">
        <v>0.0243462356743521</v>
      </c>
      <c r="I3211" t="n">
        <v>0.0268558428555234</v>
      </c>
      <c r="J3211" t="n">
        <v>0.029760450379007</v>
      </c>
      <c r="K3211" t="n">
        <v>0.7771086926710771</v>
      </c>
      <c r="L3211" t="b">
        <v>0</v>
      </c>
      <c r="M3211" t="b">
        <v>0</v>
      </c>
      <c r="N3211" t="inlineStr">
        <is>
          <t>ref</t>
        </is>
      </c>
      <c r="O3211" t="n">
        <v>40</v>
      </c>
      <c r="P3211" t="n">
        <v>0.00521</v>
      </c>
      <c r="Q3211" t="n">
        <v>-5</v>
      </c>
      <c r="R3211" t="n">
        <v>0.00885</v>
      </c>
      <c r="S3211">
        <f>IMAGE("https://mitra.stanford.edu/kundaje/oak/projects/neuro-variants/variant_position/credible/roussos_2024/variant_figures/roussos_2024.adolescence.GLU/rs12501438_count_position.png",4,220,900)</f>
        <v/>
      </c>
      <c r="T3211">
        <f>IMAGE("https://mitra.stanford.edu/kundaje/oak/projects/neuro-variants/variant_position/credible/roussos_2024/variant_figures/roussos_2024.adolescence.GLU/rs12501438_profile_position.png",4,220,900)</f>
        <v/>
      </c>
    </row>
    <row r="3212">
      <c r="A3212" t="inlineStr">
        <is>
          <t>chr4</t>
        </is>
      </c>
      <c r="B3212" t="n">
        <v>182716504</v>
      </c>
      <c r="C3212" t="inlineStr">
        <is>
          <t>A</t>
        </is>
      </c>
      <c r="D3212" t="inlineStr">
        <is>
          <t>G</t>
        </is>
      </c>
      <c r="E3212" t="inlineStr">
        <is>
          <t>rs35751669</t>
        </is>
      </c>
      <c r="F3212" t="n">
        <v>-0.00125322586</v>
      </c>
      <c r="G3212" t="n">
        <v>0.7713952264513672</v>
      </c>
      <c r="H3212" t="n">
        <v>0.008185800358871001</v>
      </c>
      <c r="I3212" t="n">
        <v>0.7750540019050819</v>
      </c>
      <c r="J3212" t="n">
        <v>0.2237349165184216</v>
      </c>
      <c r="K3212" t="n">
        <v>0.3700060867244711</v>
      </c>
      <c r="L3212" t="b">
        <v>0</v>
      </c>
      <c r="M3212" t="b">
        <v>0</v>
      </c>
      <c r="N3212" t="inlineStr">
        <is>
          <t>ref</t>
        </is>
      </c>
      <c r="O3212" t="n">
        <v>-100</v>
      </c>
      <c r="P3212" t="n">
        <v>0.01393</v>
      </c>
      <c r="Q3212" t="n">
        <v>50</v>
      </c>
      <c r="R3212" t="n">
        <v>0.0334</v>
      </c>
      <c r="S3212">
        <f>IMAGE("https://mitra.stanford.edu/kundaje/oak/projects/neuro-variants/variant_position/credible/roussos_2024/variant_figures/roussos_2024.adolescence.GLU/rs35751669_count_position.png",4,220,900)</f>
        <v/>
      </c>
      <c r="T3212">
        <f>IMAGE("https://mitra.stanford.edu/kundaje/oak/projects/neuro-variants/variant_position/credible/roussos_2024/variant_figures/roussos_2024.adolescence.GLU/rs35751669_profile_position.png",4,220,900)</f>
        <v/>
      </c>
    </row>
    <row r="3213">
      <c r="A3213" t="inlineStr">
        <is>
          <t>chr5</t>
        </is>
      </c>
      <c r="B3213" t="n">
        <v>3417816</v>
      </c>
      <c r="C3213" t="inlineStr">
        <is>
          <t>T</t>
        </is>
      </c>
      <c r="D3213" t="inlineStr">
        <is>
          <t>C</t>
        </is>
      </c>
      <c r="E3213" t="inlineStr">
        <is>
          <t>rs10462767</t>
        </is>
      </c>
      <c r="F3213" t="n">
        <v>0.0521933361999999</v>
      </c>
      <c r="G3213" t="n">
        <v>0.0538029528891544</v>
      </c>
      <c r="H3213" t="n">
        <v>0.0177318668255193</v>
      </c>
      <c r="I3213" t="n">
        <v>0.08354953149582681</v>
      </c>
      <c r="J3213" t="n">
        <v>0.5612605468275571</v>
      </c>
      <c r="K3213" t="n">
        <v>0.0548164761551015</v>
      </c>
      <c r="L3213" t="b">
        <v>0</v>
      </c>
      <c r="M3213" t="b">
        <v>0</v>
      </c>
      <c r="N3213" t="inlineStr">
        <is>
          <t>alt</t>
        </is>
      </c>
      <c r="O3213" t="n">
        <v>-75</v>
      </c>
      <c r="P3213" t="n">
        <v>0.007416</v>
      </c>
      <c r="Q3213" t="n">
        <v>-5</v>
      </c>
      <c r="R3213" t="n">
        <v>0.01367</v>
      </c>
      <c r="S3213">
        <f>IMAGE("https://mitra.stanford.edu/kundaje/oak/projects/neuro-variants/variant_position/credible/roussos_2024/variant_figures/roussos_2024.adolescence.GLU/rs10462767_count_position.png",4,220,900)</f>
        <v/>
      </c>
      <c r="T3213">
        <f>IMAGE("https://mitra.stanford.edu/kundaje/oak/projects/neuro-variants/variant_position/credible/roussos_2024/variant_figures/roussos_2024.adolescence.GLU/rs10462767_profile_position.png",4,220,900)</f>
        <v/>
      </c>
    </row>
    <row r="3214">
      <c r="A3214" t="inlineStr">
        <is>
          <t>chr5</t>
        </is>
      </c>
      <c r="B3214" t="n">
        <v>3417881</v>
      </c>
      <c r="C3214" t="inlineStr">
        <is>
          <t>A</t>
        </is>
      </c>
      <c r="D3214" t="inlineStr">
        <is>
          <t>G</t>
        </is>
      </c>
      <c r="E3214" t="inlineStr">
        <is>
          <t>rs13170639</t>
        </is>
      </c>
      <c r="F3214" t="n">
        <v>0.024828633</v>
      </c>
      <c r="G3214" t="n">
        <v>0.1578019325402282</v>
      </c>
      <c r="H3214" t="n">
        <v>0.020595804664199</v>
      </c>
      <c r="I3214" t="n">
        <v>0.0564325289378933</v>
      </c>
      <c r="J3214" t="n">
        <v>0.5367340377649656</v>
      </c>
      <c r="K3214" t="n">
        <v>0.0669479689419782</v>
      </c>
      <c r="L3214" t="b">
        <v>0</v>
      </c>
      <c r="M3214" t="b">
        <v>0</v>
      </c>
      <c r="N3214" t="inlineStr">
        <is>
          <t>alt</t>
        </is>
      </c>
      <c r="O3214" t="n">
        <v>-100</v>
      </c>
      <c r="P3214" t="n">
        <v>0.06555</v>
      </c>
      <c r="Q3214" t="n">
        <v>-100</v>
      </c>
      <c r="R3214" t="n">
        <v>0.2358</v>
      </c>
      <c r="S3214">
        <f>IMAGE("https://mitra.stanford.edu/kundaje/oak/projects/neuro-variants/variant_position/credible/roussos_2024/variant_figures/roussos_2024.adolescence.GLU/rs13170639_count_position.png",4,220,900)</f>
        <v/>
      </c>
      <c r="T3214">
        <f>IMAGE("https://mitra.stanford.edu/kundaje/oak/projects/neuro-variants/variant_position/credible/roussos_2024/variant_figures/roussos_2024.adolescence.GLU/rs13170639_profile_position.png",4,220,900)</f>
        <v/>
      </c>
    </row>
    <row r="3215">
      <c r="A3215" t="inlineStr">
        <is>
          <t>chr5</t>
        </is>
      </c>
      <c r="B3215" t="n">
        <v>3439187</v>
      </c>
      <c r="C3215" t="inlineStr">
        <is>
          <t>C</t>
        </is>
      </c>
      <c r="D3215" t="inlineStr">
        <is>
          <t>T</t>
        </is>
      </c>
      <c r="E3215" t="inlineStr">
        <is>
          <t>rs35533030</t>
        </is>
      </c>
      <c r="F3215" t="n">
        <v>-0.0188616545</v>
      </c>
      <c r="G3215" t="n">
        <v>0.3184162218896088</v>
      </c>
      <c r="H3215" t="n">
        <v>0.0108678988266437</v>
      </c>
      <c r="I3215" t="n">
        <v>0.4191460741657619</v>
      </c>
      <c r="J3215" t="n">
        <v>0.5057261861385574</v>
      </c>
      <c r="K3215" t="n">
        <v>0.0847141899253487</v>
      </c>
      <c r="L3215" t="b">
        <v>0</v>
      </c>
      <c r="M3215" t="b">
        <v>0</v>
      </c>
      <c r="N3215" t="inlineStr">
        <is>
          <t>ref</t>
        </is>
      </c>
      <c r="O3215" t="n">
        <v>-100</v>
      </c>
      <c r="P3215" t="n">
        <v>0.01548</v>
      </c>
      <c r="Q3215" t="n">
        <v>-35</v>
      </c>
      <c r="R3215" t="n">
        <v>0.09279999999999999</v>
      </c>
      <c r="S3215">
        <f>IMAGE("https://mitra.stanford.edu/kundaje/oak/projects/neuro-variants/variant_position/credible/roussos_2024/variant_figures/roussos_2024.adolescence.GLU/rs35533030_count_position.png",4,220,900)</f>
        <v/>
      </c>
      <c r="T3215">
        <f>IMAGE("https://mitra.stanford.edu/kundaje/oak/projects/neuro-variants/variant_position/credible/roussos_2024/variant_figures/roussos_2024.adolescence.GLU/rs35533030_profile_position.png",4,220,900)</f>
        <v/>
      </c>
    </row>
    <row r="3216">
      <c r="A3216" t="inlineStr">
        <is>
          <t>chr5</t>
        </is>
      </c>
      <c r="B3216" t="n">
        <v>7236553</v>
      </c>
      <c r="C3216" t="inlineStr">
        <is>
          <t>T</t>
        </is>
      </c>
      <c r="D3216" t="inlineStr">
        <is>
          <t>G</t>
        </is>
      </c>
      <c r="E3216" t="inlineStr">
        <is>
          <t>rs6885115</t>
        </is>
      </c>
      <c r="F3216" t="n">
        <v>-0.00541291426</v>
      </c>
      <c r="G3216" t="n">
        <v>0.5348540815199549</v>
      </c>
      <c r="H3216" t="n">
        <v>0.0112383947561131</v>
      </c>
      <c r="I3216" t="n">
        <v>0.4018012223062226</v>
      </c>
      <c r="J3216" t="n">
        <v>0.0171992769930913</v>
      </c>
      <c r="K3216" t="n">
        <v>0.8327472661851951</v>
      </c>
      <c r="L3216" t="b">
        <v>0</v>
      </c>
      <c r="M3216" t="b">
        <v>0</v>
      </c>
      <c r="N3216" t="inlineStr">
        <is>
          <t>ref</t>
        </is>
      </c>
      <c r="O3216" t="n">
        <v>100</v>
      </c>
      <c r="P3216" t="n">
        <v>0.03864</v>
      </c>
      <c r="Q3216" t="n">
        <v>-35</v>
      </c>
      <c r="R3216" t="n">
        <v>0.00961</v>
      </c>
      <c r="S3216">
        <f>IMAGE("https://mitra.stanford.edu/kundaje/oak/projects/neuro-variants/variant_position/credible/roussos_2024/variant_figures/roussos_2024.adolescence.GLU/rs6885115_count_position.png",4,220,900)</f>
        <v/>
      </c>
      <c r="T3216">
        <f>IMAGE("https://mitra.stanford.edu/kundaje/oak/projects/neuro-variants/variant_position/credible/roussos_2024/variant_figures/roussos_2024.adolescence.GLU/rs6885115_profile_position.png",4,220,900)</f>
        <v/>
      </c>
    </row>
    <row r="3217">
      <c r="A3217" t="inlineStr">
        <is>
          <t>chr5</t>
        </is>
      </c>
      <c r="B3217" t="n">
        <v>7391349</v>
      </c>
      <c r="C3217" t="inlineStr">
        <is>
          <t>G</t>
        </is>
      </c>
      <c r="D3217" t="inlineStr">
        <is>
          <t>A</t>
        </is>
      </c>
      <c r="E3217" t="inlineStr">
        <is>
          <t>rs12514566</t>
        </is>
      </c>
      <c r="F3217" t="n">
        <v>-0.0557175133999999</v>
      </c>
      <c r="G3217" t="n">
        <v>0.0520502428548854</v>
      </c>
      <c r="H3217" t="n">
        <v>0.0157729690092473</v>
      </c>
      <c r="I3217" t="n">
        <v>0.1426151426014534</v>
      </c>
      <c r="J3217" t="n">
        <v>0.3747319087525272</v>
      </c>
      <c r="K3217" t="n">
        <v>0.1863067773559614</v>
      </c>
      <c r="L3217" t="b">
        <v>0</v>
      </c>
      <c r="M3217" t="b">
        <v>0</v>
      </c>
      <c r="N3217" t="inlineStr">
        <is>
          <t>ref</t>
        </is>
      </c>
      <c r="O3217" t="n">
        <v>-75</v>
      </c>
      <c r="P3217" t="n">
        <v>0.00689</v>
      </c>
      <c r="Q3217" t="n">
        <v>30</v>
      </c>
      <c r="R3217" t="n">
        <v>0.01758</v>
      </c>
      <c r="S3217">
        <f>IMAGE("https://mitra.stanford.edu/kundaje/oak/projects/neuro-variants/variant_position/credible/roussos_2024/variant_figures/roussos_2024.adolescence.GLU/rs12514566_count_position.png",4,220,900)</f>
        <v/>
      </c>
      <c r="T3217">
        <f>IMAGE("https://mitra.stanford.edu/kundaje/oak/projects/neuro-variants/variant_position/credible/roussos_2024/variant_figures/roussos_2024.adolescence.GLU/rs12514566_profile_position.png",4,220,900)</f>
        <v/>
      </c>
    </row>
    <row r="3218">
      <c r="A3218" t="inlineStr">
        <is>
          <t>chr5</t>
        </is>
      </c>
      <c r="B3218" t="n">
        <v>23023862</v>
      </c>
      <c r="C3218" t="inlineStr">
        <is>
          <t>C</t>
        </is>
      </c>
      <c r="D3218" t="inlineStr">
        <is>
          <t>T</t>
        </is>
      </c>
      <c r="E3218" t="inlineStr">
        <is>
          <t>rs2680786</t>
        </is>
      </c>
      <c r="F3218" t="n">
        <v>-0.0776424389999999</v>
      </c>
      <c r="G3218" t="n">
        <v>0.0181782581343608</v>
      </c>
      <c r="H3218" t="n">
        <v>0.0162711404916378</v>
      </c>
      <c r="I3218" t="n">
        <v>0.1219996107282627</v>
      </c>
      <c r="J3218" t="n">
        <v>0.0123925670317422</v>
      </c>
      <c r="K3218" t="n">
        <v>0.8573756602373604</v>
      </c>
      <c r="L3218" t="b">
        <v>1</v>
      </c>
      <c r="M3218" t="b">
        <v>0</v>
      </c>
      <c r="N3218" t="inlineStr">
        <is>
          <t>ref</t>
        </is>
      </c>
      <c r="O3218" t="n">
        <v>10</v>
      </c>
      <c r="P3218" t="n">
        <v>0.001648</v>
      </c>
      <c r="Q3218" t="n">
        <v>-25</v>
      </c>
      <c r="R3218" t="n">
        <v>0.003113</v>
      </c>
      <c r="S3218">
        <f>IMAGE("https://mitra.stanford.edu/kundaje/oak/projects/neuro-variants/variant_position/credible/roussos_2024/variant_figures/roussos_2024.adolescence.GLU/rs2680786_count_position.png",4,220,900)</f>
        <v/>
      </c>
      <c r="T3218">
        <f>IMAGE("https://mitra.stanford.edu/kundaje/oak/projects/neuro-variants/variant_position/credible/roussos_2024/variant_figures/roussos_2024.adolescence.GLU/rs2680786_profile_position.png",4,220,900)</f>
        <v/>
      </c>
    </row>
    <row r="3219">
      <c r="A3219" t="inlineStr">
        <is>
          <t>chr5</t>
        </is>
      </c>
      <c r="B3219" t="n">
        <v>23026318</v>
      </c>
      <c r="C3219" t="inlineStr">
        <is>
          <t>G</t>
        </is>
      </c>
      <c r="D3219" t="inlineStr">
        <is>
          <t>A</t>
        </is>
      </c>
      <c r="E3219" t="inlineStr">
        <is>
          <t>rs2680790</t>
        </is>
      </c>
      <c r="F3219" t="n">
        <v>0.01220083885</v>
      </c>
      <c r="G3219" t="n">
        <v>0.4811249597631216</v>
      </c>
      <c r="H3219" t="n">
        <v>0.0194492170903715</v>
      </c>
      <c r="I3219" t="n">
        <v>0.06918463866231619</v>
      </c>
      <c r="J3219" t="n">
        <v>0.1374884797565209</v>
      </c>
      <c r="K3219" t="n">
        <v>0.4924004624929456</v>
      </c>
      <c r="L3219" t="b">
        <v>0</v>
      </c>
      <c r="M3219" t="b">
        <v>0</v>
      </c>
      <c r="N3219" t="inlineStr">
        <is>
          <t>alt</t>
        </is>
      </c>
      <c r="O3219" t="n">
        <v>100</v>
      </c>
      <c r="P3219" t="n">
        <v>0.01013</v>
      </c>
      <c r="Q3219" t="n">
        <v>70</v>
      </c>
      <c r="R3219" t="n">
        <v>0.03403</v>
      </c>
      <c r="S3219">
        <f>IMAGE("https://mitra.stanford.edu/kundaje/oak/projects/neuro-variants/variant_position/credible/roussos_2024/variant_figures/roussos_2024.adolescence.GLU/rs2680790_count_position.png",4,220,900)</f>
        <v/>
      </c>
      <c r="T3219">
        <f>IMAGE("https://mitra.stanford.edu/kundaje/oak/projects/neuro-variants/variant_position/credible/roussos_2024/variant_figures/roussos_2024.adolescence.GLU/rs2680790_profile_position.png",4,220,900)</f>
        <v/>
      </c>
    </row>
    <row r="3220">
      <c r="A3220" t="inlineStr">
        <is>
          <t>chr5</t>
        </is>
      </c>
      <c r="B3220" t="n">
        <v>23036792</v>
      </c>
      <c r="C3220" t="inlineStr">
        <is>
          <t>T</t>
        </is>
      </c>
      <c r="D3220" t="inlineStr">
        <is>
          <t>G</t>
        </is>
      </c>
      <c r="E3220" t="inlineStr">
        <is>
          <t>rs2635639</t>
        </is>
      </c>
      <c r="F3220" t="n">
        <v>-0.010198853758</v>
      </c>
      <c r="G3220" t="n">
        <v>0.5179315957200986</v>
      </c>
      <c r="H3220" t="n">
        <v>0.0248865140494017</v>
      </c>
      <c r="I3220" t="n">
        <v>0.0201466347299711</v>
      </c>
      <c r="J3220" t="n">
        <v>0.2054339827535703</v>
      </c>
      <c r="K3220" t="n">
        <v>0.3895183833558829</v>
      </c>
      <c r="L3220" t="b">
        <v>0</v>
      </c>
      <c r="M3220" t="b">
        <v>0</v>
      </c>
      <c r="N3220" t="inlineStr">
        <is>
          <t>ref</t>
        </is>
      </c>
      <c r="O3220" t="n">
        <v>70</v>
      </c>
      <c r="P3220" t="n">
        <v>0.003883</v>
      </c>
      <c r="Q3220" t="n">
        <v>15</v>
      </c>
      <c r="R3220" t="n">
        <v>0.0393</v>
      </c>
      <c r="S3220">
        <f>IMAGE("https://mitra.stanford.edu/kundaje/oak/projects/neuro-variants/variant_position/credible/roussos_2024/variant_figures/roussos_2024.adolescence.GLU/rs2635639_count_position.png",4,220,900)</f>
        <v/>
      </c>
      <c r="T3220">
        <f>IMAGE("https://mitra.stanford.edu/kundaje/oak/projects/neuro-variants/variant_position/credible/roussos_2024/variant_figures/roussos_2024.adolescence.GLU/rs2635639_profile_position.png",4,220,900)</f>
        <v/>
      </c>
    </row>
    <row r="3221">
      <c r="A3221" t="inlineStr">
        <is>
          <t>chr5</t>
        </is>
      </c>
      <c r="B3221" t="n">
        <v>23036849</v>
      </c>
      <c r="C3221" t="inlineStr">
        <is>
          <t>G</t>
        </is>
      </c>
      <c r="D3221" t="inlineStr">
        <is>
          <t>A</t>
        </is>
      </c>
      <c r="E3221" t="inlineStr">
        <is>
          <t>rs2680799</t>
        </is>
      </c>
      <c r="F3221" t="n">
        <v>-0.08188949399999999</v>
      </c>
      <c r="G3221" t="n">
        <v>0.0155647201517841</v>
      </c>
      <c r="H3221" t="n">
        <v>0.0121170069780904</v>
      </c>
      <c r="I3221" t="n">
        <v>0.3148521395058741</v>
      </c>
      <c r="J3221" t="n">
        <v>0.2083888805538289</v>
      </c>
      <c r="K3221" t="n">
        <v>0.3853012825070925</v>
      </c>
      <c r="L3221" t="b">
        <v>1</v>
      </c>
      <c r="M3221" t="b">
        <v>0</v>
      </c>
      <c r="N3221" t="inlineStr">
        <is>
          <t>ref</t>
        </is>
      </c>
      <c r="O3221" t="n">
        <v>15</v>
      </c>
      <c r="P3221" t="n">
        <v>0.00058</v>
      </c>
      <c r="Q3221" t="n">
        <v>60</v>
      </c>
      <c r="R3221" t="n">
        <v>0.0371</v>
      </c>
      <c r="S3221">
        <f>IMAGE("https://mitra.stanford.edu/kundaje/oak/projects/neuro-variants/variant_position/credible/roussos_2024/variant_figures/roussos_2024.adolescence.GLU/rs2680799_count_position.png",4,220,900)</f>
        <v/>
      </c>
      <c r="T3221">
        <f>IMAGE("https://mitra.stanford.edu/kundaje/oak/projects/neuro-variants/variant_position/credible/roussos_2024/variant_figures/roussos_2024.adolescence.GLU/rs2680799_profile_position.png",4,220,900)</f>
        <v/>
      </c>
    </row>
    <row r="3222">
      <c r="A3222" t="inlineStr">
        <is>
          <t>chr5</t>
        </is>
      </c>
      <c r="B3222" t="n">
        <v>23036893</v>
      </c>
      <c r="C3222" t="inlineStr">
        <is>
          <t>C</t>
        </is>
      </c>
      <c r="D3222" t="inlineStr">
        <is>
          <t>G</t>
        </is>
      </c>
      <c r="E3222" t="inlineStr">
        <is>
          <t>rs2680800</t>
        </is>
      </c>
      <c r="F3222" t="n">
        <v>0.059770641</v>
      </c>
      <c r="G3222" t="n">
        <v>0.0407103802372247</v>
      </c>
      <c r="H3222" t="n">
        <v>0.0137119191742031</v>
      </c>
      <c r="I3222" t="n">
        <v>0.2258042946951825</v>
      </c>
      <c r="J3222" t="n">
        <v>0.2300233619821248</v>
      </c>
      <c r="K3222" t="n">
        <v>0.3551269851211951</v>
      </c>
      <c r="L3222" t="b">
        <v>0</v>
      </c>
      <c r="M3222" t="b">
        <v>0</v>
      </c>
      <c r="N3222" t="inlineStr">
        <is>
          <t>alt</t>
        </is>
      </c>
      <c r="O3222" t="n">
        <v>-30</v>
      </c>
      <c r="P3222" t="n">
        <v>0.006226</v>
      </c>
      <c r="Q3222" t="n">
        <v>15</v>
      </c>
      <c r="R3222" t="n">
        <v>0.02148</v>
      </c>
      <c r="S3222">
        <f>IMAGE("https://mitra.stanford.edu/kundaje/oak/projects/neuro-variants/variant_position/credible/roussos_2024/variant_figures/roussos_2024.adolescence.GLU/rs2680800_count_position.png",4,220,900)</f>
        <v/>
      </c>
      <c r="T3222">
        <f>IMAGE("https://mitra.stanford.edu/kundaje/oak/projects/neuro-variants/variant_position/credible/roussos_2024/variant_figures/roussos_2024.adolescence.GLU/rs2680800_profile_position.png",4,220,900)</f>
        <v/>
      </c>
    </row>
    <row r="3223">
      <c r="A3223" t="inlineStr">
        <is>
          <t>chr5</t>
        </is>
      </c>
      <c r="B3223" t="n">
        <v>23038736</v>
      </c>
      <c r="C3223" t="inlineStr">
        <is>
          <t>A</t>
        </is>
      </c>
      <c r="D3223" t="inlineStr">
        <is>
          <t>G</t>
        </is>
      </c>
      <c r="E3223" t="inlineStr">
        <is>
          <t>rs2635642</t>
        </is>
      </c>
      <c r="F3223" t="n">
        <v>0.1101145579999999</v>
      </c>
      <c r="G3223" t="n">
        <v>0.0059644929935651</v>
      </c>
      <c r="H3223" t="n">
        <v>0.0180884997041596</v>
      </c>
      <c r="I3223" t="n">
        <v>0.0861478247127563</v>
      </c>
      <c r="J3223" t="n">
        <v>0.2204628101535318</v>
      </c>
      <c r="K3223" t="n">
        <v>0.3700105664914317</v>
      </c>
      <c r="L3223" t="b">
        <v>1</v>
      </c>
      <c r="M3223" t="b">
        <v>1</v>
      </c>
      <c r="N3223" t="inlineStr">
        <is>
          <t>alt</t>
        </is>
      </c>
      <c r="O3223" t="n">
        <v>100</v>
      </c>
      <c r="P3223" t="n">
        <v>0.01547</v>
      </c>
      <c r="Q3223" t="n">
        <v>45</v>
      </c>
      <c r="R3223" t="n">
        <v>0.04553</v>
      </c>
      <c r="S3223">
        <f>IMAGE("https://mitra.stanford.edu/kundaje/oak/projects/neuro-variants/variant_position/credible/roussos_2024/variant_figures/roussos_2024.adolescence.GLU/rs2635642_count_position.png",4,220,900)</f>
        <v/>
      </c>
      <c r="T3223">
        <f>IMAGE("https://mitra.stanford.edu/kundaje/oak/projects/neuro-variants/variant_position/credible/roussos_2024/variant_figures/roussos_2024.adolescence.GLU/rs2635642_profile_position.png",4,220,900)</f>
        <v/>
      </c>
    </row>
    <row r="3224">
      <c r="A3224" t="inlineStr">
        <is>
          <t>chr5</t>
        </is>
      </c>
      <c r="B3224" t="n">
        <v>23041513</v>
      </c>
      <c r="C3224" t="inlineStr">
        <is>
          <t>C</t>
        </is>
      </c>
      <c r="D3224" t="inlineStr">
        <is>
          <t>T</t>
        </is>
      </c>
      <c r="E3224" t="inlineStr">
        <is>
          <t>rs2680803</t>
        </is>
      </c>
      <c r="F3224" t="n">
        <v>-0.0328479154</v>
      </c>
      <c r="G3224" t="n">
        <v>0.1761573273948728</v>
      </c>
      <c r="H3224" t="n">
        <v>0.0146914897953606</v>
      </c>
      <c r="I3224" t="n">
        <v>0.2381094446826207</v>
      </c>
      <c r="J3224" t="n">
        <v>0.0066556643876231</v>
      </c>
      <c r="K3224" t="n">
        <v>0.9133412865654388</v>
      </c>
      <c r="L3224" t="b">
        <v>0</v>
      </c>
      <c r="M3224" t="b">
        <v>0</v>
      </c>
      <c r="N3224" t="inlineStr">
        <is>
          <t>ref</t>
        </is>
      </c>
      <c r="O3224" t="n">
        <v>-90</v>
      </c>
      <c r="P3224" t="n">
        <v>0.00684</v>
      </c>
      <c r="Q3224" t="n">
        <v>55</v>
      </c>
      <c r="R3224" t="n">
        <v>0.04663</v>
      </c>
      <c r="S3224">
        <f>IMAGE("https://mitra.stanford.edu/kundaje/oak/projects/neuro-variants/variant_position/credible/roussos_2024/variant_figures/roussos_2024.adolescence.GLU/rs2680803_count_position.png",4,220,900)</f>
        <v/>
      </c>
      <c r="T3224">
        <f>IMAGE("https://mitra.stanford.edu/kundaje/oak/projects/neuro-variants/variant_position/credible/roussos_2024/variant_figures/roussos_2024.adolescence.GLU/rs2680803_profile_position.png",4,220,900)</f>
        <v/>
      </c>
    </row>
    <row r="3225">
      <c r="A3225" t="inlineStr">
        <is>
          <t>chr5</t>
        </is>
      </c>
      <c r="B3225" t="n">
        <v>37804632</v>
      </c>
      <c r="C3225" t="inlineStr">
        <is>
          <t>G</t>
        </is>
      </c>
      <c r="D3225" t="inlineStr">
        <is>
          <t>T</t>
        </is>
      </c>
      <c r="E3225" t="inlineStr">
        <is>
          <t>rs75819762</t>
        </is>
      </c>
      <c r="F3225" t="n">
        <v>0.0475213212</v>
      </c>
      <c r="G3225" t="n">
        <v>0.0788202611403212</v>
      </c>
      <c r="H3225" t="n">
        <v>0.0255279091574691</v>
      </c>
      <c r="I3225" t="n">
        <v>0.0272534613367307</v>
      </c>
      <c r="J3225" t="n">
        <v>0.231597973866015</v>
      </c>
      <c r="K3225" t="n">
        <v>0.3555594170436815</v>
      </c>
      <c r="L3225" t="b">
        <v>0</v>
      </c>
      <c r="M3225" t="b">
        <v>0</v>
      </c>
      <c r="N3225" t="inlineStr">
        <is>
          <t>alt</t>
        </is>
      </c>
      <c r="O3225" t="n">
        <v>100</v>
      </c>
      <c r="P3225" t="n">
        <v>0.03006</v>
      </c>
      <c r="Q3225" t="n">
        <v>100</v>
      </c>
      <c r="R3225" t="n">
        <v>0.2512</v>
      </c>
      <c r="S3225">
        <f>IMAGE("https://mitra.stanford.edu/kundaje/oak/projects/neuro-variants/variant_position/credible/roussos_2024/variant_figures/roussos_2024.adolescence.GLU/rs75819762_count_position.png",4,220,900)</f>
        <v/>
      </c>
      <c r="T3225">
        <f>IMAGE("https://mitra.stanford.edu/kundaje/oak/projects/neuro-variants/variant_position/credible/roussos_2024/variant_figures/roussos_2024.adolescence.GLU/rs75819762_profile_position.png",4,220,900)</f>
        <v/>
      </c>
    </row>
    <row r="3226">
      <c r="A3226" t="inlineStr">
        <is>
          <t>chr5</t>
        </is>
      </c>
      <c r="B3226" t="n">
        <v>37830475</v>
      </c>
      <c r="C3226" t="inlineStr">
        <is>
          <t>A</t>
        </is>
      </c>
      <c r="D3226" t="inlineStr">
        <is>
          <t>C</t>
        </is>
      </c>
      <c r="E3226" t="inlineStr">
        <is>
          <t>rs1862574</t>
        </is>
      </c>
      <c r="F3226" t="n">
        <v>0.00546102708</v>
      </c>
      <c r="G3226" t="n">
        <v>0.4600493924177347</v>
      </c>
      <c r="H3226" t="n">
        <v>0.009081649212965601</v>
      </c>
      <c r="I3226" t="n">
        <v>0.6529436424596217</v>
      </c>
      <c r="J3226" t="n">
        <v>0.3972537168413456</v>
      </c>
      <c r="K3226" t="n">
        <v>0.1704041497153816</v>
      </c>
      <c r="L3226" t="b">
        <v>0</v>
      </c>
      <c r="M3226" t="b">
        <v>0</v>
      </c>
      <c r="N3226" t="inlineStr">
        <is>
          <t>alt</t>
        </is>
      </c>
      <c r="O3226" t="n">
        <v>10</v>
      </c>
      <c r="P3226" t="n">
        <v>0.007904</v>
      </c>
      <c r="Q3226" t="n">
        <v>45</v>
      </c>
      <c r="R3226" t="n">
        <v>0.08984</v>
      </c>
      <c r="S3226">
        <f>IMAGE("https://mitra.stanford.edu/kundaje/oak/projects/neuro-variants/variant_position/credible/roussos_2024/variant_figures/roussos_2024.adolescence.GLU/rs1862574_count_position.png",4,220,900)</f>
        <v/>
      </c>
      <c r="T3226">
        <f>IMAGE("https://mitra.stanford.edu/kundaje/oak/projects/neuro-variants/variant_position/credible/roussos_2024/variant_figures/roussos_2024.adolescence.GLU/rs1862574_profile_position.png",4,220,900)</f>
        <v/>
      </c>
    </row>
    <row r="3227">
      <c r="A3227" t="inlineStr">
        <is>
          <t>chr5</t>
        </is>
      </c>
      <c r="B3227" t="n">
        <v>37833679</v>
      </c>
      <c r="C3227" t="inlineStr">
        <is>
          <t>C</t>
        </is>
      </c>
      <c r="D3227" t="inlineStr">
        <is>
          <t>G</t>
        </is>
      </c>
      <c r="E3227" t="inlineStr">
        <is>
          <t>rs2973038</t>
        </is>
      </c>
      <c r="F3227" t="n">
        <v>-0.023193117</v>
      </c>
      <c r="G3227" t="n">
        <v>0.2579100098774056</v>
      </c>
      <c r="H3227" t="n">
        <v>0.009459920215510001</v>
      </c>
      <c r="I3227" t="n">
        <v>0.5895578683746661</v>
      </c>
      <c r="J3227" t="n">
        <v>0.3385915653956891</v>
      </c>
      <c r="K3227" t="n">
        <v>0.2280228055647549</v>
      </c>
      <c r="L3227" t="b">
        <v>0</v>
      </c>
      <c r="M3227" t="b">
        <v>0</v>
      </c>
      <c r="N3227" t="inlineStr">
        <is>
          <t>ref</t>
        </is>
      </c>
      <c r="O3227" t="n">
        <v>20</v>
      </c>
      <c r="P3227" t="n">
        <v>0.001375</v>
      </c>
      <c r="Q3227" t="n">
        <v>95</v>
      </c>
      <c r="R3227" t="n">
        <v>0.0316</v>
      </c>
      <c r="S3227">
        <f>IMAGE("https://mitra.stanford.edu/kundaje/oak/projects/neuro-variants/variant_position/credible/roussos_2024/variant_figures/roussos_2024.adolescence.GLU/rs2973038_count_position.png",4,220,900)</f>
        <v/>
      </c>
      <c r="T3227">
        <f>IMAGE("https://mitra.stanford.edu/kundaje/oak/projects/neuro-variants/variant_position/credible/roussos_2024/variant_figures/roussos_2024.adolescence.GLU/rs2973038_profile_position.png",4,220,900)</f>
        <v/>
      </c>
    </row>
    <row r="3228">
      <c r="A3228" t="inlineStr">
        <is>
          <t>chr5</t>
        </is>
      </c>
      <c r="B3228" t="n">
        <v>44914183</v>
      </c>
      <c r="C3228" t="inlineStr">
        <is>
          <t>A</t>
        </is>
      </c>
      <c r="D3228" t="inlineStr">
        <is>
          <t>G</t>
        </is>
      </c>
      <c r="E3228" t="inlineStr">
        <is>
          <t>rs7702731</t>
        </is>
      </c>
      <c r="F3228" t="n">
        <v>0.0136754219999999</v>
      </c>
      <c r="G3228" t="n">
        <v>0.398989975045137</v>
      </c>
      <c r="H3228" t="n">
        <v>0.0072201843367839</v>
      </c>
      <c r="I3228" t="n">
        <v>0.8842937756148614</v>
      </c>
      <c r="J3228" t="n">
        <v>0.1414721620907187</v>
      </c>
      <c r="K3228" t="n">
        <v>0.499709875856972</v>
      </c>
      <c r="L3228" t="b">
        <v>0</v>
      </c>
      <c r="M3228" t="b">
        <v>0</v>
      </c>
      <c r="N3228" t="inlineStr">
        <is>
          <t>alt</t>
        </is>
      </c>
      <c r="O3228" t="n">
        <v>-50</v>
      </c>
      <c r="P3228" t="n">
        <v>0.00323</v>
      </c>
      <c r="Q3228" t="n">
        <v>-75</v>
      </c>
      <c r="R3228" t="n">
        <v>0.1001</v>
      </c>
      <c r="S3228">
        <f>IMAGE("https://mitra.stanford.edu/kundaje/oak/projects/neuro-variants/variant_position/credible/roussos_2024/variant_figures/roussos_2024.adolescence.GLU/rs7702731_count_position.png",4,220,900)</f>
        <v/>
      </c>
      <c r="T3228">
        <f>IMAGE("https://mitra.stanford.edu/kundaje/oak/projects/neuro-variants/variant_position/credible/roussos_2024/variant_figures/roussos_2024.adolescence.GLU/rs7702731_profile_position.png",4,220,900)</f>
        <v/>
      </c>
    </row>
    <row r="3229">
      <c r="A3229" t="inlineStr">
        <is>
          <t>chr5</t>
        </is>
      </c>
      <c r="B3229" t="n">
        <v>45011640</v>
      </c>
      <c r="C3229" t="inlineStr">
        <is>
          <t>A</t>
        </is>
      </c>
      <c r="D3229" t="inlineStr">
        <is>
          <t>G</t>
        </is>
      </c>
      <c r="E3229" t="inlineStr">
        <is>
          <t>rs11738503</t>
        </is>
      </c>
      <c r="F3229" t="n">
        <v>-0.00030146395</v>
      </c>
      <c r="G3229" t="n">
        <v>0.8225340904126583</v>
      </c>
      <c r="H3229" t="n">
        <v>0.0244548174028672</v>
      </c>
      <c r="I3229" t="n">
        <v>0.0226802825669432</v>
      </c>
      <c r="J3229" t="n">
        <v>0.0296775760693286</v>
      </c>
      <c r="K3229" t="n">
        <v>0.7817414812496227</v>
      </c>
      <c r="L3229" t="b">
        <v>0</v>
      </c>
      <c r="M3229" t="b">
        <v>0</v>
      </c>
      <c r="N3229" t="inlineStr">
        <is>
          <t>ref</t>
        </is>
      </c>
      <c r="O3229" t="n">
        <v>80</v>
      </c>
      <c r="P3229" t="n">
        <v>0.00357</v>
      </c>
      <c r="Q3229" t="n">
        <v>-5</v>
      </c>
      <c r="R3229" t="n">
        <v>0.0009155</v>
      </c>
      <c r="S3229">
        <f>IMAGE("https://mitra.stanford.edu/kundaje/oak/projects/neuro-variants/variant_position/credible/roussos_2024/variant_figures/roussos_2024.adolescence.GLU/rs11738503_count_position.png",4,220,900)</f>
        <v/>
      </c>
      <c r="T3229">
        <f>IMAGE("https://mitra.stanford.edu/kundaje/oak/projects/neuro-variants/variant_position/credible/roussos_2024/variant_figures/roussos_2024.adolescence.GLU/rs11738503_profile_position.png",4,220,900)</f>
        <v/>
      </c>
    </row>
    <row r="3230">
      <c r="A3230" t="inlineStr">
        <is>
          <t>chr5</t>
        </is>
      </c>
      <c r="B3230" t="n">
        <v>58377428</v>
      </c>
      <c r="C3230" t="inlineStr">
        <is>
          <t>T</t>
        </is>
      </c>
      <c r="D3230" t="inlineStr">
        <is>
          <t>C</t>
        </is>
      </c>
      <c r="E3230" t="inlineStr">
        <is>
          <t>rs138471599</t>
        </is>
      </c>
      <c r="F3230" t="n">
        <v>-0.0368870058</v>
      </c>
      <c r="G3230" t="n">
        <v>0.1315852703393635</v>
      </c>
      <c r="H3230" t="n">
        <v>0.0213699324361819</v>
      </c>
      <c r="I3230" t="n">
        <v>0.0430651160774716</v>
      </c>
      <c r="J3230" t="n">
        <v>0.5117917282865736</v>
      </c>
      <c r="K3230" t="n">
        <v>0.0811423306890999</v>
      </c>
      <c r="L3230" t="b">
        <v>0</v>
      </c>
      <c r="M3230" t="b">
        <v>0</v>
      </c>
      <c r="N3230" t="inlineStr">
        <is>
          <t>ref</t>
        </is>
      </c>
      <c r="O3230" t="n">
        <v>35</v>
      </c>
      <c r="P3230" t="n">
        <v>0.008545000000000001</v>
      </c>
      <c r="Q3230" t="n">
        <v>80</v>
      </c>
      <c r="R3230" t="n">
        <v>0.10126</v>
      </c>
      <c r="S3230">
        <f>IMAGE("https://mitra.stanford.edu/kundaje/oak/projects/neuro-variants/variant_position/credible/roussos_2024/variant_figures/roussos_2024.adolescence.GLU/rs138471599_count_position.png",4,220,900)</f>
        <v/>
      </c>
      <c r="T3230">
        <f>IMAGE("https://mitra.stanford.edu/kundaje/oak/projects/neuro-variants/variant_position/credible/roussos_2024/variant_figures/roussos_2024.adolescence.GLU/rs138471599_profile_position.png",4,220,900)</f>
        <v/>
      </c>
    </row>
    <row r="3231">
      <c r="A3231" t="inlineStr">
        <is>
          <t>chr5</t>
        </is>
      </c>
      <c r="B3231" t="n">
        <v>58427245</v>
      </c>
      <c r="C3231" t="inlineStr">
        <is>
          <t>A</t>
        </is>
      </c>
      <c r="D3231" t="inlineStr">
        <is>
          <t>G</t>
        </is>
      </c>
      <c r="E3231" t="inlineStr">
        <is>
          <t>rs245412</t>
        </is>
      </c>
      <c r="F3231" t="n">
        <v>0.0579237732</v>
      </c>
      <c r="G3231" t="n">
        <v>0.0425219488429506</v>
      </c>
      <c r="H3231" t="n">
        <v>0.0106039362354637</v>
      </c>
      <c r="I3231" t="n">
        <v>0.4705845883684635</v>
      </c>
      <c r="J3231" t="n">
        <v>0.118718877481764</v>
      </c>
      <c r="K3231" t="n">
        <v>0.5410948935977871</v>
      </c>
      <c r="L3231" t="b">
        <v>0</v>
      </c>
      <c r="M3231" t="b">
        <v>0</v>
      </c>
      <c r="N3231" t="inlineStr">
        <is>
          <t>alt</t>
        </is>
      </c>
      <c r="O3231" t="n">
        <v>-20</v>
      </c>
      <c r="P3231" t="n">
        <v>0.003906</v>
      </c>
      <c r="Q3231" t="n">
        <v>-100</v>
      </c>
      <c r="R3231" t="n">
        <v>0.05832</v>
      </c>
      <c r="S3231">
        <f>IMAGE("https://mitra.stanford.edu/kundaje/oak/projects/neuro-variants/variant_position/credible/roussos_2024/variant_figures/roussos_2024.adolescence.GLU/rs245412_count_position.png",4,220,900)</f>
        <v/>
      </c>
      <c r="T3231">
        <f>IMAGE("https://mitra.stanford.edu/kundaje/oak/projects/neuro-variants/variant_position/credible/roussos_2024/variant_figures/roussos_2024.adolescence.GLU/rs245412_profile_position.png",4,220,900)</f>
        <v/>
      </c>
    </row>
    <row r="3232">
      <c r="A3232" t="inlineStr">
        <is>
          <t>chr5</t>
        </is>
      </c>
      <c r="B3232" t="n">
        <v>58433711</v>
      </c>
      <c r="C3232" t="inlineStr">
        <is>
          <t>C</t>
        </is>
      </c>
      <c r="D3232" t="inlineStr">
        <is>
          <t>T</t>
        </is>
      </c>
      <c r="E3232" t="inlineStr">
        <is>
          <t>rs151893</t>
        </is>
      </c>
      <c r="F3232" t="n">
        <v>-0.09907737</v>
      </c>
      <c r="G3232" t="n">
        <v>0.0074583738167517</v>
      </c>
      <c r="H3232" t="n">
        <v>0.013465965115113</v>
      </c>
      <c r="I3232" t="n">
        <v>0.2278179365566557</v>
      </c>
      <c r="J3232" t="n">
        <v>0.1713683548735095</v>
      </c>
      <c r="K3232" t="n">
        <v>0.4434844503411588</v>
      </c>
      <c r="L3232" t="b">
        <v>1</v>
      </c>
      <c r="M3232" t="b">
        <v>1</v>
      </c>
      <c r="N3232" t="inlineStr">
        <is>
          <t>ref</t>
        </is>
      </c>
      <c r="O3232" t="n">
        <v>-45</v>
      </c>
      <c r="P3232" t="n">
        <v>0.006912</v>
      </c>
      <c r="Q3232" t="n">
        <v>-65</v>
      </c>
      <c r="R3232" t="n">
        <v>0.10034</v>
      </c>
      <c r="S3232">
        <f>IMAGE("https://mitra.stanford.edu/kundaje/oak/projects/neuro-variants/variant_position/credible/roussos_2024/variant_figures/roussos_2024.adolescence.GLU/rs151893_count_position.png",4,220,900)</f>
        <v/>
      </c>
      <c r="T3232">
        <f>IMAGE("https://mitra.stanford.edu/kundaje/oak/projects/neuro-variants/variant_position/credible/roussos_2024/variant_figures/roussos_2024.adolescence.GLU/rs151893_profile_position.png",4,220,900)</f>
        <v/>
      </c>
    </row>
    <row r="3233">
      <c r="A3233" t="inlineStr">
        <is>
          <t>chr5</t>
        </is>
      </c>
      <c r="B3233" t="n">
        <v>58434073</v>
      </c>
      <c r="C3233" t="inlineStr">
        <is>
          <t>A</t>
        </is>
      </c>
      <c r="D3233" t="inlineStr">
        <is>
          <t>C</t>
        </is>
      </c>
      <c r="E3233" t="inlineStr">
        <is>
          <t>rs158280</t>
        </is>
      </c>
      <c r="F3233" t="n">
        <v>-0.0427251102</v>
      </c>
      <c r="G3233" t="n">
        <v>0.1101573347316642</v>
      </c>
      <c r="H3233" t="n">
        <v>0.0307469458881792</v>
      </c>
      <c r="I3233" t="n">
        <v>0.0099609077190365</v>
      </c>
      <c r="J3233" t="n">
        <v>0.1515471061862814</v>
      </c>
      <c r="K3233" t="n">
        <v>0.4762581327671815</v>
      </c>
      <c r="L3233" t="b">
        <v>1</v>
      </c>
      <c r="M3233" t="b">
        <v>1</v>
      </c>
      <c r="N3233" t="inlineStr">
        <is>
          <t>ref</t>
        </is>
      </c>
      <c r="O3233" t="n">
        <v>-95</v>
      </c>
      <c r="P3233" t="n">
        <v>0.006077</v>
      </c>
      <c r="Q3233" t="n">
        <v>-25</v>
      </c>
      <c r="R3233" t="n">
        <v>0.02417</v>
      </c>
      <c r="S3233">
        <f>IMAGE("https://mitra.stanford.edu/kundaje/oak/projects/neuro-variants/variant_position/credible/roussos_2024/variant_figures/roussos_2024.adolescence.GLU/rs158280_count_position.png",4,220,900)</f>
        <v/>
      </c>
      <c r="T3233">
        <f>IMAGE("https://mitra.stanford.edu/kundaje/oak/projects/neuro-variants/variant_position/credible/roussos_2024/variant_figures/roussos_2024.adolescence.GLU/rs158280_profile_position.png",4,220,900)</f>
        <v/>
      </c>
    </row>
    <row r="3234">
      <c r="A3234" t="inlineStr">
        <is>
          <t>chr5</t>
        </is>
      </c>
      <c r="B3234" t="n">
        <v>58470131</v>
      </c>
      <c r="C3234" t="inlineStr">
        <is>
          <t>A</t>
        </is>
      </c>
      <c r="D3234" t="inlineStr">
        <is>
          <t>G</t>
        </is>
      </c>
      <c r="E3234" t="inlineStr">
        <is>
          <t>rs832636</t>
        </is>
      </c>
      <c r="F3234" t="n">
        <v>-0.043646816</v>
      </c>
      <c r="G3234" t="n">
        <v>0.1058706261654331</v>
      </c>
      <c r="H3234" t="n">
        <v>0.0164117249321062</v>
      </c>
      <c r="I3234" t="n">
        <v>0.1533065291923189</v>
      </c>
      <c r="J3234" t="n">
        <v>0.0741567896207071</v>
      </c>
      <c r="K3234" t="n">
        <v>0.6328787609989608</v>
      </c>
      <c r="L3234" t="b">
        <v>0</v>
      </c>
      <c r="M3234" t="b">
        <v>0</v>
      </c>
      <c r="N3234" t="inlineStr">
        <is>
          <t>ref</t>
        </is>
      </c>
      <c r="O3234" t="n">
        <v>100</v>
      </c>
      <c r="P3234" t="n">
        <v>0.00346</v>
      </c>
      <c r="Q3234" t="n">
        <v>-100</v>
      </c>
      <c r="R3234" t="n">
        <v>0.0803</v>
      </c>
      <c r="S3234">
        <f>IMAGE("https://mitra.stanford.edu/kundaje/oak/projects/neuro-variants/variant_position/credible/roussos_2024/variant_figures/roussos_2024.adolescence.GLU/rs832636_count_position.png",4,220,900)</f>
        <v/>
      </c>
      <c r="T3234">
        <f>IMAGE("https://mitra.stanford.edu/kundaje/oak/projects/neuro-variants/variant_position/credible/roussos_2024/variant_figures/roussos_2024.adolescence.GLU/rs832636_profile_position.png",4,220,900)</f>
        <v/>
      </c>
    </row>
    <row r="3235">
      <c r="A3235" t="inlineStr">
        <is>
          <t>chr5</t>
        </is>
      </c>
      <c r="B3235" t="n">
        <v>58570576</v>
      </c>
      <c r="C3235" t="inlineStr">
        <is>
          <t>G</t>
        </is>
      </c>
      <c r="D3235" t="inlineStr">
        <is>
          <t>A</t>
        </is>
      </c>
      <c r="E3235" t="inlineStr">
        <is>
          <t>rs12153002</t>
        </is>
      </c>
      <c r="F3235" t="n">
        <v>0.0507211973999999</v>
      </c>
      <c r="G3235" t="n">
        <v>0.0623710876770781</v>
      </c>
      <c r="H3235" t="n">
        <v>0.0258152873644344</v>
      </c>
      <c r="I3235" t="n">
        <v>0.0221507129991562</v>
      </c>
      <c r="J3235" t="n">
        <v>0.0639732516021175</v>
      </c>
      <c r="K3235" t="n">
        <v>0.6560049578461659</v>
      </c>
      <c r="L3235" t="b">
        <v>0</v>
      </c>
      <c r="M3235" t="b">
        <v>0</v>
      </c>
      <c r="N3235" t="inlineStr">
        <is>
          <t>alt</t>
        </is>
      </c>
      <c r="O3235" t="n">
        <v>-30</v>
      </c>
      <c r="P3235" t="n">
        <v>0.00656</v>
      </c>
      <c r="Q3235" t="n">
        <v>65</v>
      </c>
      <c r="R3235" t="n">
        <v>0.03894</v>
      </c>
      <c r="S3235">
        <f>IMAGE("https://mitra.stanford.edu/kundaje/oak/projects/neuro-variants/variant_position/credible/roussos_2024/variant_figures/roussos_2024.adolescence.GLU/rs12153002_count_position.png",4,220,900)</f>
        <v/>
      </c>
      <c r="T3235">
        <f>IMAGE("https://mitra.stanford.edu/kundaje/oak/projects/neuro-variants/variant_position/credible/roussos_2024/variant_figures/roussos_2024.adolescence.GLU/rs12153002_profile_position.png",4,220,900)</f>
        <v/>
      </c>
    </row>
    <row r="3236">
      <c r="A3236" t="inlineStr">
        <is>
          <t>chr5</t>
        </is>
      </c>
      <c r="B3236" t="n">
        <v>61082276</v>
      </c>
      <c r="C3236" t="inlineStr">
        <is>
          <t>T</t>
        </is>
      </c>
      <c r="D3236" t="inlineStr">
        <is>
          <t>C</t>
        </is>
      </c>
      <c r="E3236" t="inlineStr">
        <is>
          <t>rs117702129</t>
        </is>
      </c>
      <c r="F3236" t="n">
        <v>-0.001139444286</v>
      </c>
      <c r="G3236" t="n">
        <v>0.8492225894445556</v>
      </c>
      <c r="H3236" t="n">
        <v>0.0216183229940486</v>
      </c>
      <c r="I3236" t="n">
        <v>0.0398256763473239</v>
      </c>
      <c r="J3236" t="n">
        <v>0.0209929199619921</v>
      </c>
      <c r="K3236" t="n">
        <v>0.8128288580491326</v>
      </c>
      <c r="L3236" t="b">
        <v>0</v>
      </c>
      <c r="M3236" t="b">
        <v>0</v>
      </c>
      <c r="N3236" t="inlineStr">
        <is>
          <t>ref</t>
        </is>
      </c>
      <c r="O3236" t="n">
        <v>100</v>
      </c>
      <c r="P3236" t="n">
        <v>0.01368</v>
      </c>
      <c r="Q3236" t="n">
        <v>-100</v>
      </c>
      <c r="R3236" t="n">
        <v>0.04556</v>
      </c>
      <c r="S3236">
        <f>IMAGE("https://mitra.stanford.edu/kundaje/oak/projects/neuro-variants/variant_position/credible/roussos_2024/variant_figures/roussos_2024.adolescence.GLU/rs117702129_count_position.png",4,220,900)</f>
        <v/>
      </c>
      <c r="T3236">
        <f>IMAGE("https://mitra.stanford.edu/kundaje/oak/projects/neuro-variants/variant_position/credible/roussos_2024/variant_figures/roussos_2024.adolescence.GLU/rs117702129_profile_position.png",4,220,900)</f>
        <v/>
      </c>
    </row>
    <row r="3237">
      <c r="A3237" t="inlineStr">
        <is>
          <t>chr5</t>
        </is>
      </c>
      <c r="B3237" t="n">
        <v>61203304</v>
      </c>
      <c r="C3237" t="inlineStr">
        <is>
          <t>A</t>
        </is>
      </c>
      <c r="D3237" t="inlineStr">
        <is>
          <t>G</t>
        </is>
      </c>
      <c r="E3237" t="inlineStr">
        <is>
          <t>rs171748</t>
        </is>
      </c>
      <c r="F3237" t="n">
        <v>-0.00856196071</v>
      </c>
      <c r="G3237" t="n">
        <v>0.5968929919355038</v>
      </c>
      <c r="H3237" t="n">
        <v>0.0089958006290524</v>
      </c>
      <c r="I3237" t="n">
        <v>0.6377380861264376</v>
      </c>
      <c r="J3237" t="n">
        <v>0.1542748140686284</v>
      </c>
      <c r="K3237" t="n">
        <v>0.4716137464960931</v>
      </c>
      <c r="L3237" t="b">
        <v>0</v>
      </c>
      <c r="M3237" t="b">
        <v>0</v>
      </c>
      <c r="N3237" t="inlineStr">
        <is>
          <t>ref</t>
        </is>
      </c>
      <c r="O3237" t="n">
        <v>70</v>
      </c>
      <c r="P3237" t="n">
        <v>0.0211</v>
      </c>
      <c r="Q3237" t="n">
        <v>-15</v>
      </c>
      <c r="R3237" t="n">
        <v>0.0227</v>
      </c>
      <c r="S3237">
        <f>IMAGE("https://mitra.stanford.edu/kundaje/oak/projects/neuro-variants/variant_position/credible/roussos_2024/variant_figures/roussos_2024.adolescence.GLU/rs171748_count_position.png",4,220,900)</f>
        <v/>
      </c>
      <c r="T3237">
        <f>IMAGE("https://mitra.stanford.edu/kundaje/oak/projects/neuro-variants/variant_position/credible/roussos_2024/variant_figures/roussos_2024.adolescence.GLU/rs171748_profile_position.png",4,220,900)</f>
        <v/>
      </c>
    </row>
    <row r="3238">
      <c r="A3238" t="inlineStr">
        <is>
          <t>chr5</t>
        </is>
      </c>
      <c r="B3238" t="n">
        <v>61210242</v>
      </c>
      <c r="C3238" t="inlineStr">
        <is>
          <t>A</t>
        </is>
      </c>
      <c r="D3238" t="inlineStr">
        <is>
          <t>C</t>
        </is>
      </c>
      <c r="E3238" t="inlineStr">
        <is>
          <t>rs177114</t>
        </is>
      </c>
      <c r="F3238" t="n">
        <v>0.008316935419999999</v>
      </c>
      <c r="G3238" t="n">
        <v>0.566236195389477</v>
      </c>
      <c r="H3238" t="n">
        <v>0.0167101989777755</v>
      </c>
      <c r="I3238" t="n">
        <v>0.1014614932743949</v>
      </c>
      <c r="J3238" t="n">
        <v>0.0168563488151116</v>
      </c>
      <c r="K3238" t="n">
        <v>0.833348886977303</v>
      </c>
      <c r="L3238" t="b">
        <v>0</v>
      </c>
      <c r="M3238" t="b">
        <v>0</v>
      </c>
      <c r="N3238" t="inlineStr">
        <is>
          <t>alt</t>
        </is>
      </c>
      <c r="O3238" t="n">
        <v>100</v>
      </c>
      <c r="P3238" t="n">
        <v>0.01123</v>
      </c>
      <c r="Q3238" t="n">
        <v>90</v>
      </c>
      <c r="R3238" t="n">
        <v>0.0487</v>
      </c>
      <c r="S3238">
        <f>IMAGE("https://mitra.stanford.edu/kundaje/oak/projects/neuro-variants/variant_position/credible/roussos_2024/variant_figures/roussos_2024.adolescence.GLU/rs177114_count_position.png",4,220,900)</f>
        <v/>
      </c>
      <c r="T3238">
        <f>IMAGE("https://mitra.stanford.edu/kundaje/oak/projects/neuro-variants/variant_position/credible/roussos_2024/variant_figures/roussos_2024.adolescence.GLU/rs177114_profile_position.png",4,220,900)</f>
        <v/>
      </c>
    </row>
    <row r="3239">
      <c r="A3239" t="inlineStr">
        <is>
          <t>chr5</t>
        </is>
      </c>
      <c r="B3239" t="n">
        <v>61237147</v>
      </c>
      <c r="C3239" t="inlineStr">
        <is>
          <t>G</t>
        </is>
      </c>
      <c r="D3239" t="inlineStr">
        <is>
          <t>A</t>
        </is>
      </c>
      <c r="E3239" t="inlineStr">
        <is>
          <t>rs476099</t>
        </is>
      </c>
      <c r="F3239" t="n">
        <v>-0.0126334246</v>
      </c>
      <c r="G3239" t="n">
        <v>0.4450096382322021</v>
      </c>
      <c r="H3239" t="n">
        <v>0.008026973678253</v>
      </c>
      <c r="I3239" t="n">
        <v>0.756238140044586</v>
      </c>
      <c r="J3239" t="n">
        <v>0.0894913946460337</v>
      </c>
      <c r="K3239" t="n">
        <v>0.5984074688815149</v>
      </c>
      <c r="L3239" t="b">
        <v>0</v>
      </c>
      <c r="M3239" t="b">
        <v>0</v>
      </c>
      <c r="N3239" t="inlineStr">
        <is>
          <t>ref</t>
        </is>
      </c>
      <c r="O3239" t="n">
        <v>80</v>
      </c>
      <c r="P3239" t="n">
        <v>0.01198</v>
      </c>
      <c r="Q3239" t="n">
        <v>60</v>
      </c>
      <c r="R3239" t="n">
        <v>0.04877</v>
      </c>
      <c r="S3239">
        <f>IMAGE("https://mitra.stanford.edu/kundaje/oak/projects/neuro-variants/variant_position/credible/roussos_2024/variant_figures/roussos_2024.adolescence.GLU/rs476099_count_position.png",4,220,900)</f>
        <v/>
      </c>
      <c r="T3239">
        <f>IMAGE("https://mitra.stanford.edu/kundaje/oak/projects/neuro-variants/variant_position/credible/roussos_2024/variant_figures/roussos_2024.adolescence.GLU/rs476099_profile_position.png",4,220,900)</f>
        <v/>
      </c>
    </row>
    <row r="3240">
      <c r="A3240" t="inlineStr">
        <is>
          <t>chr5</t>
        </is>
      </c>
      <c r="B3240" t="n">
        <v>61243041</v>
      </c>
      <c r="C3240" t="inlineStr">
        <is>
          <t>G</t>
        </is>
      </c>
      <c r="D3240" t="inlineStr">
        <is>
          <t>A</t>
        </is>
      </c>
      <c r="E3240" t="inlineStr">
        <is>
          <t>rs192070971</t>
        </is>
      </c>
      <c r="F3240" t="n">
        <v>-0.00683210024</v>
      </c>
      <c r="G3240" t="n">
        <v>0.5933389417939607</v>
      </c>
      <c r="H3240" t="n">
        <v>0.0084385652919058</v>
      </c>
      <c r="I3240" t="n">
        <v>0.7243101392577466</v>
      </c>
      <c r="J3240" t="n">
        <v>0.0255495781268976</v>
      </c>
      <c r="K3240" t="n">
        <v>0.7959254210253797</v>
      </c>
      <c r="L3240" t="b">
        <v>0</v>
      </c>
      <c r="M3240" t="b">
        <v>0</v>
      </c>
      <c r="N3240" t="inlineStr">
        <is>
          <t>ref</t>
        </is>
      </c>
      <c r="O3240" t="n">
        <v>0</v>
      </c>
      <c r="P3240" t="n">
        <v>0</v>
      </c>
      <c r="Q3240" t="n">
        <v>-40</v>
      </c>
      <c r="R3240" t="n">
        <v>0.02492</v>
      </c>
      <c r="S3240">
        <f>IMAGE("https://mitra.stanford.edu/kundaje/oak/projects/neuro-variants/variant_position/credible/roussos_2024/variant_figures/roussos_2024.adolescence.GLU/rs192070971_count_position.png",4,220,900)</f>
        <v/>
      </c>
      <c r="T3240">
        <f>IMAGE("https://mitra.stanford.edu/kundaje/oak/projects/neuro-variants/variant_position/credible/roussos_2024/variant_figures/roussos_2024.adolescence.GLU/rs192070971_profile_position.png",4,220,900)</f>
        <v/>
      </c>
    </row>
    <row r="3241">
      <c r="A3241" t="inlineStr">
        <is>
          <t>chr5</t>
        </is>
      </c>
      <c r="B3241" t="n">
        <v>61261478</v>
      </c>
      <c r="C3241" t="inlineStr">
        <is>
          <t>T</t>
        </is>
      </c>
      <c r="D3241" t="inlineStr">
        <is>
          <t>G</t>
        </is>
      </c>
      <c r="E3241" t="inlineStr">
        <is>
          <t>rs10939891</t>
        </is>
      </c>
      <c r="F3241" t="n">
        <v>0.0012372188539999</v>
      </c>
      <c r="G3241" t="n">
        <v>0.7909794398397532</v>
      </c>
      <c r="H3241" t="n">
        <v>0.0320514016998598</v>
      </c>
      <c r="I3241" t="n">
        <v>0.0063774547032061</v>
      </c>
      <c r="J3241" t="n">
        <v>0.1376713747847768</v>
      </c>
      <c r="K3241" t="n">
        <v>0.5019920820820752</v>
      </c>
      <c r="L3241" t="b">
        <v>1</v>
      </c>
      <c r="M3241" t="b">
        <v>1</v>
      </c>
      <c r="N3241" t="inlineStr">
        <is>
          <t>alt</t>
        </is>
      </c>
      <c r="O3241" t="n">
        <v>95</v>
      </c>
      <c r="P3241" t="n">
        <v>0.005905</v>
      </c>
      <c r="Q3241" t="n">
        <v>-75</v>
      </c>
      <c r="R3241" t="n">
        <v>0.07764</v>
      </c>
      <c r="S3241">
        <f>IMAGE("https://mitra.stanford.edu/kundaje/oak/projects/neuro-variants/variant_position/credible/roussos_2024/variant_figures/roussos_2024.adolescence.GLU/rs10939891_count_position.png",4,220,900)</f>
        <v/>
      </c>
      <c r="T3241">
        <f>IMAGE("https://mitra.stanford.edu/kundaje/oak/projects/neuro-variants/variant_position/credible/roussos_2024/variant_figures/roussos_2024.adolescence.GLU/rs10939891_profile_position.png",4,220,900)</f>
        <v/>
      </c>
    </row>
    <row r="3242">
      <c r="A3242" t="inlineStr">
        <is>
          <t>chr5</t>
        </is>
      </c>
      <c r="B3242" t="n">
        <v>61263059</v>
      </c>
      <c r="C3242" t="inlineStr">
        <is>
          <t>G</t>
        </is>
      </c>
      <c r="D3242" t="inlineStr">
        <is>
          <t>A</t>
        </is>
      </c>
      <c r="E3242" t="inlineStr">
        <is>
          <t>rs11949390</t>
        </is>
      </c>
      <c r="F3242" t="n">
        <v>-0.092584032</v>
      </c>
      <c r="G3242" t="n">
        <v>0.0108167580494899</v>
      </c>
      <c r="H3242" t="n">
        <v>0.0217813713178873</v>
      </c>
      <c r="I3242" t="n">
        <v>0.0423172562541283</v>
      </c>
      <c r="J3242" t="n">
        <v>0.4576719463317401</v>
      </c>
      <c r="K3242" t="n">
        <v>0.1195634713566148</v>
      </c>
      <c r="L3242" t="b">
        <v>1</v>
      </c>
      <c r="M3242" t="b">
        <v>0</v>
      </c>
      <c r="N3242" t="inlineStr">
        <is>
          <t>ref</t>
        </is>
      </c>
      <c r="O3242" t="n">
        <v>-50</v>
      </c>
      <c r="P3242" t="n">
        <v>0.004417</v>
      </c>
      <c r="Q3242" t="n">
        <v>-100</v>
      </c>
      <c r="R3242" t="n">
        <v>0.04956</v>
      </c>
      <c r="S3242">
        <f>IMAGE("https://mitra.stanford.edu/kundaje/oak/projects/neuro-variants/variant_position/credible/roussos_2024/variant_figures/roussos_2024.adolescence.GLU/rs11949390_count_position.png",4,220,900)</f>
        <v/>
      </c>
      <c r="T3242">
        <f>IMAGE("https://mitra.stanford.edu/kundaje/oak/projects/neuro-variants/variant_position/credible/roussos_2024/variant_figures/roussos_2024.adolescence.GLU/rs11949390_profile_position.png",4,220,900)</f>
        <v/>
      </c>
    </row>
    <row r="3243">
      <c r="A3243" t="inlineStr">
        <is>
          <t>chr5</t>
        </is>
      </c>
      <c r="B3243" t="n">
        <v>61271790</v>
      </c>
      <c r="C3243" t="inlineStr">
        <is>
          <t>A</t>
        </is>
      </c>
      <c r="D3243" t="inlineStr">
        <is>
          <t>G</t>
        </is>
      </c>
      <c r="E3243" t="inlineStr">
        <is>
          <t>rs10939894</t>
        </is>
      </c>
      <c r="F3243" t="n">
        <v>0.00701855864</v>
      </c>
      <c r="G3243" t="n">
        <v>0.6076187179874598</v>
      </c>
      <c r="H3243" t="n">
        <v>0.0071582775304382</v>
      </c>
      <c r="I3243" t="n">
        <v>0.8755882471068593</v>
      </c>
      <c r="J3243" t="n">
        <v>0.06255152853090989</v>
      </c>
      <c r="K3243" t="n">
        <v>0.6615273590969033</v>
      </c>
      <c r="L3243" t="b">
        <v>0</v>
      </c>
      <c r="M3243" t="b">
        <v>0</v>
      </c>
      <c r="N3243" t="inlineStr">
        <is>
          <t>alt</t>
        </is>
      </c>
      <c r="O3243" t="n">
        <v>95</v>
      </c>
      <c r="P3243" t="n">
        <v>0.03137</v>
      </c>
      <c r="Q3243" t="n">
        <v>80</v>
      </c>
      <c r="R3243" t="n">
        <v>0.0437</v>
      </c>
      <c r="S3243">
        <f>IMAGE("https://mitra.stanford.edu/kundaje/oak/projects/neuro-variants/variant_position/credible/roussos_2024/variant_figures/roussos_2024.adolescence.GLU/rs10939894_count_position.png",4,220,900)</f>
        <v/>
      </c>
      <c r="T3243">
        <f>IMAGE("https://mitra.stanford.edu/kundaje/oak/projects/neuro-variants/variant_position/credible/roussos_2024/variant_figures/roussos_2024.adolescence.GLU/rs10939894_profile_position.png",4,220,900)</f>
        <v/>
      </c>
    </row>
    <row r="3244">
      <c r="A3244" t="inlineStr">
        <is>
          <t>chr5</t>
        </is>
      </c>
      <c r="B3244" t="n">
        <v>61278550</v>
      </c>
      <c r="C3244" t="inlineStr">
        <is>
          <t>C</t>
        </is>
      </c>
      <c r="D3244" t="inlineStr">
        <is>
          <t>T</t>
        </is>
      </c>
      <c r="E3244" t="inlineStr">
        <is>
          <t>rs13179814</t>
        </is>
      </c>
      <c r="F3244" t="n">
        <v>-0.1228689488</v>
      </c>
      <c r="G3244" t="n">
        <v>0.0126820411196282</v>
      </c>
      <c r="H3244" t="n">
        <v>0.0519402637875445</v>
      </c>
      <c r="I3244" t="n">
        <v>0.0058252087965507</v>
      </c>
      <c r="J3244" t="n">
        <v>0.244120567831908</v>
      </c>
      <c r="K3244" t="n">
        <v>0.3376432286797488</v>
      </c>
      <c r="L3244" t="b">
        <v>1</v>
      </c>
      <c r="M3244" t="b">
        <v>1</v>
      </c>
      <c r="N3244" t="inlineStr">
        <is>
          <t>ref</t>
        </is>
      </c>
      <c r="O3244" t="n">
        <v>80</v>
      </c>
      <c r="P3244" t="n">
        <v>0.005432</v>
      </c>
      <c r="Q3244" t="n">
        <v>65</v>
      </c>
      <c r="R3244" t="n">
        <v>0.05185</v>
      </c>
      <c r="S3244">
        <f>IMAGE("https://mitra.stanford.edu/kundaje/oak/projects/neuro-variants/variant_position/credible/roussos_2024/variant_figures/roussos_2024.adolescence.GLU/rs13179814_count_position.png",4,220,900)</f>
        <v/>
      </c>
      <c r="T3244">
        <f>IMAGE("https://mitra.stanford.edu/kundaje/oak/projects/neuro-variants/variant_position/credible/roussos_2024/variant_figures/roussos_2024.adolescence.GLU/rs13179814_profile_position.png",4,220,900)</f>
        <v/>
      </c>
    </row>
    <row r="3245">
      <c r="A3245" t="inlineStr">
        <is>
          <t>chr5</t>
        </is>
      </c>
      <c r="B3245" t="n">
        <v>61278792</v>
      </c>
      <c r="C3245" t="inlineStr">
        <is>
          <t>G</t>
        </is>
      </c>
      <c r="D3245" t="inlineStr">
        <is>
          <t>A</t>
        </is>
      </c>
      <c r="E3245" t="inlineStr">
        <is>
          <t>rs62366231</t>
        </is>
      </c>
      <c r="F3245" t="n">
        <v>-0.00513102864</v>
      </c>
      <c r="G3245" t="n">
        <v>0.725387172324</v>
      </c>
      <c r="H3245" t="n">
        <v>0.0107267995080841</v>
      </c>
      <c r="I3245" t="n">
        <v>0.4474141262171466</v>
      </c>
      <c r="J3245" t="n">
        <v>0.1715998313936458</v>
      </c>
      <c r="K3245" t="n">
        <v>0.4419316397097636</v>
      </c>
      <c r="L3245" t="b">
        <v>0</v>
      </c>
      <c r="M3245" t="b">
        <v>0</v>
      </c>
      <c r="N3245" t="inlineStr">
        <is>
          <t>ref</t>
        </is>
      </c>
      <c r="O3245" t="n">
        <v>-100</v>
      </c>
      <c r="P3245" t="n">
        <v>0.03824</v>
      </c>
      <c r="Q3245" t="n">
        <v>10</v>
      </c>
      <c r="R3245" t="n">
        <v>0.00775</v>
      </c>
      <c r="S3245">
        <f>IMAGE("https://mitra.stanford.edu/kundaje/oak/projects/neuro-variants/variant_position/credible/roussos_2024/variant_figures/roussos_2024.adolescence.GLU/rs62366231_count_position.png",4,220,900)</f>
        <v/>
      </c>
      <c r="T3245">
        <f>IMAGE("https://mitra.stanford.edu/kundaje/oak/projects/neuro-variants/variant_position/credible/roussos_2024/variant_figures/roussos_2024.adolescence.GLU/rs62366231_profile_position.png",4,220,900)</f>
        <v/>
      </c>
    </row>
    <row r="3246">
      <c r="A3246" t="inlineStr">
        <is>
          <t>chr5</t>
        </is>
      </c>
      <c r="B3246" t="n">
        <v>61346768</v>
      </c>
      <c r="C3246" t="inlineStr">
        <is>
          <t>C</t>
        </is>
      </c>
      <c r="D3246" t="inlineStr">
        <is>
          <t>T</t>
        </is>
      </c>
      <c r="E3246" t="inlineStr">
        <is>
          <t>rs4604142</t>
        </is>
      </c>
      <c r="F3246" t="n">
        <v>-0.0253216674</v>
      </c>
      <c r="G3246" t="n">
        <v>0.2288749062127042</v>
      </c>
      <c r="H3246" t="n">
        <v>0.0123786798535712</v>
      </c>
      <c r="I3246" t="n">
        <v>0.3096287512700711</v>
      </c>
      <c r="J3246" t="n">
        <v>0.1043487579570053</v>
      </c>
      <c r="K3246" t="n">
        <v>0.5562144390870963</v>
      </c>
      <c r="L3246" t="b">
        <v>0</v>
      </c>
      <c r="M3246" t="b">
        <v>0</v>
      </c>
      <c r="N3246" t="inlineStr">
        <is>
          <t>ref</t>
        </is>
      </c>
      <c r="O3246" t="n">
        <v>100</v>
      </c>
      <c r="P3246" t="n">
        <v>0.04883</v>
      </c>
      <c r="Q3246" t="n">
        <v>-65</v>
      </c>
      <c r="R3246" t="n">
        <v>0.04913</v>
      </c>
      <c r="S3246">
        <f>IMAGE("https://mitra.stanford.edu/kundaje/oak/projects/neuro-variants/variant_position/credible/roussos_2024/variant_figures/roussos_2024.adolescence.GLU/rs4604142_count_position.png",4,220,900)</f>
        <v/>
      </c>
      <c r="T3246">
        <f>IMAGE("https://mitra.stanford.edu/kundaje/oak/projects/neuro-variants/variant_position/credible/roussos_2024/variant_figures/roussos_2024.adolescence.GLU/rs4604142_profile_position.png",4,220,900)</f>
        <v/>
      </c>
    </row>
    <row r="3247">
      <c r="A3247" t="inlineStr">
        <is>
          <t>chr5</t>
        </is>
      </c>
      <c r="B3247" t="n">
        <v>61432163</v>
      </c>
      <c r="C3247" t="inlineStr">
        <is>
          <t>T</t>
        </is>
      </c>
      <c r="D3247" t="inlineStr">
        <is>
          <t>C</t>
        </is>
      </c>
      <c r="E3247" t="inlineStr">
        <is>
          <t>rs10939902</t>
        </is>
      </c>
      <c r="F3247" t="n">
        <v>0.0182898209</v>
      </c>
      <c r="G3247" t="n">
        <v>0.3069847055787441</v>
      </c>
      <c r="H3247" t="n">
        <v>0.0114557305648447</v>
      </c>
      <c r="I3247" t="n">
        <v>0.3696277911466513</v>
      </c>
      <c r="J3247" t="n">
        <v>0.210783662330054</v>
      </c>
      <c r="K3247" t="n">
        <v>0.3859317558849388</v>
      </c>
      <c r="L3247" t="b">
        <v>0</v>
      </c>
      <c r="M3247" t="b">
        <v>0</v>
      </c>
      <c r="N3247" t="inlineStr">
        <is>
          <t>alt</t>
        </is>
      </c>
      <c r="O3247" t="n">
        <v>-30</v>
      </c>
      <c r="P3247" t="n">
        <v>0.00261</v>
      </c>
      <c r="Q3247" t="n">
        <v>60</v>
      </c>
      <c r="R3247" t="n">
        <v>0.1384</v>
      </c>
      <c r="S3247">
        <f>IMAGE("https://mitra.stanford.edu/kundaje/oak/projects/neuro-variants/variant_position/credible/roussos_2024/variant_figures/roussos_2024.adolescence.GLU/rs10939902_count_position.png",4,220,900)</f>
        <v/>
      </c>
      <c r="T3247">
        <f>IMAGE("https://mitra.stanford.edu/kundaje/oak/projects/neuro-variants/variant_position/credible/roussos_2024/variant_figures/roussos_2024.adolescence.GLU/rs10939902_profile_position.png",4,220,900)</f>
        <v/>
      </c>
    </row>
    <row r="3248">
      <c r="A3248" t="inlineStr">
        <is>
          <t>chr5</t>
        </is>
      </c>
      <c r="B3248" t="n">
        <v>61522089</v>
      </c>
      <c r="C3248" t="inlineStr">
        <is>
          <t>G</t>
        </is>
      </c>
      <c r="D3248" t="inlineStr">
        <is>
          <t>T</t>
        </is>
      </c>
      <c r="E3248" t="inlineStr">
        <is>
          <t>rs34270022</t>
        </is>
      </c>
      <c r="F3248" t="n">
        <v>0.0019237769799999</v>
      </c>
      <c r="G3248" t="n">
        <v>0.6945784121786128</v>
      </c>
      <c r="H3248" t="n">
        <v>0.0356026639632333</v>
      </c>
      <c r="I3248" t="n">
        <v>0.0042459701825537</v>
      </c>
      <c r="J3248" t="n">
        <v>0.0104321609476248</v>
      </c>
      <c r="K3248" t="n">
        <v>0.8732577565966509</v>
      </c>
      <c r="L3248" t="b">
        <v>1</v>
      </c>
      <c r="M3248" t="b">
        <v>0</v>
      </c>
      <c r="N3248" t="inlineStr">
        <is>
          <t>alt</t>
        </is>
      </c>
      <c r="O3248" t="n">
        <v>100</v>
      </c>
      <c r="P3248" t="n">
        <v>0.02463</v>
      </c>
      <c r="Q3248" t="n">
        <v>15</v>
      </c>
      <c r="R3248" t="n">
        <v>0.009094</v>
      </c>
      <c r="S3248">
        <f>IMAGE("https://mitra.stanford.edu/kundaje/oak/projects/neuro-variants/variant_position/credible/roussos_2024/variant_figures/roussos_2024.adolescence.GLU/rs34270022_count_position.png",4,220,900)</f>
        <v/>
      </c>
      <c r="T3248">
        <f>IMAGE("https://mitra.stanford.edu/kundaje/oak/projects/neuro-variants/variant_position/credible/roussos_2024/variant_figures/roussos_2024.adolescence.GLU/rs34270022_profile_position.png",4,220,900)</f>
        <v/>
      </c>
    </row>
    <row r="3249">
      <c r="A3249" t="inlineStr">
        <is>
          <t>chr5</t>
        </is>
      </c>
      <c r="B3249" t="n">
        <v>64173712</v>
      </c>
      <c r="C3249" t="inlineStr">
        <is>
          <t>A</t>
        </is>
      </c>
      <c r="D3249" t="inlineStr">
        <is>
          <t>G</t>
        </is>
      </c>
      <c r="E3249" t="inlineStr">
        <is>
          <t>rs3104058</t>
        </is>
      </c>
      <c r="F3249" t="n">
        <v>0.0508822944</v>
      </c>
      <c r="G3249" t="n">
        <v>0.0614423370855717</v>
      </c>
      <c r="H3249" t="n">
        <v>0.0146465615840134</v>
      </c>
      <c r="I3249" t="n">
        <v>0.1719700212639411</v>
      </c>
      <c r="J3249" t="n">
        <v>0.0112637617792256</v>
      </c>
      <c r="K3249" t="n">
        <v>0.8676691142517708</v>
      </c>
      <c r="L3249" t="b">
        <v>0</v>
      </c>
      <c r="M3249" t="b">
        <v>0</v>
      </c>
      <c r="N3249" t="inlineStr">
        <is>
          <t>alt</t>
        </is>
      </c>
      <c r="O3249" t="n">
        <v>70</v>
      </c>
      <c r="P3249" t="n">
        <v>0.001175</v>
      </c>
      <c r="Q3249" t="n">
        <v>-35</v>
      </c>
      <c r="R3249" t="n">
        <v>0.01251</v>
      </c>
      <c r="S3249">
        <f>IMAGE("https://mitra.stanford.edu/kundaje/oak/projects/neuro-variants/variant_position/credible/roussos_2024/variant_figures/roussos_2024.adolescence.GLU/rs3104058_count_position.png",4,220,900)</f>
        <v/>
      </c>
      <c r="T3249">
        <f>IMAGE("https://mitra.stanford.edu/kundaje/oak/projects/neuro-variants/variant_position/credible/roussos_2024/variant_figures/roussos_2024.adolescence.GLU/rs3104058_profile_position.png",4,220,900)</f>
        <v/>
      </c>
    </row>
    <row r="3250">
      <c r="A3250" t="inlineStr">
        <is>
          <t>chr5</t>
        </is>
      </c>
      <c r="B3250" t="n">
        <v>64175997</v>
      </c>
      <c r="C3250" t="inlineStr">
        <is>
          <t>T</t>
        </is>
      </c>
      <c r="D3250" t="inlineStr">
        <is>
          <t>G</t>
        </is>
      </c>
      <c r="E3250" t="inlineStr">
        <is>
          <t>rs1603090</t>
        </is>
      </c>
      <c r="F3250" t="n">
        <v>0.008250975379999999</v>
      </c>
      <c r="G3250" t="n">
        <v>0.6126861442265528</v>
      </c>
      <c r="H3250" t="n">
        <v>0.0250288409869895</v>
      </c>
      <c r="I3250" t="n">
        <v>0.0204909591968824</v>
      </c>
      <c r="J3250" t="n">
        <v>0.0062255752977401</v>
      </c>
      <c r="K3250" t="n">
        <v>0.9078594827689832</v>
      </c>
      <c r="L3250" t="b">
        <v>0</v>
      </c>
      <c r="M3250" t="b">
        <v>0</v>
      </c>
      <c r="N3250" t="inlineStr">
        <is>
          <t>alt</t>
        </is>
      </c>
      <c r="O3250" t="n">
        <v>-100</v>
      </c>
      <c r="P3250" t="n">
        <v>0.01483</v>
      </c>
      <c r="Q3250" t="n">
        <v>-40</v>
      </c>
      <c r="R3250" t="n">
        <v>0.01563</v>
      </c>
      <c r="S3250">
        <f>IMAGE("https://mitra.stanford.edu/kundaje/oak/projects/neuro-variants/variant_position/credible/roussos_2024/variant_figures/roussos_2024.adolescence.GLU/rs1603090_count_position.png",4,220,900)</f>
        <v/>
      </c>
      <c r="T3250">
        <f>IMAGE("https://mitra.stanford.edu/kundaje/oak/projects/neuro-variants/variant_position/credible/roussos_2024/variant_figures/roussos_2024.adolescence.GLU/rs1603090_profile_position.png",4,220,900)</f>
        <v/>
      </c>
    </row>
    <row r="3251">
      <c r="A3251" t="inlineStr">
        <is>
          <t>chr5</t>
        </is>
      </c>
      <c r="B3251" t="n">
        <v>64217272</v>
      </c>
      <c r="C3251" t="inlineStr">
        <is>
          <t>A</t>
        </is>
      </c>
      <c r="D3251" t="inlineStr">
        <is>
          <t>G</t>
        </is>
      </c>
      <c r="E3251" t="inlineStr">
        <is>
          <t>rs2963002</t>
        </is>
      </c>
      <c r="F3251" t="n">
        <v>0.016623673</v>
      </c>
      <c r="G3251" t="n">
        <v>0.3796278538637099</v>
      </c>
      <c r="H3251" t="n">
        <v>0.011794659050192</v>
      </c>
      <c r="I3251" t="n">
        <v>0.3799173893031802</v>
      </c>
      <c r="J3251" t="n">
        <v>0.0187681734073486</v>
      </c>
      <c r="K3251" t="n">
        <v>0.8231065608392576</v>
      </c>
      <c r="L3251" t="b">
        <v>0</v>
      </c>
      <c r="M3251" t="b">
        <v>0</v>
      </c>
      <c r="N3251" t="inlineStr">
        <is>
          <t>alt</t>
        </is>
      </c>
      <c r="O3251" t="n">
        <v>100</v>
      </c>
      <c r="P3251" t="n">
        <v>0.0181</v>
      </c>
      <c r="Q3251" t="n">
        <v>100</v>
      </c>
      <c r="R3251" t="n">
        <v>0.09265</v>
      </c>
      <c r="S3251">
        <f>IMAGE("https://mitra.stanford.edu/kundaje/oak/projects/neuro-variants/variant_position/credible/roussos_2024/variant_figures/roussos_2024.adolescence.GLU/rs2963002_count_position.png",4,220,900)</f>
        <v/>
      </c>
      <c r="T3251">
        <f>IMAGE("https://mitra.stanford.edu/kundaje/oak/projects/neuro-variants/variant_position/credible/roussos_2024/variant_figures/roussos_2024.adolescence.GLU/rs2963002_profile_position.png",4,220,900)</f>
        <v/>
      </c>
    </row>
    <row r="3252">
      <c r="A3252" t="inlineStr">
        <is>
          <t>chr5</t>
        </is>
      </c>
      <c r="B3252" t="n">
        <v>64223835</v>
      </c>
      <c r="C3252" t="inlineStr">
        <is>
          <t>A</t>
        </is>
      </c>
      <c r="D3252" t="inlineStr">
        <is>
          <t>G</t>
        </is>
      </c>
      <c r="E3252" t="inlineStr">
        <is>
          <t>rs11743978</t>
        </is>
      </c>
      <c r="F3252" t="n">
        <v>0.0529366613999999</v>
      </c>
      <c r="G3252" t="n">
        <v>0.0545975674579737</v>
      </c>
      <c r="H3252" t="n">
        <v>0.0116272626506998</v>
      </c>
      <c r="I3252" t="n">
        <v>0.3676829461491311</v>
      </c>
      <c r="J3252" t="n">
        <v>0.1089682862878738</v>
      </c>
      <c r="K3252" t="n">
        <v>0.5526434251487097</v>
      </c>
      <c r="L3252" t="b">
        <v>0</v>
      </c>
      <c r="M3252" t="b">
        <v>0</v>
      </c>
      <c r="N3252" t="inlineStr">
        <is>
          <t>alt</t>
        </is>
      </c>
      <c r="O3252" t="n">
        <v>-25</v>
      </c>
      <c r="P3252" t="n">
        <v>0.007187</v>
      </c>
      <c r="Q3252" t="n">
        <v>75</v>
      </c>
      <c r="R3252" t="n">
        <v>0.08606</v>
      </c>
      <c r="S3252">
        <f>IMAGE("https://mitra.stanford.edu/kundaje/oak/projects/neuro-variants/variant_position/credible/roussos_2024/variant_figures/roussos_2024.adolescence.GLU/rs11743978_count_position.png",4,220,900)</f>
        <v/>
      </c>
      <c r="T3252">
        <f>IMAGE("https://mitra.stanford.edu/kundaje/oak/projects/neuro-variants/variant_position/credible/roussos_2024/variant_figures/roussos_2024.adolescence.GLU/rs11743978_profile_position.png",4,220,900)</f>
        <v/>
      </c>
    </row>
    <row r="3253">
      <c r="A3253" t="inlineStr">
        <is>
          <t>chr5</t>
        </is>
      </c>
      <c r="B3253" t="n">
        <v>64326354</v>
      </c>
      <c r="C3253" t="inlineStr">
        <is>
          <t>T</t>
        </is>
      </c>
      <c r="D3253" t="inlineStr">
        <is>
          <t>C</t>
        </is>
      </c>
      <c r="E3253" t="inlineStr">
        <is>
          <t>rs6449715</t>
        </is>
      </c>
      <c r="F3253" t="n">
        <v>0.01247351794</v>
      </c>
      <c r="G3253" t="n">
        <v>0.4336141419504072</v>
      </c>
      <c r="H3253" t="n">
        <v>0.0196631026917134</v>
      </c>
      <c r="I3253" t="n">
        <v>0.0629370217709854</v>
      </c>
      <c r="J3253" t="n">
        <v>0.0109465532145944</v>
      </c>
      <c r="K3253" t="n">
        <v>0.869129866715058</v>
      </c>
      <c r="L3253" t="b">
        <v>0</v>
      </c>
      <c r="M3253" t="b">
        <v>0</v>
      </c>
      <c r="N3253" t="inlineStr">
        <is>
          <t>alt</t>
        </is>
      </c>
      <c r="O3253" t="n">
        <v>30</v>
      </c>
      <c r="P3253" t="n">
        <v>0.001862</v>
      </c>
      <c r="Q3253" t="n">
        <v>-60</v>
      </c>
      <c r="R3253" t="n">
        <v>0.05756</v>
      </c>
      <c r="S3253">
        <f>IMAGE("https://mitra.stanford.edu/kundaje/oak/projects/neuro-variants/variant_position/credible/roussos_2024/variant_figures/roussos_2024.adolescence.GLU/rs6449715_count_position.png",4,220,900)</f>
        <v/>
      </c>
      <c r="T3253">
        <f>IMAGE("https://mitra.stanford.edu/kundaje/oak/projects/neuro-variants/variant_position/credible/roussos_2024/variant_figures/roussos_2024.adolescence.GLU/rs6449715_profile_position.png",4,220,900)</f>
        <v/>
      </c>
    </row>
    <row r="3254">
      <c r="A3254" t="inlineStr">
        <is>
          <t>chr5</t>
        </is>
      </c>
      <c r="B3254" t="n">
        <v>64361018</v>
      </c>
      <c r="C3254" t="inlineStr">
        <is>
          <t>G</t>
        </is>
      </c>
      <c r="D3254" t="inlineStr">
        <is>
          <t>A</t>
        </is>
      </c>
      <c r="E3254" t="inlineStr">
        <is>
          <t>rs1526875</t>
        </is>
      </c>
      <c r="F3254" t="n">
        <v>0.0064349104719999</v>
      </c>
      <c r="G3254" t="n">
        <v>0.6361047355273064</v>
      </c>
      <c r="H3254" t="n">
        <v>0.0092165300690299</v>
      </c>
      <c r="I3254" t="n">
        <v>0.6031784821656859</v>
      </c>
      <c r="J3254" t="n">
        <v>0.0286202141872244</v>
      </c>
      <c r="K3254" t="n">
        <v>0.7767916445304718</v>
      </c>
      <c r="L3254" t="b">
        <v>0</v>
      </c>
      <c r="M3254" t="b">
        <v>0</v>
      </c>
      <c r="N3254" t="inlineStr">
        <is>
          <t>alt</t>
        </is>
      </c>
      <c r="O3254" t="n">
        <v>25</v>
      </c>
      <c r="P3254" t="n">
        <v>0.001492</v>
      </c>
      <c r="Q3254" t="n">
        <v>-95</v>
      </c>
      <c r="R3254" t="n">
        <v>0.06287</v>
      </c>
      <c r="S3254">
        <f>IMAGE("https://mitra.stanford.edu/kundaje/oak/projects/neuro-variants/variant_position/credible/roussos_2024/variant_figures/roussos_2024.adolescence.GLU/rs1526875_count_position.png",4,220,900)</f>
        <v/>
      </c>
      <c r="T3254">
        <f>IMAGE("https://mitra.stanford.edu/kundaje/oak/projects/neuro-variants/variant_position/credible/roussos_2024/variant_figures/roussos_2024.adolescence.GLU/rs1526875_profile_position.png",4,220,900)</f>
        <v/>
      </c>
    </row>
    <row r="3255">
      <c r="A3255" t="inlineStr">
        <is>
          <t>chr5</t>
        </is>
      </c>
      <c r="B3255" t="n">
        <v>64363665</v>
      </c>
      <c r="C3255" t="inlineStr">
        <is>
          <t>C</t>
        </is>
      </c>
      <c r="D3255" t="inlineStr">
        <is>
          <t>A</t>
        </is>
      </c>
      <c r="E3255" t="inlineStr">
        <is>
          <t>rs7732201</t>
        </is>
      </c>
      <c r="F3255" t="n">
        <v>0.00675048152</v>
      </c>
      <c r="G3255" t="n">
        <v>0.5988118360609594</v>
      </c>
      <c r="H3255" t="n">
        <v>0.0242858418234739</v>
      </c>
      <c r="I3255" t="n">
        <v>0.0220285077206444</v>
      </c>
      <c r="J3255" t="n">
        <v>0.0697301583899521</v>
      </c>
      <c r="K3255" t="n">
        <v>0.6414377150650336</v>
      </c>
      <c r="L3255" t="b">
        <v>0</v>
      </c>
      <c r="M3255" t="b">
        <v>0</v>
      </c>
      <c r="N3255" t="inlineStr">
        <is>
          <t>alt</t>
        </is>
      </c>
      <c r="O3255" t="n">
        <v>-60</v>
      </c>
      <c r="P3255" t="n">
        <v>0.002222</v>
      </c>
      <c r="Q3255" t="n">
        <v>-100</v>
      </c>
      <c r="R3255" t="n">
        <v>0.1267</v>
      </c>
      <c r="S3255">
        <f>IMAGE("https://mitra.stanford.edu/kundaje/oak/projects/neuro-variants/variant_position/credible/roussos_2024/variant_figures/roussos_2024.adolescence.GLU/rs7732201_count_position.png",4,220,900)</f>
        <v/>
      </c>
      <c r="T3255">
        <f>IMAGE("https://mitra.stanford.edu/kundaje/oak/projects/neuro-variants/variant_position/credible/roussos_2024/variant_figures/roussos_2024.adolescence.GLU/rs7732201_profile_position.png",4,220,900)</f>
        <v/>
      </c>
    </row>
    <row r="3256">
      <c r="A3256" t="inlineStr">
        <is>
          <t>chr5</t>
        </is>
      </c>
      <c r="B3256" t="n">
        <v>64367503</v>
      </c>
      <c r="C3256" t="inlineStr">
        <is>
          <t>G</t>
        </is>
      </c>
      <c r="D3256" t="inlineStr">
        <is>
          <t>T</t>
        </is>
      </c>
      <c r="E3256" t="inlineStr">
        <is>
          <t>rs10056417</t>
        </is>
      </c>
      <c r="F3256" t="n">
        <v>-0.00709731376</v>
      </c>
      <c r="G3256" t="n">
        <v>0.6474892972000253</v>
      </c>
      <c r="H3256" t="n">
        <v>0.014679437853872</v>
      </c>
      <c r="I3256" t="n">
        <v>0.1755281158284796</v>
      </c>
      <c r="J3256" t="n">
        <v>0.002377635367326</v>
      </c>
      <c r="K3256" t="n">
        <v>0.9479935779804808</v>
      </c>
      <c r="L3256" t="b">
        <v>0</v>
      </c>
      <c r="M3256" t="b">
        <v>0</v>
      </c>
      <c r="N3256" t="inlineStr">
        <is>
          <t>ref</t>
        </is>
      </c>
      <c r="O3256" t="n">
        <v>35</v>
      </c>
      <c r="P3256" t="n">
        <v>0.00478</v>
      </c>
      <c r="Q3256" t="n">
        <v>-70</v>
      </c>
      <c r="R3256" t="n">
        <v>0.02792</v>
      </c>
      <c r="S3256">
        <f>IMAGE("https://mitra.stanford.edu/kundaje/oak/projects/neuro-variants/variant_position/credible/roussos_2024/variant_figures/roussos_2024.adolescence.GLU/rs10056417_count_position.png",4,220,900)</f>
        <v/>
      </c>
      <c r="T3256">
        <f>IMAGE("https://mitra.stanford.edu/kundaje/oak/projects/neuro-variants/variant_position/credible/roussos_2024/variant_figures/roussos_2024.adolescence.GLU/rs10056417_profile_position.png",4,220,900)</f>
        <v/>
      </c>
    </row>
    <row r="3257">
      <c r="A3257" t="inlineStr">
        <is>
          <t>chr5</t>
        </is>
      </c>
      <c r="B3257" t="n">
        <v>64369508</v>
      </c>
      <c r="C3257" t="inlineStr">
        <is>
          <t>G</t>
        </is>
      </c>
      <c r="D3257" t="inlineStr">
        <is>
          <t>A</t>
        </is>
      </c>
      <c r="E3257" t="inlineStr">
        <is>
          <t>rs28615727</t>
        </is>
      </c>
      <c r="F3257" t="n">
        <v>-0.0553327962</v>
      </c>
      <c r="G3257" t="n">
        <v>0.0475929768080178</v>
      </c>
      <c r="H3257" t="n">
        <v>0.0121577447773809</v>
      </c>
      <c r="I3257" t="n">
        <v>0.3046944398444827</v>
      </c>
      <c r="J3257" t="n">
        <v>0.0494488143972679</v>
      </c>
      <c r="K3257" t="n">
        <v>0.7038361512303465</v>
      </c>
      <c r="L3257" t="b">
        <v>0</v>
      </c>
      <c r="M3257" t="b">
        <v>0</v>
      </c>
      <c r="N3257" t="inlineStr">
        <is>
          <t>ref</t>
        </is>
      </c>
      <c r="O3257" t="n">
        <v>-80</v>
      </c>
      <c r="P3257" t="n">
        <v>0.00595</v>
      </c>
      <c r="Q3257" t="n">
        <v>95</v>
      </c>
      <c r="R3257" t="n">
        <v>0.07530000000000001</v>
      </c>
      <c r="S3257">
        <f>IMAGE("https://mitra.stanford.edu/kundaje/oak/projects/neuro-variants/variant_position/credible/roussos_2024/variant_figures/roussos_2024.adolescence.GLU/rs28615727_count_position.png",4,220,900)</f>
        <v/>
      </c>
      <c r="T3257">
        <f>IMAGE("https://mitra.stanford.edu/kundaje/oak/projects/neuro-variants/variant_position/credible/roussos_2024/variant_figures/roussos_2024.adolescence.GLU/rs28615727_profile_position.png",4,220,900)</f>
        <v/>
      </c>
    </row>
    <row r="3258">
      <c r="A3258" t="inlineStr">
        <is>
          <t>chr5</t>
        </is>
      </c>
      <c r="B3258" t="n">
        <v>64411896</v>
      </c>
      <c r="C3258" t="inlineStr">
        <is>
          <t>G</t>
        </is>
      </c>
      <c r="D3258" t="inlineStr">
        <is>
          <t>A</t>
        </is>
      </c>
      <c r="E3258" t="inlineStr">
        <is>
          <t>rs6449731</t>
        </is>
      </c>
      <c r="F3258" t="n">
        <v>-0.077547704</v>
      </c>
      <c r="G3258" t="n">
        <v>0.0174019679238296</v>
      </c>
      <c r="H3258" t="n">
        <v>0.0151049527067864</v>
      </c>
      <c r="I3258" t="n">
        <v>0.1601737512937644</v>
      </c>
      <c r="J3258" t="n">
        <v>0.0387337377028098</v>
      </c>
      <c r="K3258" t="n">
        <v>0.7364860417888982</v>
      </c>
      <c r="L3258" t="b">
        <v>1</v>
      </c>
      <c r="M3258" t="b">
        <v>0</v>
      </c>
      <c r="N3258" t="inlineStr">
        <is>
          <t>ref</t>
        </is>
      </c>
      <c r="O3258" t="n">
        <v>100</v>
      </c>
      <c r="P3258" t="n">
        <v>0.10657</v>
      </c>
      <c r="Q3258" t="n">
        <v>25</v>
      </c>
      <c r="R3258" t="n">
        <v>0.00232</v>
      </c>
      <c r="S3258">
        <f>IMAGE("https://mitra.stanford.edu/kundaje/oak/projects/neuro-variants/variant_position/credible/roussos_2024/variant_figures/roussos_2024.adolescence.GLU/rs6449731_count_position.png",4,220,900)</f>
        <v/>
      </c>
      <c r="T3258">
        <f>IMAGE("https://mitra.stanford.edu/kundaje/oak/projects/neuro-variants/variant_position/credible/roussos_2024/variant_figures/roussos_2024.adolescence.GLU/rs6449731_profile_position.png",4,220,900)</f>
        <v/>
      </c>
    </row>
    <row r="3259">
      <c r="A3259" t="inlineStr">
        <is>
          <t>chr5</t>
        </is>
      </c>
      <c r="B3259" t="n">
        <v>64414512</v>
      </c>
      <c r="C3259" t="inlineStr">
        <is>
          <t>A</t>
        </is>
      </c>
      <c r="D3259" t="inlineStr">
        <is>
          <t>C</t>
        </is>
      </c>
      <c r="E3259" t="inlineStr">
        <is>
          <t>rs11949865</t>
        </is>
      </c>
      <c r="F3259" t="n">
        <v>0.01104385818</v>
      </c>
      <c r="G3259" t="n">
        <v>0.4731855812482384</v>
      </c>
      <c r="H3259" t="n">
        <v>0.0177928824060568</v>
      </c>
      <c r="I3259" t="n">
        <v>0.0905361350930089</v>
      </c>
      <c r="J3259" t="n">
        <v>0.0007315801130233</v>
      </c>
      <c r="K3259" t="n">
        <v>0.9770592157688636</v>
      </c>
      <c r="L3259" t="b">
        <v>0</v>
      </c>
      <c r="M3259" t="b">
        <v>0</v>
      </c>
      <c r="N3259" t="inlineStr">
        <is>
          <t>alt</t>
        </is>
      </c>
      <c r="O3259" t="n">
        <v>-5</v>
      </c>
      <c r="P3259" t="n">
        <v>0.0005035</v>
      </c>
      <c r="Q3259" t="n">
        <v>55</v>
      </c>
      <c r="R3259" t="n">
        <v>0.05457</v>
      </c>
      <c r="S3259">
        <f>IMAGE("https://mitra.stanford.edu/kundaje/oak/projects/neuro-variants/variant_position/credible/roussos_2024/variant_figures/roussos_2024.adolescence.GLU/rs11949865_count_position.png",4,220,900)</f>
        <v/>
      </c>
      <c r="T3259">
        <f>IMAGE("https://mitra.stanford.edu/kundaje/oak/projects/neuro-variants/variant_position/credible/roussos_2024/variant_figures/roussos_2024.adolescence.GLU/rs11949865_profile_position.png",4,220,900)</f>
        <v/>
      </c>
    </row>
    <row r="3260">
      <c r="A3260" t="inlineStr">
        <is>
          <t>chr5</t>
        </is>
      </c>
      <c r="B3260" t="n">
        <v>64418618</v>
      </c>
      <c r="C3260" t="inlineStr">
        <is>
          <t>T</t>
        </is>
      </c>
      <c r="D3260" t="inlineStr">
        <is>
          <t>C</t>
        </is>
      </c>
      <c r="E3260" t="inlineStr">
        <is>
          <t>rs4084594</t>
        </is>
      </c>
      <c r="F3260" t="n">
        <v>0.1066536457999999</v>
      </c>
      <c r="G3260" t="n">
        <v>0.0069753361756774</v>
      </c>
      <c r="H3260" t="n">
        <v>0.0303736468907309</v>
      </c>
      <c r="I3260" t="n">
        <v>0.0094785111788487</v>
      </c>
      <c r="J3260" t="n">
        <v>0.1440584120996491</v>
      </c>
      <c r="K3260" t="n">
        <v>0.4943374731960835</v>
      </c>
      <c r="L3260" t="b">
        <v>1</v>
      </c>
      <c r="M3260" t="b">
        <v>1</v>
      </c>
      <c r="N3260" t="inlineStr">
        <is>
          <t>alt</t>
        </is>
      </c>
      <c r="O3260" t="n">
        <v>-100</v>
      </c>
      <c r="P3260" t="n">
        <v>0.02948</v>
      </c>
      <c r="Q3260" t="n">
        <v>85</v>
      </c>
      <c r="R3260" t="n">
        <v>0.01349</v>
      </c>
      <c r="S3260">
        <f>IMAGE("https://mitra.stanford.edu/kundaje/oak/projects/neuro-variants/variant_position/credible/roussos_2024/variant_figures/roussos_2024.adolescence.GLU/rs4084594_count_position.png",4,220,900)</f>
        <v/>
      </c>
      <c r="T3260">
        <f>IMAGE("https://mitra.stanford.edu/kundaje/oak/projects/neuro-variants/variant_position/credible/roussos_2024/variant_figures/roussos_2024.adolescence.GLU/rs4084594_profile_position.png",4,220,900)</f>
        <v/>
      </c>
    </row>
    <row r="3261">
      <c r="A3261" t="inlineStr">
        <is>
          <t>chr5</t>
        </is>
      </c>
      <c r="B3261" t="n">
        <v>64420602</v>
      </c>
      <c r="C3261" t="inlineStr">
        <is>
          <t>T</t>
        </is>
      </c>
      <c r="D3261" t="inlineStr">
        <is>
          <t>G</t>
        </is>
      </c>
      <c r="E3261" t="inlineStr">
        <is>
          <t>rs7735729</t>
        </is>
      </c>
      <c r="F3261" t="n">
        <v>-0.00872198504</v>
      </c>
      <c r="G3261" t="n">
        <v>0.5914967572766509</v>
      </c>
      <c r="H3261" t="n">
        <v>0.0262787547462398</v>
      </c>
      <c r="I3261" t="n">
        <v>0.0165259980113006</v>
      </c>
      <c r="J3261" t="n">
        <v>0.011375213437069</v>
      </c>
      <c r="K3261" t="n">
        <v>0.8686290064166375</v>
      </c>
      <c r="L3261" t="b">
        <v>1</v>
      </c>
      <c r="M3261" t="b">
        <v>0</v>
      </c>
      <c r="N3261" t="inlineStr">
        <is>
          <t>ref</t>
        </is>
      </c>
      <c r="O3261" t="n">
        <v>40</v>
      </c>
      <c r="P3261" t="n">
        <v>0.00471</v>
      </c>
      <c r="Q3261" t="n">
        <v>100</v>
      </c>
      <c r="R3261" t="n">
        <v>0.0495</v>
      </c>
      <c r="S3261">
        <f>IMAGE("https://mitra.stanford.edu/kundaje/oak/projects/neuro-variants/variant_position/credible/roussos_2024/variant_figures/roussos_2024.adolescence.GLU/rs7735729_count_position.png",4,220,900)</f>
        <v/>
      </c>
      <c r="T3261">
        <f>IMAGE("https://mitra.stanford.edu/kundaje/oak/projects/neuro-variants/variant_position/credible/roussos_2024/variant_figures/roussos_2024.adolescence.GLU/rs7735729_profile_position.png",4,220,900)</f>
        <v/>
      </c>
    </row>
    <row r="3262">
      <c r="A3262" t="inlineStr">
        <is>
          <t>chr5</t>
        </is>
      </c>
      <c r="B3262" t="n">
        <v>64424518</v>
      </c>
      <c r="C3262" t="inlineStr">
        <is>
          <t>A</t>
        </is>
      </c>
      <c r="D3262" t="inlineStr">
        <is>
          <t>C</t>
        </is>
      </c>
      <c r="E3262" t="inlineStr">
        <is>
          <t>rs7736758</t>
        </is>
      </c>
      <c r="F3262" t="n">
        <v>-0.0043263710999999</v>
      </c>
      <c r="G3262" t="n">
        <v>0.7658140113822264</v>
      </c>
      <c r="H3262" t="n">
        <v>0.0237183870665958</v>
      </c>
      <c r="I3262" t="n">
        <v>0.0260052149659372</v>
      </c>
      <c r="J3262" t="n">
        <v>0.0072372134227803</v>
      </c>
      <c r="K3262" t="n">
        <v>0.90504141275228</v>
      </c>
      <c r="L3262" t="b">
        <v>0</v>
      </c>
      <c r="M3262" t="b">
        <v>0</v>
      </c>
      <c r="N3262" t="inlineStr">
        <is>
          <t>ref</t>
        </is>
      </c>
      <c r="O3262" t="n">
        <v>-75</v>
      </c>
      <c r="P3262" t="n">
        <v>0.004852</v>
      </c>
      <c r="Q3262" t="n">
        <v>-90</v>
      </c>
      <c r="R3262" t="n">
        <v>0.04575</v>
      </c>
      <c r="S3262">
        <f>IMAGE("https://mitra.stanford.edu/kundaje/oak/projects/neuro-variants/variant_position/credible/roussos_2024/variant_figures/roussos_2024.adolescence.GLU/rs7736758_count_position.png",4,220,900)</f>
        <v/>
      </c>
      <c r="T3262">
        <f>IMAGE("https://mitra.stanford.edu/kundaje/oak/projects/neuro-variants/variant_position/credible/roussos_2024/variant_figures/roussos_2024.adolescence.GLU/rs7736758_profile_position.png",4,220,900)</f>
        <v/>
      </c>
    </row>
    <row r="3263">
      <c r="A3263" t="inlineStr">
        <is>
          <t>chr5</t>
        </is>
      </c>
      <c r="B3263" t="n">
        <v>64438344</v>
      </c>
      <c r="C3263" t="inlineStr">
        <is>
          <t>C</t>
        </is>
      </c>
      <c r="D3263" t="inlineStr">
        <is>
          <t>T</t>
        </is>
      </c>
      <c r="E3263" t="inlineStr">
        <is>
          <t>rs4470714</t>
        </is>
      </c>
      <c r="F3263" t="n">
        <v>0.0199429306</v>
      </c>
      <c r="G3263" t="n">
        <v>0.2976057583816985</v>
      </c>
      <c r="H3263" t="n">
        <v>0.0257291149526212</v>
      </c>
      <c r="I3263" t="n">
        <v>0.0179738628636024</v>
      </c>
      <c r="J3263" t="n">
        <v>0.1248172835801701</v>
      </c>
      <c r="K3263" t="n">
        <v>0.529647835532257</v>
      </c>
      <c r="L3263" t="b">
        <v>1</v>
      </c>
      <c r="M3263" t="b">
        <v>0</v>
      </c>
      <c r="N3263" t="inlineStr">
        <is>
          <t>alt</t>
        </is>
      </c>
      <c r="O3263" t="n">
        <v>-30</v>
      </c>
      <c r="P3263" t="n">
        <v>0.001776</v>
      </c>
      <c r="Q3263" t="n">
        <v>-25</v>
      </c>
      <c r="R3263" t="n">
        <v>0.04364</v>
      </c>
      <c r="S3263">
        <f>IMAGE("https://mitra.stanford.edu/kundaje/oak/projects/neuro-variants/variant_position/credible/roussos_2024/variant_figures/roussos_2024.adolescence.GLU/rs4470714_count_position.png",4,220,900)</f>
        <v/>
      </c>
      <c r="T3263">
        <f>IMAGE("https://mitra.stanford.edu/kundaje/oak/projects/neuro-variants/variant_position/credible/roussos_2024/variant_figures/roussos_2024.adolescence.GLU/rs4470714_profile_position.png",4,220,900)</f>
        <v/>
      </c>
    </row>
    <row r="3264">
      <c r="A3264" t="inlineStr">
        <is>
          <t>chr5</t>
        </is>
      </c>
      <c r="B3264" t="n">
        <v>64440558</v>
      </c>
      <c r="C3264" t="inlineStr">
        <is>
          <t>T</t>
        </is>
      </c>
      <c r="D3264" t="inlineStr">
        <is>
          <t>A</t>
        </is>
      </c>
      <c r="E3264" t="inlineStr">
        <is>
          <t>rs1903305</t>
        </is>
      </c>
      <c r="F3264" t="n">
        <v>0.00058308214</v>
      </c>
      <c r="G3264" t="n">
        <v>0.8672458093884646</v>
      </c>
      <c r="H3264" t="n">
        <v>0.0155092127297257</v>
      </c>
      <c r="I3264" t="n">
        <v>0.1480516695142568</v>
      </c>
      <c r="J3264" t="n">
        <v>0.0595194718906058</v>
      </c>
      <c r="K3264" t="n">
        <v>0.6658326196504375</v>
      </c>
      <c r="L3264" t="b">
        <v>0</v>
      </c>
      <c r="M3264" t="b">
        <v>0</v>
      </c>
      <c r="N3264" t="inlineStr">
        <is>
          <t>alt</t>
        </is>
      </c>
      <c r="O3264" t="n">
        <v>100</v>
      </c>
      <c r="P3264" t="n">
        <v>0.0185</v>
      </c>
      <c r="Q3264" t="n">
        <v>100</v>
      </c>
      <c r="R3264" t="n">
        <v>0.1584</v>
      </c>
      <c r="S3264">
        <f>IMAGE("https://mitra.stanford.edu/kundaje/oak/projects/neuro-variants/variant_position/credible/roussos_2024/variant_figures/roussos_2024.adolescence.GLU/rs1903305_count_position.png",4,220,900)</f>
        <v/>
      </c>
      <c r="T3264">
        <f>IMAGE("https://mitra.stanford.edu/kundaje/oak/projects/neuro-variants/variant_position/credible/roussos_2024/variant_figures/roussos_2024.adolescence.GLU/rs1903305_profile_position.png",4,220,900)</f>
        <v/>
      </c>
    </row>
    <row r="3265">
      <c r="A3265" t="inlineStr">
        <is>
          <t>chr5</t>
        </is>
      </c>
      <c r="B3265" t="n">
        <v>75484335</v>
      </c>
      <c r="C3265" t="inlineStr">
        <is>
          <t>A</t>
        </is>
      </c>
      <c r="D3265" t="inlineStr">
        <is>
          <t>G</t>
        </is>
      </c>
      <c r="E3265" t="inlineStr">
        <is>
          <t>rs75930101</t>
        </is>
      </c>
      <c r="F3265" t="n">
        <v>0.0020303687</v>
      </c>
      <c r="G3265" t="n">
        <v>0.722823030849152</v>
      </c>
      <c r="H3265" t="n">
        <v>0.0205102581886155</v>
      </c>
      <c r="I3265" t="n">
        <v>0.0498937826482604</v>
      </c>
      <c r="J3265" t="n">
        <v>0.0252723778496973</v>
      </c>
      <c r="K3265" t="n">
        <v>0.7979635177855361</v>
      </c>
      <c r="L3265" t="b">
        <v>0</v>
      </c>
      <c r="M3265" t="b">
        <v>0</v>
      </c>
      <c r="N3265" t="inlineStr">
        <is>
          <t>alt</t>
        </is>
      </c>
      <c r="O3265" t="n">
        <v>10</v>
      </c>
      <c r="P3265" t="n">
        <v>0.007324</v>
      </c>
      <c r="Q3265" t="n">
        <v>70</v>
      </c>
      <c r="R3265" t="n">
        <v>0.02106</v>
      </c>
      <c r="S3265">
        <f>IMAGE("https://mitra.stanford.edu/kundaje/oak/projects/neuro-variants/variant_position/credible/roussos_2024/variant_figures/roussos_2024.adolescence.GLU/rs75930101_count_position.png",4,220,900)</f>
        <v/>
      </c>
      <c r="T3265">
        <f>IMAGE("https://mitra.stanford.edu/kundaje/oak/projects/neuro-variants/variant_position/credible/roussos_2024/variant_figures/roussos_2024.adolescence.GLU/rs75930101_profile_position.png",4,220,900)</f>
        <v/>
      </c>
    </row>
    <row r="3266">
      <c r="A3266" t="inlineStr">
        <is>
          <t>chr5</t>
        </is>
      </c>
      <c r="B3266" t="n">
        <v>89391697</v>
      </c>
      <c r="C3266" t="inlineStr">
        <is>
          <t>G</t>
        </is>
      </c>
      <c r="D3266" t="inlineStr">
        <is>
          <t>A</t>
        </is>
      </c>
      <c r="E3266" t="inlineStr">
        <is>
          <t>rs17508283</t>
        </is>
      </c>
      <c r="F3266" t="n">
        <v>-0.0277347542</v>
      </c>
      <c r="G3266" t="n">
        <v>0.2018334184146103</v>
      </c>
      <c r="H3266" t="n">
        <v>0.0079535305068672</v>
      </c>
      <c r="I3266" t="n">
        <v>0.7767556113001816</v>
      </c>
      <c r="J3266" t="n">
        <v>0.2126226146844703</v>
      </c>
      <c r="K3266" t="n">
        <v>0.383683344454314</v>
      </c>
      <c r="L3266" t="b">
        <v>0</v>
      </c>
      <c r="M3266" t="b">
        <v>0</v>
      </c>
      <c r="N3266" t="inlineStr">
        <is>
          <t>ref</t>
        </is>
      </c>
      <c r="O3266" t="n">
        <v>-15</v>
      </c>
      <c r="P3266" t="n">
        <v>0.001423</v>
      </c>
      <c r="Q3266" t="n">
        <v>50</v>
      </c>
      <c r="R3266" t="n">
        <v>0.0675</v>
      </c>
      <c r="S3266">
        <f>IMAGE("https://mitra.stanford.edu/kundaje/oak/projects/neuro-variants/variant_position/credible/roussos_2024/variant_figures/roussos_2024.adolescence.GLU/rs17508283_count_position.png",4,220,900)</f>
        <v/>
      </c>
      <c r="T3266">
        <f>IMAGE("https://mitra.stanford.edu/kundaje/oak/projects/neuro-variants/variant_position/credible/roussos_2024/variant_figures/roussos_2024.adolescence.GLU/rs17508283_profile_position.png",4,220,900)</f>
        <v/>
      </c>
    </row>
    <row r="3267">
      <c r="A3267" t="inlineStr">
        <is>
          <t>chr5</t>
        </is>
      </c>
      <c r="B3267" t="n">
        <v>89465423</v>
      </c>
      <c r="C3267" t="inlineStr">
        <is>
          <t>C</t>
        </is>
      </c>
      <c r="D3267" t="inlineStr">
        <is>
          <t>T</t>
        </is>
      </c>
      <c r="E3267" t="inlineStr">
        <is>
          <t>rs12109397</t>
        </is>
      </c>
      <c r="F3267" t="n">
        <v>-0.009848070780000001</v>
      </c>
      <c r="G3267" t="n">
        <v>0.5316851622649462</v>
      </c>
      <c r="H3267" t="n">
        <v>0.0138245946356379</v>
      </c>
      <c r="I3267" t="n">
        <v>0.2154639673330766</v>
      </c>
      <c r="J3267" t="n">
        <v>0.0513549235198719</v>
      </c>
      <c r="K3267" t="n">
        <v>0.6950576395146062</v>
      </c>
      <c r="L3267" t="b">
        <v>0</v>
      </c>
      <c r="M3267" t="b">
        <v>0</v>
      </c>
      <c r="N3267" t="inlineStr">
        <is>
          <t>ref</t>
        </is>
      </c>
      <c r="O3267" t="n">
        <v>65</v>
      </c>
      <c r="P3267" t="n">
        <v>0.012245</v>
      </c>
      <c r="Q3267" t="n">
        <v>-100</v>
      </c>
      <c r="R3267" t="n">
        <v>0.05603</v>
      </c>
      <c r="S3267">
        <f>IMAGE("https://mitra.stanford.edu/kundaje/oak/projects/neuro-variants/variant_position/credible/roussos_2024/variant_figures/roussos_2024.adolescence.GLU/rs12109397_count_position.png",4,220,900)</f>
        <v/>
      </c>
      <c r="T3267">
        <f>IMAGE("https://mitra.stanford.edu/kundaje/oak/projects/neuro-variants/variant_position/credible/roussos_2024/variant_figures/roussos_2024.adolescence.GLU/rs12109397_profile_position.png",4,220,900)</f>
        <v/>
      </c>
    </row>
    <row r="3268">
      <c r="A3268" t="inlineStr">
        <is>
          <t>chr5</t>
        </is>
      </c>
      <c r="B3268" t="n">
        <v>89468398</v>
      </c>
      <c r="C3268" t="inlineStr">
        <is>
          <t>G</t>
        </is>
      </c>
      <c r="D3268" t="inlineStr">
        <is>
          <t>A</t>
        </is>
      </c>
      <c r="E3268" t="inlineStr">
        <is>
          <t>rs10070532</t>
        </is>
      </c>
      <c r="F3268" t="n">
        <v>0.00660896414</v>
      </c>
      <c r="G3268" t="n">
        <v>0.4682694161528342</v>
      </c>
      <c r="H3268" t="n">
        <v>0.0122623455452657</v>
      </c>
      <c r="I3268" t="n">
        <v>0.3361821684901506</v>
      </c>
      <c r="J3268" t="n">
        <v>0.0018718163048059</v>
      </c>
      <c r="K3268" t="n">
        <v>0.956607661339146</v>
      </c>
      <c r="L3268" t="b">
        <v>0</v>
      </c>
      <c r="M3268" t="b">
        <v>0</v>
      </c>
      <c r="N3268" t="inlineStr">
        <is>
          <t>alt</t>
        </is>
      </c>
      <c r="O3268" t="n">
        <v>-100</v>
      </c>
      <c r="P3268" t="n">
        <v>0.02434</v>
      </c>
      <c r="Q3268" t="n">
        <v>-45</v>
      </c>
      <c r="R3268" t="n">
        <v>0.02943</v>
      </c>
      <c r="S3268">
        <f>IMAGE("https://mitra.stanford.edu/kundaje/oak/projects/neuro-variants/variant_position/credible/roussos_2024/variant_figures/roussos_2024.adolescence.GLU/rs10070532_count_position.png",4,220,900)</f>
        <v/>
      </c>
      <c r="T3268">
        <f>IMAGE("https://mitra.stanford.edu/kundaje/oak/projects/neuro-variants/variant_position/credible/roussos_2024/variant_figures/roussos_2024.adolescence.GLU/rs10070532_profile_position.png",4,220,900)</f>
        <v/>
      </c>
    </row>
    <row r="3269">
      <c r="A3269" t="inlineStr">
        <is>
          <t>chr5</t>
        </is>
      </c>
      <c r="B3269" t="n">
        <v>91676221</v>
      </c>
      <c r="C3269" t="inlineStr">
        <is>
          <t>C</t>
        </is>
      </c>
      <c r="D3269" t="inlineStr">
        <is>
          <t>T</t>
        </is>
      </c>
      <c r="E3269" t="inlineStr">
        <is>
          <t>rs2939257</t>
        </is>
      </c>
      <c r="F3269" t="n">
        <v>0.0012079741</v>
      </c>
      <c r="G3269" t="n">
        <v>0.6653242579320265</v>
      </c>
      <c r="H3269" t="n">
        <v>0.0355188749295167</v>
      </c>
      <c r="I3269" t="n">
        <v>0.0044820205585997</v>
      </c>
      <c r="J3269" t="n">
        <v>0.014200084303177</v>
      </c>
      <c r="K3269" t="n">
        <v>0.8513714983409854</v>
      </c>
      <c r="L3269" t="b">
        <v>1</v>
      </c>
      <c r="M3269" t="b">
        <v>0</v>
      </c>
      <c r="N3269" t="inlineStr">
        <is>
          <t>alt</t>
        </is>
      </c>
      <c r="O3269" t="n">
        <v>70</v>
      </c>
      <c r="P3269" t="n">
        <v>0.011536</v>
      </c>
      <c r="Q3269" t="n">
        <v>65</v>
      </c>
      <c r="R3269" t="n">
        <v>0.1026</v>
      </c>
      <c r="S3269">
        <f>IMAGE("https://mitra.stanford.edu/kundaje/oak/projects/neuro-variants/variant_position/credible/roussos_2024/variant_figures/roussos_2024.adolescence.GLU/rs2939257_count_position.png",4,220,900)</f>
        <v/>
      </c>
      <c r="T3269">
        <f>IMAGE("https://mitra.stanford.edu/kundaje/oak/projects/neuro-variants/variant_position/credible/roussos_2024/variant_figures/roussos_2024.adolescence.GLU/rs2939257_profile_position.png",4,220,900)</f>
        <v/>
      </c>
    </row>
    <row r="3270">
      <c r="A3270" t="inlineStr">
        <is>
          <t>chr5</t>
        </is>
      </c>
      <c r="B3270" t="n">
        <v>91688658</v>
      </c>
      <c r="C3270" t="inlineStr">
        <is>
          <t>T</t>
        </is>
      </c>
      <c r="D3270" t="inlineStr">
        <is>
          <t>G</t>
        </is>
      </c>
      <c r="E3270" t="inlineStr">
        <is>
          <t>rs2935244</t>
        </is>
      </c>
      <c r="F3270" t="n">
        <v>0.0295226298</v>
      </c>
      <c r="G3270" t="n">
        <v>0.1731088524173273</v>
      </c>
      <c r="H3270" t="n">
        <v>0.0139749025629391</v>
      </c>
      <c r="I3270" t="n">
        <v>0.2117163954297856</v>
      </c>
      <c r="J3270" t="n">
        <v>0.060858320652135</v>
      </c>
      <c r="K3270" t="n">
        <v>0.6719715419328357</v>
      </c>
      <c r="L3270" t="b">
        <v>0</v>
      </c>
      <c r="M3270" t="b">
        <v>0</v>
      </c>
      <c r="N3270" t="inlineStr">
        <is>
          <t>alt</t>
        </is>
      </c>
      <c r="O3270" t="n">
        <v>-30</v>
      </c>
      <c r="P3270" t="n">
        <v>0.01704</v>
      </c>
      <c r="Q3270" t="n">
        <v>90</v>
      </c>
      <c r="R3270" t="n">
        <v>0.04285</v>
      </c>
      <c r="S3270">
        <f>IMAGE("https://mitra.stanford.edu/kundaje/oak/projects/neuro-variants/variant_position/credible/roussos_2024/variant_figures/roussos_2024.adolescence.GLU/rs2935244_count_position.png",4,220,900)</f>
        <v/>
      </c>
      <c r="T3270">
        <f>IMAGE("https://mitra.stanford.edu/kundaje/oak/projects/neuro-variants/variant_position/credible/roussos_2024/variant_figures/roussos_2024.adolescence.GLU/rs2935244_profile_position.png",4,220,900)</f>
        <v/>
      </c>
    </row>
    <row r="3271">
      <c r="A3271" t="inlineStr">
        <is>
          <t>chr5</t>
        </is>
      </c>
      <c r="B3271" t="n">
        <v>91690039</v>
      </c>
      <c r="C3271" t="inlineStr">
        <is>
          <t>A</t>
        </is>
      </c>
      <c r="D3271" t="inlineStr">
        <is>
          <t>C</t>
        </is>
      </c>
      <c r="E3271" t="inlineStr">
        <is>
          <t>rs2973827</t>
        </is>
      </c>
      <c r="F3271" t="n">
        <v>-0.00131165622</v>
      </c>
      <c r="G3271" t="n">
        <v>0.8606988100235494</v>
      </c>
      <c r="H3271" t="n">
        <v>0.0216118138205739</v>
      </c>
      <c r="I3271" t="n">
        <v>0.0401264098297131</v>
      </c>
      <c r="J3271" t="n">
        <v>0.03943531160026</v>
      </c>
      <c r="K3271" t="n">
        <v>0.741891641750336</v>
      </c>
      <c r="L3271" t="b">
        <v>0</v>
      </c>
      <c r="M3271" t="b">
        <v>0</v>
      </c>
      <c r="N3271" t="inlineStr">
        <is>
          <t>ref</t>
        </is>
      </c>
      <c r="O3271" t="n">
        <v>80</v>
      </c>
      <c r="P3271" t="n">
        <v>0.03075</v>
      </c>
      <c r="Q3271" t="n">
        <v>85</v>
      </c>
      <c r="R3271" t="n">
        <v>0.12177</v>
      </c>
      <c r="S3271">
        <f>IMAGE("https://mitra.stanford.edu/kundaje/oak/projects/neuro-variants/variant_position/credible/roussos_2024/variant_figures/roussos_2024.adolescence.GLU/rs2973827_count_position.png",4,220,900)</f>
        <v/>
      </c>
      <c r="T3271">
        <f>IMAGE("https://mitra.stanford.edu/kundaje/oak/projects/neuro-variants/variant_position/credible/roussos_2024/variant_figures/roussos_2024.adolescence.GLU/rs2973827_profile_position.png",4,220,900)</f>
        <v/>
      </c>
    </row>
    <row r="3272">
      <c r="A3272" t="inlineStr">
        <is>
          <t>chr5</t>
        </is>
      </c>
      <c r="B3272" t="n">
        <v>91691174</v>
      </c>
      <c r="C3272" t="inlineStr">
        <is>
          <t>A</t>
        </is>
      </c>
      <c r="D3272" t="inlineStr">
        <is>
          <t>C</t>
        </is>
      </c>
      <c r="E3272" t="inlineStr">
        <is>
          <t>rs2939246</t>
        </is>
      </c>
      <c r="F3272" t="n">
        <v>0.0177077636679999</v>
      </c>
      <c r="G3272" t="n">
        <v>0.3374120566234747</v>
      </c>
      <c r="H3272" t="n">
        <v>0.010273247665543</v>
      </c>
      <c r="I3272" t="n">
        <v>0.5125394374201807</v>
      </c>
      <c r="J3272" t="n">
        <v>0.1373355909438383</v>
      </c>
      <c r="K3272" t="n">
        <v>0.4969492813148368</v>
      </c>
      <c r="L3272" t="b">
        <v>0</v>
      </c>
      <c r="M3272" t="b">
        <v>0</v>
      </c>
      <c r="N3272" t="inlineStr">
        <is>
          <t>alt</t>
        </is>
      </c>
      <c r="O3272" t="n">
        <v>-85</v>
      </c>
      <c r="P3272" t="n">
        <v>0.006332</v>
      </c>
      <c r="Q3272" t="n">
        <v>-85</v>
      </c>
      <c r="R3272" t="n">
        <v>0.008970000000000001</v>
      </c>
      <c r="S3272">
        <f>IMAGE("https://mitra.stanford.edu/kundaje/oak/projects/neuro-variants/variant_position/credible/roussos_2024/variant_figures/roussos_2024.adolescence.GLU/rs2939246_count_position.png",4,220,900)</f>
        <v/>
      </c>
      <c r="T3272">
        <f>IMAGE("https://mitra.stanford.edu/kundaje/oak/projects/neuro-variants/variant_position/credible/roussos_2024/variant_figures/roussos_2024.adolescence.GLU/rs2939246_profile_position.png",4,220,900)</f>
        <v/>
      </c>
    </row>
    <row r="3273">
      <c r="A3273" t="inlineStr">
        <is>
          <t>chr5</t>
        </is>
      </c>
      <c r="B3273" t="n">
        <v>91694565</v>
      </c>
      <c r="C3273" t="inlineStr">
        <is>
          <t>A</t>
        </is>
      </c>
      <c r="D3273" t="inlineStr">
        <is>
          <t>G</t>
        </is>
      </c>
      <c r="E3273" t="inlineStr">
        <is>
          <t>rs2973829</t>
        </is>
      </c>
      <c r="F3273" t="n">
        <v>0.0025641935799999</v>
      </c>
      <c r="G3273" t="n">
        <v>0.8140864432847885</v>
      </c>
      <c r="H3273" t="n">
        <v>0.0189778307989016</v>
      </c>
      <c r="I3273" t="n">
        <v>0.06658150937733059</v>
      </c>
      <c r="J3273" t="n">
        <v>0.0014574447564137</v>
      </c>
      <c r="K3273" t="n">
        <v>0.9618219604782524</v>
      </c>
      <c r="L3273" t="b">
        <v>0</v>
      </c>
      <c r="M3273" t="b">
        <v>0</v>
      </c>
      <c r="N3273" t="inlineStr">
        <is>
          <t>alt</t>
        </is>
      </c>
      <c r="O3273" t="n">
        <v>-90</v>
      </c>
      <c r="P3273" t="n">
        <v>0.005005</v>
      </c>
      <c r="Q3273" t="n">
        <v>-100</v>
      </c>
      <c r="R3273" t="n">
        <v>0.02173</v>
      </c>
      <c r="S3273">
        <f>IMAGE("https://mitra.stanford.edu/kundaje/oak/projects/neuro-variants/variant_position/credible/roussos_2024/variant_figures/roussos_2024.adolescence.GLU/rs2973829_count_position.png",4,220,900)</f>
        <v/>
      </c>
      <c r="T3273">
        <f>IMAGE("https://mitra.stanford.edu/kundaje/oak/projects/neuro-variants/variant_position/credible/roussos_2024/variant_figures/roussos_2024.adolescence.GLU/rs2973829_profile_position.png",4,220,900)</f>
        <v/>
      </c>
    </row>
    <row r="3274">
      <c r="A3274" t="inlineStr">
        <is>
          <t>chr5</t>
        </is>
      </c>
      <c r="B3274" t="n">
        <v>91696606</v>
      </c>
      <c r="C3274" t="inlineStr">
        <is>
          <t>G</t>
        </is>
      </c>
      <c r="D3274" t="inlineStr">
        <is>
          <t>C</t>
        </is>
      </c>
      <c r="E3274" t="inlineStr">
        <is>
          <t>rs2973831</t>
        </is>
      </c>
      <c r="F3274" t="n">
        <v>0.00450572238</v>
      </c>
      <c r="G3274" t="n">
        <v>0.6803286186289027</v>
      </c>
      <c r="H3274" t="n">
        <v>0.009847373286922201</v>
      </c>
      <c r="I3274" t="n">
        <v>0.5554225611733888</v>
      </c>
      <c r="J3274" t="n">
        <v>0.0370105236084617</v>
      </c>
      <c r="K3274" t="n">
        <v>0.7423504779034757</v>
      </c>
      <c r="L3274" t="b">
        <v>0</v>
      </c>
      <c r="M3274" t="b">
        <v>0</v>
      </c>
      <c r="N3274" t="inlineStr">
        <is>
          <t>alt</t>
        </is>
      </c>
      <c r="O3274" t="n">
        <v>-85</v>
      </c>
      <c r="P3274" t="n">
        <v>0.00425</v>
      </c>
      <c r="Q3274" t="n">
        <v>-50</v>
      </c>
      <c r="R3274" t="n">
        <v>0.1063</v>
      </c>
      <c r="S3274">
        <f>IMAGE("https://mitra.stanford.edu/kundaje/oak/projects/neuro-variants/variant_position/credible/roussos_2024/variant_figures/roussos_2024.adolescence.GLU/rs2973831_count_position.png",4,220,900)</f>
        <v/>
      </c>
      <c r="T3274">
        <f>IMAGE("https://mitra.stanford.edu/kundaje/oak/projects/neuro-variants/variant_position/credible/roussos_2024/variant_figures/roussos_2024.adolescence.GLU/rs2973831_profile_position.png",4,220,900)</f>
        <v/>
      </c>
    </row>
    <row r="3275">
      <c r="A3275" t="inlineStr">
        <is>
          <t>chr5</t>
        </is>
      </c>
      <c r="B3275" t="n">
        <v>102325209</v>
      </c>
      <c r="C3275" t="inlineStr">
        <is>
          <t>T</t>
        </is>
      </c>
      <c r="D3275" t="inlineStr">
        <is>
          <t>C</t>
        </is>
      </c>
      <c r="E3275" t="inlineStr">
        <is>
          <t>rs9327836</t>
        </is>
      </c>
      <c r="F3275" t="n">
        <v>0.0613407336</v>
      </c>
      <c r="G3275" t="n">
        <v>0.03157187483153</v>
      </c>
      <c r="H3275" t="n">
        <v>0.0132893987900343</v>
      </c>
      <c r="I3275" t="n">
        <v>0.2344524610472806</v>
      </c>
      <c r="J3275" t="n">
        <v>0.0839473891020282</v>
      </c>
      <c r="K3275" t="n">
        <v>0.6098835177023928</v>
      </c>
      <c r="L3275" t="b">
        <v>0</v>
      </c>
      <c r="M3275" t="b">
        <v>0</v>
      </c>
      <c r="N3275" t="inlineStr">
        <is>
          <t>alt</t>
        </is>
      </c>
      <c r="O3275" t="n">
        <v>-95</v>
      </c>
      <c r="P3275" t="n">
        <v>0.00253</v>
      </c>
      <c r="Q3275" t="n">
        <v>100</v>
      </c>
      <c r="R3275" t="n">
        <v>0.04117</v>
      </c>
      <c r="S3275">
        <f>IMAGE("https://mitra.stanford.edu/kundaje/oak/projects/neuro-variants/variant_position/credible/roussos_2024/variant_figures/roussos_2024.adolescence.GLU/rs9327836_count_position.png",4,220,900)</f>
        <v/>
      </c>
      <c r="T3275">
        <f>IMAGE("https://mitra.stanford.edu/kundaje/oak/projects/neuro-variants/variant_position/credible/roussos_2024/variant_figures/roussos_2024.adolescence.GLU/rs9327836_profile_position.png",4,220,900)</f>
        <v/>
      </c>
    </row>
    <row r="3276">
      <c r="A3276" t="inlineStr">
        <is>
          <t>chr5</t>
        </is>
      </c>
      <c r="B3276" t="n">
        <v>102340107</v>
      </c>
      <c r="C3276" t="inlineStr">
        <is>
          <t>C</t>
        </is>
      </c>
      <c r="D3276" t="inlineStr">
        <is>
          <t>T</t>
        </is>
      </c>
      <c r="E3276" t="inlineStr">
        <is>
          <t>rs6884162</t>
        </is>
      </c>
      <c r="F3276" t="n">
        <v>0.0277945467999999</v>
      </c>
      <c r="G3276" t="n">
        <v>0.1869276127506155</v>
      </c>
      <c r="H3276" t="n">
        <v>0.0228420119769477</v>
      </c>
      <c r="I3276" t="n">
        <v>0.0314745317869244</v>
      </c>
      <c r="J3276" t="n">
        <v>0.276464410485029</v>
      </c>
      <c r="K3276" t="n">
        <v>0.2983508177174969</v>
      </c>
      <c r="L3276" t="b">
        <v>0</v>
      </c>
      <c r="M3276" t="b">
        <v>0</v>
      </c>
      <c r="N3276" t="inlineStr">
        <is>
          <t>alt</t>
        </is>
      </c>
      <c r="O3276" t="n">
        <v>-35</v>
      </c>
      <c r="P3276" t="n">
        <v>0.000764</v>
      </c>
      <c r="Q3276" t="n">
        <v>95</v>
      </c>
      <c r="R3276" t="n">
        <v>0.1361</v>
      </c>
      <c r="S3276">
        <f>IMAGE("https://mitra.stanford.edu/kundaje/oak/projects/neuro-variants/variant_position/credible/roussos_2024/variant_figures/roussos_2024.adolescence.GLU/rs6884162_count_position.png",4,220,900)</f>
        <v/>
      </c>
      <c r="T3276">
        <f>IMAGE("https://mitra.stanford.edu/kundaje/oak/projects/neuro-variants/variant_position/credible/roussos_2024/variant_figures/roussos_2024.adolescence.GLU/rs6884162_profile_position.png",4,220,900)</f>
        <v/>
      </c>
    </row>
    <row r="3277">
      <c r="A3277" t="inlineStr">
        <is>
          <t>chr5</t>
        </is>
      </c>
      <c r="B3277" t="n">
        <v>102340678</v>
      </c>
      <c r="C3277" t="inlineStr">
        <is>
          <t>A</t>
        </is>
      </c>
      <c r="D3277" t="inlineStr">
        <is>
          <t>C</t>
        </is>
      </c>
      <c r="E3277" t="inlineStr">
        <is>
          <t>rs1452060</t>
        </is>
      </c>
      <c r="F3277" t="n">
        <v>0.0520328378</v>
      </c>
      <c r="G3277" t="n">
        <v>0.0606555930747483</v>
      </c>
      <c r="H3277" t="n">
        <v>0.0238550512463929</v>
      </c>
      <c r="I3277" t="n">
        <v>0.0335516486995959</v>
      </c>
      <c r="J3277" t="n">
        <v>0.1569110744368476</v>
      </c>
      <c r="K3277" t="n">
        <v>0.4730460350084247</v>
      </c>
      <c r="L3277" t="b">
        <v>0</v>
      </c>
      <c r="M3277" t="b">
        <v>0</v>
      </c>
      <c r="N3277" t="inlineStr">
        <is>
          <t>alt</t>
        </is>
      </c>
      <c r="O3277" t="n">
        <v>-45</v>
      </c>
      <c r="P3277" t="n">
        <v>0.006657</v>
      </c>
      <c r="Q3277" t="n">
        <v>65</v>
      </c>
      <c r="R3277" t="n">
        <v>0.06824</v>
      </c>
      <c r="S3277">
        <f>IMAGE("https://mitra.stanford.edu/kundaje/oak/projects/neuro-variants/variant_position/credible/roussos_2024/variant_figures/roussos_2024.adolescence.GLU/rs1452060_count_position.png",4,220,900)</f>
        <v/>
      </c>
      <c r="T3277">
        <f>IMAGE("https://mitra.stanford.edu/kundaje/oak/projects/neuro-variants/variant_position/credible/roussos_2024/variant_figures/roussos_2024.adolescence.GLU/rs1452060_profile_position.png",4,220,900)</f>
        <v/>
      </c>
    </row>
    <row r="3278">
      <c r="A3278" t="inlineStr">
        <is>
          <t>chr5</t>
        </is>
      </c>
      <c r="B3278" t="n">
        <v>102343745</v>
      </c>
      <c r="C3278" t="inlineStr">
        <is>
          <t>T</t>
        </is>
      </c>
      <c r="D3278" t="inlineStr">
        <is>
          <t>C</t>
        </is>
      </c>
      <c r="E3278" t="inlineStr">
        <is>
          <t>rs1869103</t>
        </is>
      </c>
      <c r="F3278" t="n">
        <v>-0.0789697474</v>
      </c>
      <c r="G3278" t="n">
        <v>0.015503164336977</v>
      </c>
      <c r="H3278" t="n">
        <v>0.0285250573000182</v>
      </c>
      <c r="I3278" t="n">
        <v>0.0114005921105247</v>
      </c>
      <c r="J3278" t="n">
        <v>0.2326239006651377</v>
      </c>
      <c r="K3278" t="n">
        <v>0.3590491178274841</v>
      </c>
      <c r="L3278" t="b">
        <v>1</v>
      </c>
      <c r="M3278" t="b">
        <v>0</v>
      </c>
      <c r="N3278" t="inlineStr">
        <is>
          <t>ref</t>
        </is>
      </c>
      <c r="O3278" t="n">
        <v>-50</v>
      </c>
      <c r="P3278" t="n">
        <v>0.000725</v>
      </c>
      <c r="Q3278" t="n">
        <v>100</v>
      </c>
      <c r="R3278" t="n">
        <v>0.02972</v>
      </c>
      <c r="S3278">
        <f>IMAGE("https://mitra.stanford.edu/kundaje/oak/projects/neuro-variants/variant_position/credible/roussos_2024/variant_figures/roussos_2024.adolescence.GLU/rs1869103_count_position.png",4,220,900)</f>
        <v/>
      </c>
      <c r="T3278">
        <f>IMAGE("https://mitra.stanford.edu/kundaje/oak/projects/neuro-variants/variant_position/credible/roussos_2024/variant_figures/roussos_2024.adolescence.GLU/rs1869103_profile_position.png",4,220,900)</f>
        <v/>
      </c>
    </row>
    <row r="3279">
      <c r="A3279" t="inlineStr">
        <is>
          <t>chr5</t>
        </is>
      </c>
      <c r="B3279" t="n">
        <v>102347720</v>
      </c>
      <c r="C3279" t="inlineStr">
        <is>
          <t>T</t>
        </is>
      </c>
      <c r="D3279" t="inlineStr">
        <is>
          <t>C</t>
        </is>
      </c>
      <c r="E3279" t="inlineStr">
        <is>
          <t>rs10079075</t>
        </is>
      </c>
      <c r="F3279" t="n">
        <v>0.010547263254</v>
      </c>
      <c r="G3279" t="n">
        <v>0.5296895636387086</v>
      </c>
      <c r="H3279" t="n">
        <v>0.01187096581213</v>
      </c>
      <c r="I3279" t="n">
        <v>0.3592871979193909</v>
      </c>
      <c r="J3279" t="n">
        <v>0.0036021747361953</v>
      </c>
      <c r="K3279" t="n">
        <v>0.9320246196362204</v>
      </c>
      <c r="L3279" t="b">
        <v>0</v>
      </c>
      <c r="M3279" t="b">
        <v>0</v>
      </c>
      <c r="N3279" t="inlineStr">
        <is>
          <t>alt</t>
        </is>
      </c>
      <c r="O3279" t="n">
        <v>100</v>
      </c>
      <c r="P3279" t="n">
        <v>0.0116</v>
      </c>
      <c r="Q3279" t="n">
        <v>-80</v>
      </c>
      <c r="R3279" t="n">
        <v>0.05478</v>
      </c>
      <c r="S3279">
        <f>IMAGE("https://mitra.stanford.edu/kundaje/oak/projects/neuro-variants/variant_position/credible/roussos_2024/variant_figures/roussos_2024.adolescence.GLU/rs10079075_count_position.png",4,220,900)</f>
        <v/>
      </c>
      <c r="T3279">
        <f>IMAGE("https://mitra.stanford.edu/kundaje/oak/projects/neuro-variants/variant_position/credible/roussos_2024/variant_figures/roussos_2024.adolescence.GLU/rs10079075_profile_position.png",4,220,900)</f>
        <v/>
      </c>
    </row>
    <row r="3280">
      <c r="A3280" t="inlineStr">
        <is>
          <t>chr5</t>
        </is>
      </c>
      <c r="B3280" t="n">
        <v>102349145</v>
      </c>
      <c r="C3280" t="inlineStr">
        <is>
          <t>G</t>
        </is>
      </c>
      <c r="D3280" t="inlineStr">
        <is>
          <t>A</t>
        </is>
      </c>
      <c r="E3280" t="inlineStr">
        <is>
          <t>rs1823693</t>
        </is>
      </c>
      <c r="F3280" t="n">
        <v>-0.02080560078</v>
      </c>
      <c r="G3280" t="n">
        <v>0.3245871901156731</v>
      </c>
      <c r="H3280" t="n">
        <v>0.0122633097896008</v>
      </c>
      <c r="I3280" t="n">
        <v>0.3485506701455079</v>
      </c>
      <c r="J3280" t="n">
        <v>0.009480535253731</v>
      </c>
      <c r="K3280" t="n">
        <v>0.8825070558471086</v>
      </c>
      <c r="L3280" t="b">
        <v>0</v>
      </c>
      <c r="M3280" t="b">
        <v>0</v>
      </c>
      <c r="N3280" t="inlineStr">
        <is>
          <t>ref</t>
        </is>
      </c>
      <c r="O3280" t="n">
        <v>95</v>
      </c>
      <c r="P3280" t="n">
        <v>0.006344</v>
      </c>
      <c r="Q3280" t="n">
        <v>-50</v>
      </c>
      <c r="R3280" t="n">
        <v>0.0395</v>
      </c>
      <c r="S3280">
        <f>IMAGE("https://mitra.stanford.edu/kundaje/oak/projects/neuro-variants/variant_position/credible/roussos_2024/variant_figures/roussos_2024.adolescence.GLU/rs1823693_count_position.png",4,220,900)</f>
        <v/>
      </c>
      <c r="T3280">
        <f>IMAGE("https://mitra.stanford.edu/kundaje/oak/projects/neuro-variants/variant_position/credible/roussos_2024/variant_figures/roussos_2024.adolescence.GLU/rs1823693_profile_position.png",4,220,900)</f>
        <v/>
      </c>
    </row>
    <row r="3281">
      <c r="A3281" t="inlineStr">
        <is>
          <t>chr5</t>
        </is>
      </c>
      <c r="B3281" t="n">
        <v>102351737</v>
      </c>
      <c r="C3281" t="inlineStr">
        <is>
          <t>A</t>
        </is>
      </c>
      <c r="D3281" t="inlineStr">
        <is>
          <t>G</t>
        </is>
      </c>
      <c r="E3281" t="inlineStr">
        <is>
          <t>rs1901510</t>
        </is>
      </c>
      <c r="F3281" t="n">
        <v>0.08016050579999991</v>
      </c>
      <c r="G3281" t="n">
        <v>0.0186547354947671</v>
      </c>
      <c r="H3281" t="n">
        <v>0.0256394816234679</v>
      </c>
      <c r="I3281" t="n">
        <v>0.0202581713418115</v>
      </c>
      <c r="J3281" t="n">
        <v>0.262431503668617</v>
      </c>
      <c r="K3281" t="n">
        <v>0.3181005082913679</v>
      </c>
      <c r="L3281" t="b">
        <v>1</v>
      </c>
      <c r="M3281" t="b">
        <v>0</v>
      </c>
      <c r="N3281" t="inlineStr">
        <is>
          <t>alt</t>
        </is>
      </c>
      <c r="O3281" t="n">
        <v>40</v>
      </c>
      <c r="P3281" t="n">
        <v>0.0009879999999999999</v>
      </c>
      <c r="Q3281" t="n">
        <v>90</v>
      </c>
      <c r="R3281" t="n">
        <v>0.03278</v>
      </c>
      <c r="S3281">
        <f>IMAGE("https://mitra.stanford.edu/kundaje/oak/projects/neuro-variants/variant_position/credible/roussos_2024/variant_figures/roussos_2024.adolescence.GLU/rs1901510_count_position.png",4,220,900)</f>
        <v/>
      </c>
      <c r="T3281">
        <f>IMAGE("https://mitra.stanford.edu/kundaje/oak/projects/neuro-variants/variant_position/credible/roussos_2024/variant_figures/roussos_2024.adolescence.GLU/rs1901510_profile_position.png",4,220,900)</f>
        <v/>
      </c>
    </row>
    <row r="3282">
      <c r="A3282" t="inlineStr">
        <is>
          <t>chr5</t>
        </is>
      </c>
      <c r="B3282" t="n">
        <v>102356524</v>
      </c>
      <c r="C3282" t="inlineStr">
        <is>
          <t>G</t>
        </is>
      </c>
      <c r="D3282" t="inlineStr">
        <is>
          <t>T</t>
        </is>
      </c>
      <c r="E3282" t="inlineStr">
        <is>
          <t>rs2198246</t>
        </is>
      </c>
      <c r="F3282" t="n">
        <v>-0.00521014206</v>
      </c>
      <c r="G3282" t="n">
        <v>0.731919968608301</v>
      </c>
      <c r="H3282" t="n">
        <v>0.0163422828055703</v>
      </c>
      <c r="I3282" t="n">
        <v>0.1292883826900539</v>
      </c>
      <c r="J3282" t="n">
        <v>0.0314736624014974</v>
      </c>
      <c r="K3282" t="n">
        <v>0.7670347009341166</v>
      </c>
      <c r="L3282" t="b">
        <v>0</v>
      </c>
      <c r="M3282" t="b">
        <v>0</v>
      </c>
      <c r="N3282" t="inlineStr">
        <is>
          <t>ref</t>
        </is>
      </c>
      <c r="O3282" t="n">
        <v>-70</v>
      </c>
      <c r="P3282" t="n">
        <v>0.003426</v>
      </c>
      <c r="Q3282" t="n">
        <v>100</v>
      </c>
      <c r="R3282" t="n">
        <v>0.03458</v>
      </c>
      <c r="S3282">
        <f>IMAGE("https://mitra.stanford.edu/kundaje/oak/projects/neuro-variants/variant_position/credible/roussos_2024/variant_figures/roussos_2024.adolescence.GLU/rs2198246_count_position.png",4,220,900)</f>
        <v/>
      </c>
      <c r="T3282">
        <f>IMAGE("https://mitra.stanford.edu/kundaje/oak/projects/neuro-variants/variant_position/credible/roussos_2024/variant_figures/roussos_2024.adolescence.GLU/rs2198246_profile_position.png",4,220,900)</f>
        <v/>
      </c>
    </row>
    <row r="3283">
      <c r="A3283" t="inlineStr">
        <is>
          <t>chr5</t>
        </is>
      </c>
      <c r="B3283" t="n">
        <v>102364998</v>
      </c>
      <c r="C3283" t="inlineStr">
        <is>
          <t>A</t>
        </is>
      </c>
      <c r="D3283" t="inlineStr">
        <is>
          <t>G</t>
        </is>
      </c>
      <c r="E3283" t="inlineStr">
        <is>
          <t>rs7718122</t>
        </is>
      </c>
      <c r="F3283" t="n">
        <v>0.0094236324139999</v>
      </c>
      <c r="G3283" t="n">
        <v>0.5092310641747053</v>
      </c>
      <c r="H3283" t="n">
        <v>0.0096946911138081</v>
      </c>
      <c r="I3283" t="n">
        <v>0.55687925346891</v>
      </c>
      <c r="J3283" t="n">
        <v>0.1723899950704074</v>
      </c>
      <c r="K3283" t="n">
        <v>0.4480963703104101</v>
      </c>
      <c r="L3283" t="b">
        <v>0</v>
      </c>
      <c r="M3283" t="b">
        <v>0</v>
      </c>
      <c r="N3283" t="inlineStr">
        <is>
          <t>alt</t>
        </is>
      </c>
      <c r="O3283" t="n">
        <v>-100</v>
      </c>
      <c r="P3283" t="n">
        <v>0.01004</v>
      </c>
      <c r="Q3283" t="n">
        <v>-15</v>
      </c>
      <c r="R3283" t="n">
        <v>0.009520000000000001</v>
      </c>
      <c r="S3283">
        <f>IMAGE("https://mitra.stanford.edu/kundaje/oak/projects/neuro-variants/variant_position/credible/roussos_2024/variant_figures/roussos_2024.adolescence.GLU/rs7718122_count_position.png",4,220,900)</f>
        <v/>
      </c>
      <c r="T3283">
        <f>IMAGE("https://mitra.stanford.edu/kundaje/oak/projects/neuro-variants/variant_position/credible/roussos_2024/variant_figures/roussos_2024.adolescence.GLU/rs7718122_profile_position.png",4,220,900)</f>
        <v/>
      </c>
    </row>
    <row r="3284">
      <c r="A3284" t="inlineStr">
        <is>
          <t>chr5</t>
        </is>
      </c>
      <c r="B3284" t="n">
        <v>102365686</v>
      </c>
      <c r="C3284" t="inlineStr">
        <is>
          <t>G</t>
        </is>
      </c>
      <c r="D3284" t="inlineStr">
        <is>
          <t>C</t>
        </is>
      </c>
      <c r="E3284" t="inlineStr">
        <is>
          <t>rs6861350</t>
        </is>
      </c>
      <c r="F3284" t="n">
        <v>-0.0641645468</v>
      </c>
      <c r="G3284" t="n">
        <v>0.031440108612885</v>
      </c>
      <c r="H3284" t="n">
        <v>0.0141575875227184</v>
      </c>
      <c r="I3284" t="n">
        <v>0.1944806972715496</v>
      </c>
      <c r="J3284" t="n">
        <v>0.0341670774660465</v>
      </c>
      <c r="K3284" t="n">
        <v>0.756380532032244</v>
      </c>
      <c r="L3284" t="b">
        <v>0</v>
      </c>
      <c r="M3284" t="b">
        <v>0</v>
      </c>
      <c r="N3284" t="inlineStr">
        <is>
          <t>ref</t>
        </is>
      </c>
      <c r="O3284" t="n">
        <v>85</v>
      </c>
      <c r="P3284" t="n">
        <v>0.006058</v>
      </c>
      <c r="Q3284" t="n">
        <v>-55</v>
      </c>
      <c r="R3284" t="n">
        <v>0.03262</v>
      </c>
      <c r="S3284">
        <f>IMAGE("https://mitra.stanford.edu/kundaje/oak/projects/neuro-variants/variant_position/credible/roussos_2024/variant_figures/roussos_2024.adolescence.GLU/rs6861350_count_position.png",4,220,900)</f>
        <v/>
      </c>
      <c r="T3284">
        <f>IMAGE("https://mitra.stanford.edu/kundaje/oak/projects/neuro-variants/variant_position/credible/roussos_2024/variant_figures/roussos_2024.adolescence.GLU/rs6861350_profile_position.png",4,220,900)</f>
        <v/>
      </c>
    </row>
    <row r="3285">
      <c r="A3285" t="inlineStr">
        <is>
          <t>chr5</t>
        </is>
      </c>
      <c r="B3285" t="n">
        <v>102367872</v>
      </c>
      <c r="C3285" t="inlineStr">
        <is>
          <t>A</t>
        </is>
      </c>
      <c r="D3285" t="inlineStr">
        <is>
          <t>G</t>
        </is>
      </c>
      <c r="E3285" t="inlineStr">
        <is>
          <t>rs1597766</t>
        </is>
      </c>
      <c r="F3285" t="n">
        <v>-2.510025200000007e-05</v>
      </c>
      <c r="G3285" t="n">
        <v>0.9000612840290577</v>
      </c>
      <c r="H3285" t="n">
        <v>0.0292280384196801</v>
      </c>
      <c r="I3285" t="n">
        <v>0.0101584595593908</v>
      </c>
      <c r="J3285" t="n">
        <v>0.004519507612291</v>
      </c>
      <c r="K3285" t="n">
        <v>0.9226528396105952</v>
      </c>
      <c r="L3285" t="b">
        <v>0</v>
      </c>
      <c r="M3285" t="b">
        <v>0</v>
      </c>
      <c r="N3285" t="inlineStr">
        <is>
          <t>ref</t>
        </is>
      </c>
      <c r="O3285" t="n">
        <v>10</v>
      </c>
      <c r="P3285" t="n">
        <v>0.00864</v>
      </c>
      <c r="Q3285" t="n">
        <v>-100</v>
      </c>
      <c r="R3285" t="n">
        <v>0.05914</v>
      </c>
      <c r="S3285">
        <f>IMAGE("https://mitra.stanford.edu/kundaje/oak/projects/neuro-variants/variant_position/credible/roussos_2024/variant_figures/roussos_2024.adolescence.GLU/rs1597766_count_position.png",4,220,900)</f>
        <v/>
      </c>
      <c r="T3285">
        <f>IMAGE("https://mitra.stanford.edu/kundaje/oak/projects/neuro-variants/variant_position/credible/roussos_2024/variant_figures/roussos_2024.adolescence.GLU/rs1597766_profile_position.png",4,220,900)</f>
        <v/>
      </c>
    </row>
    <row r="3286">
      <c r="A3286" t="inlineStr">
        <is>
          <t>chr5</t>
        </is>
      </c>
      <c r="B3286" t="n">
        <v>102377587</v>
      </c>
      <c r="C3286" t="inlineStr">
        <is>
          <t>T</t>
        </is>
      </c>
      <c r="D3286" t="inlineStr">
        <is>
          <t>G</t>
        </is>
      </c>
      <c r="E3286" t="inlineStr">
        <is>
          <t>rs10041806</t>
        </is>
      </c>
      <c r="F3286" t="n">
        <v>-0.00054202932</v>
      </c>
      <c r="G3286" t="n">
        <v>0.9052013071315356</v>
      </c>
      <c r="H3286" t="n">
        <v>0.0203180455607746</v>
      </c>
      <c r="I3286" t="n">
        <v>0.0535786164080048</v>
      </c>
      <c r="J3286" t="n">
        <v>0.0010673639539618</v>
      </c>
      <c r="K3286" t="n">
        <v>0.9688250410489032</v>
      </c>
      <c r="L3286" t="b">
        <v>0</v>
      </c>
      <c r="M3286" t="b">
        <v>0</v>
      </c>
      <c r="N3286" t="inlineStr">
        <is>
          <t>ref</t>
        </is>
      </c>
      <c r="O3286" t="n">
        <v>-100</v>
      </c>
      <c r="P3286" t="n">
        <v>0.02623</v>
      </c>
      <c r="Q3286" t="n">
        <v>-100</v>
      </c>
      <c r="R3286" t="n">
        <v>0.0586</v>
      </c>
      <c r="S3286">
        <f>IMAGE("https://mitra.stanford.edu/kundaje/oak/projects/neuro-variants/variant_position/credible/roussos_2024/variant_figures/roussos_2024.adolescence.GLU/rs10041806_count_position.png",4,220,900)</f>
        <v/>
      </c>
      <c r="T3286">
        <f>IMAGE("https://mitra.stanford.edu/kundaje/oak/projects/neuro-variants/variant_position/credible/roussos_2024/variant_figures/roussos_2024.adolescence.GLU/rs10041806_profile_position.png",4,220,900)</f>
        <v/>
      </c>
    </row>
    <row r="3287">
      <c r="A3287" t="inlineStr">
        <is>
          <t>chr5</t>
        </is>
      </c>
      <c r="B3287" t="n">
        <v>102378038</v>
      </c>
      <c r="C3287" t="inlineStr">
        <is>
          <t>T</t>
        </is>
      </c>
      <c r="D3287" t="inlineStr">
        <is>
          <t>A</t>
        </is>
      </c>
      <c r="E3287" t="inlineStr">
        <is>
          <t>rs9327850</t>
        </is>
      </c>
      <c r="F3287" t="n">
        <v>-0.00279567102</v>
      </c>
      <c r="G3287" t="n">
        <v>0.8560992995180153</v>
      </c>
      <c r="H3287" t="n">
        <v>0.0160230528526569</v>
      </c>
      <c r="I3287" t="n">
        <v>0.1237364142462449</v>
      </c>
      <c r="J3287" t="n">
        <v>0.0007115759693078</v>
      </c>
      <c r="K3287" t="n">
        <v>0.975437517270475</v>
      </c>
      <c r="L3287" t="b">
        <v>0</v>
      </c>
      <c r="M3287" t="b">
        <v>0</v>
      </c>
      <c r="N3287" t="inlineStr">
        <is>
          <t>ref</t>
        </is>
      </c>
      <c r="O3287" t="n">
        <v>-5</v>
      </c>
      <c r="P3287" t="n">
        <v>0.002838</v>
      </c>
      <c r="Q3287" t="n">
        <v>70</v>
      </c>
      <c r="R3287" t="n">
        <v>0.02753</v>
      </c>
      <c r="S3287">
        <f>IMAGE("https://mitra.stanford.edu/kundaje/oak/projects/neuro-variants/variant_position/credible/roussos_2024/variant_figures/roussos_2024.adolescence.GLU/rs9327850_count_position.png",4,220,900)</f>
        <v/>
      </c>
      <c r="T3287">
        <f>IMAGE("https://mitra.stanford.edu/kundaje/oak/projects/neuro-variants/variant_position/credible/roussos_2024/variant_figures/roussos_2024.adolescence.GLU/rs9327850_profile_position.png",4,220,900)</f>
        <v/>
      </c>
    </row>
    <row r="3288">
      <c r="A3288" t="inlineStr">
        <is>
          <t>chr5</t>
        </is>
      </c>
      <c r="B3288" t="n">
        <v>102379394</v>
      </c>
      <c r="C3288" t="inlineStr">
        <is>
          <t>G</t>
        </is>
      </c>
      <c r="D3288" t="inlineStr">
        <is>
          <t>T</t>
        </is>
      </c>
      <c r="E3288" t="inlineStr">
        <is>
          <t>rs9327851</t>
        </is>
      </c>
      <c r="F3288" t="n">
        <v>-0.003459359512</v>
      </c>
      <c r="G3288" t="n">
        <v>0.8172728573197735</v>
      </c>
      <c r="H3288" t="n">
        <v>0.0067559073273734</v>
      </c>
      <c r="I3288" t="n">
        <v>0.9106148779126833</v>
      </c>
      <c r="J3288" t="n">
        <v>0.0001214537297011</v>
      </c>
      <c r="K3288" t="n">
        <v>0.993156986783722</v>
      </c>
      <c r="L3288" t="b">
        <v>0</v>
      </c>
      <c r="M3288" t="b">
        <v>0</v>
      </c>
      <c r="N3288" t="inlineStr">
        <is>
          <t>ref</t>
        </is>
      </c>
      <c r="O3288" t="n">
        <v>-20</v>
      </c>
      <c r="P3288" t="n">
        <v>0.0005693</v>
      </c>
      <c r="Q3288" t="n">
        <v>35</v>
      </c>
      <c r="R3288" t="n">
        <v>0.0248</v>
      </c>
      <c r="S3288">
        <f>IMAGE("https://mitra.stanford.edu/kundaje/oak/projects/neuro-variants/variant_position/credible/roussos_2024/variant_figures/roussos_2024.adolescence.GLU/rs9327851_count_position.png",4,220,900)</f>
        <v/>
      </c>
      <c r="T3288">
        <f>IMAGE("https://mitra.stanford.edu/kundaje/oak/projects/neuro-variants/variant_position/credible/roussos_2024/variant_figures/roussos_2024.adolescence.GLU/rs9327851_profile_position.png",4,220,900)</f>
        <v/>
      </c>
    </row>
    <row r="3289">
      <c r="A3289" t="inlineStr">
        <is>
          <t>chr5</t>
        </is>
      </c>
      <c r="B3289" t="n">
        <v>102390944</v>
      </c>
      <c r="C3289" t="inlineStr">
        <is>
          <t>C</t>
        </is>
      </c>
      <c r="D3289" t="inlineStr">
        <is>
          <t>A</t>
        </is>
      </c>
      <c r="E3289" t="inlineStr">
        <is>
          <t>rs6874612</t>
        </is>
      </c>
      <c r="F3289" t="n">
        <v>-0.0004897463379999</v>
      </c>
      <c r="G3289" t="n">
        <v>0.7768512608363022</v>
      </c>
      <c r="H3289" t="n">
        <v>0.0379437938292913</v>
      </c>
      <c r="I3289" t="n">
        <v>0.0032744792180315</v>
      </c>
      <c r="J3289" t="n">
        <v>0.0333997756678168</v>
      </c>
      <c r="K3289" t="n">
        <v>0.7622170020450861</v>
      </c>
      <c r="L3289" t="b">
        <v>1</v>
      </c>
      <c r="M3289" t="b">
        <v>0</v>
      </c>
      <c r="N3289" t="inlineStr">
        <is>
          <t>ref</t>
        </is>
      </c>
      <c r="O3289" t="n">
        <v>70</v>
      </c>
      <c r="P3289" t="n">
        <v>0.008999999999999999</v>
      </c>
      <c r="Q3289" t="n">
        <v>-10</v>
      </c>
      <c r="R3289" t="n">
        <v>0.002565</v>
      </c>
      <c r="S3289">
        <f>IMAGE("https://mitra.stanford.edu/kundaje/oak/projects/neuro-variants/variant_position/credible/roussos_2024/variant_figures/roussos_2024.adolescence.GLU/rs6874612_count_position.png",4,220,900)</f>
        <v/>
      </c>
      <c r="T3289">
        <f>IMAGE("https://mitra.stanford.edu/kundaje/oak/projects/neuro-variants/variant_position/credible/roussos_2024/variant_figures/roussos_2024.adolescence.GLU/rs6874612_profile_position.png",4,220,900)</f>
        <v/>
      </c>
    </row>
    <row r="3290">
      <c r="A3290" t="inlineStr">
        <is>
          <t>chr5</t>
        </is>
      </c>
      <c r="B3290" t="n">
        <v>102400017</v>
      </c>
      <c r="C3290" t="inlineStr">
        <is>
          <t>G</t>
        </is>
      </c>
      <c r="D3290" t="inlineStr">
        <is>
          <t>A</t>
        </is>
      </c>
      <c r="E3290" t="inlineStr">
        <is>
          <t>rs9285946</t>
        </is>
      </c>
      <c r="F3290" t="n">
        <v>-0.0107860558</v>
      </c>
      <c r="G3290" t="n">
        <v>0.5029104608144457</v>
      </c>
      <c r="H3290" t="n">
        <v>0.0256555251606923</v>
      </c>
      <c r="I3290" t="n">
        <v>0.0196855327927225</v>
      </c>
      <c r="J3290" t="n">
        <v>0.0023419136821198</v>
      </c>
      <c r="K3290" t="n">
        <v>0.9500917082233764</v>
      </c>
      <c r="L3290" t="b">
        <v>0</v>
      </c>
      <c r="M3290" t="b">
        <v>0</v>
      </c>
      <c r="N3290" t="inlineStr">
        <is>
          <t>ref</t>
        </is>
      </c>
      <c r="O3290" t="n">
        <v>-75</v>
      </c>
      <c r="P3290" t="n">
        <v>0.008835000000000001</v>
      </c>
      <c r="Q3290" t="n">
        <v>50</v>
      </c>
      <c r="R3290" t="n">
        <v>0.02814</v>
      </c>
      <c r="S3290">
        <f>IMAGE("https://mitra.stanford.edu/kundaje/oak/projects/neuro-variants/variant_position/credible/roussos_2024/variant_figures/roussos_2024.adolescence.GLU/rs9285946_count_position.png",4,220,900)</f>
        <v/>
      </c>
      <c r="T3290">
        <f>IMAGE("https://mitra.stanford.edu/kundaje/oak/projects/neuro-variants/variant_position/credible/roussos_2024/variant_figures/roussos_2024.adolescence.GLU/rs9285946_profile_position.png",4,220,900)</f>
        <v/>
      </c>
    </row>
    <row r="3291">
      <c r="A3291" t="inlineStr">
        <is>
          <t>chr5</t>
        </is>
      </c>
      <c r="B3291" t="n">
        <v>102400632</v>
      </c>
      <c r="C3291" t="inlineStr">
        <is>
          <t>A</t>
        </is>
      </c>
      <c r="D3291" t="inlineStr">
        <is>
          <t>C</t>
        </is>
      </c>
      <c r="E3291" t="inlineStr">
        <is>
          <t>rs7721084</t>
        </is>
      </c>
      <c r="F3291" t="n">
        <v>0.00332322996</v>
      </c>
      <c r="G3291" t="n">
        <v>0.723771156911607</v>
      </c>
      <c r="H3291" t="n">
        <v>0.0242745632951713</v>
      </c>
      <c r="I3291" t="n">
        <v>0.0247677932710484</v>
      </c>
      <c r="J3291" t="n">
        <v>0.0012845518000156</v>
      </c>
      <c r="K3291" t="n">
        <v>0.9657076093812073</v>
      </c>
      <c r="L3291" t="b">
        <v>0</v>
      </c>
      <c r="M3291" t="b">
        <v>0</v>
      </c>
      <c r="N3291" t="inlineStr">
        <is>
          <t>alt</t>
        </is>
      </c>
      <c r="O3291" t="n">
        <v>-90</v>
      </c>
      <c r="P3291" t="n">
        <v>0.00756</v>
      </c>
      <c r="Q3291" t="n">
        <v>-90</v>
      </c>
      <c r="R3291" t="n">
        <v>0.08563</v>
      </c>
      <c r="S3291">
        <f>IMAGE("https://mitra.stanford.edu/kundaje/oak/projects/neuro-variants/variant_position/credible/roussos_2024/variant_figures/roussos_2024.adolescence.GLU/rs7721084_count_position.png",4,220,900)</f>
        <v/>
      </c>
      <c r="T3291">
        <f>IMAGE("https://mitra.stanford.edu/kundaje/oak/projects/neuro-variants/variant_position/credible/roussos_2024/variant_figures/roussos_2024.adolescence.GLU/rs7721084_profile_position.png",4,220,900)</f>
        <v/>
      </c>
    </row>
    <row r="3292">
      <c r="A3292" t="inlineStr">
        <is>
          <t>chr5</t>
        </is>
      </c>
      <c r="B3292" t="n">
        <v>102406880</v>
      </c>
      <c r="C3292" t="inlineStr">
        <is>
          <t>C</t>
        </is>
      </c>
      <c r="D3292" t="inlineStr">
        <is>
          <t>T</t>
        </is>
      </c>
      <c r="E3292" t="inlineStr">
        <is>
          <t>rs10057126</t>
        </is>
      </c>
      <c r="F3292" t="n">
        <v>0.0023167299519999</v>
      </c>
      <c r="G3292" t="n">
        <v>0.729233557531733</v>
      </c>
      <c r="H3292" t="n">
        <v>0.017483763918513</v>
      </c>
      <c r="I3292" t="n">
        <v>0.0948065410879879</v>
      </c>
      <c r="J3292" t="n">
        <v>0.1495309742732423</v>
      </c>
      <c r="K3292" t="n">
        <v>0.4729775330864426</v>
      </c>
      <c r="L3292" t="b">
        <v>0</v>
      </c>
      <c r="M3292" t="b">
        <v>0</v>
      </c>
      <c r="N3292" t="inlineStr">
        <is>
          <t>alt</t>
        </is>
      </c>
      <c r="O3292" t="n">
        <v>-20</v>
      </c>
      <c r="P3292" t="n">
        <v>0.002121</v>
      </c>
      <c r="Q3292" t="n">
        <v>70</v>
      </c>
      <c r="R3292" t="n">
        <v>0.0736</v>
      </c>
      <c r="S3292">
        <f>IMAGE("https://mitra.stanford.edu/kundaje/oak/projects/neuro-variants/variant_position/credible/roussos_2024/variant_figures/roussos_2024.adolescence.GLU/rs10057126_count_position.png",4,220,900)</f>
        <v/>
      </c>
      <c r="T3292">
        <f>IMAGE("https://mitra.stanford.edu/kundaje/oak/projects/neuro-variants/variant_position/credible/roussos_2024/variant_figures/roussos_2024.adolescence.GLU/rs10057126_profile_position.png",4,220,900)</f>
        <v/>
      </c>
    </row>
    <row r="3293">
      <c r="A3293" t="inlineStr">
        <is>
          <t>chr5</t>
        </is>
      </c>
      <c r="B3293" t="n">
        <v>102407922</v>
      </c>
      <c r="C3293" t="inlineStr">
        <is>
          <t>T</t>
        </is>
      </c>
      <c r="D3293" t="inlineStr">
        <is>
          <t>G</t>
        </is>
      </c>
      <c r="E3293" t="inlineStr">
        <is>
          <t>rs1901522</t>
        </is>
      </c>
      <c r="F3293" t="n">
        <v>0.0250273014</v>
      </c>
      <c r="G3293" t="n">
        <v>0.2190544035552079</v>
      </c>
      <c r="H3293" t="n">
        <v>0.008550454214298101</v>
      </c>
      <c r="I3293" t="n">
        <v>0.7347601354380365</v>
      </c>
      <c r="J3293" t="n">
        <v>0.0544598523979967</v>
      </c>
      <c r="K3293" t="n">
        <v>0.6870071368569035</v>
      </c>
      <c r="L3293" t="b">
        <v>0</v>
      </c>
      <c r="M3293" t="b">
        <v>0</v>
      </c>
      <c r="N3293" t="inlineStr">
        <is>
          <t>alt</t>
        </is>
      </c>
      <c r="O3293" t="n">
        <v>-85</v>
      </c>
      <c r="P3293" t="n">
        <v>0.010254</v>
      </c>
      <c r="Q3293" t="n">
        <v>-100</v>
      </c>
      <c r="R3293" t="n">
        <v>0.1007</v>
      </c>
      <c r="S3293">
        <f>IMAGE("https://mitra.stanford.edu/kundaje/oak/projects/neuro-variants/variant_position/credible/roussos_2024/variant_figures/roussos_2024.adolescence.GLU/rs1901522_count_position.png",4,220,900)</f>
        <v/>
      </c>
      <c r="T3293">
        <f>IMAGE("https://mitra.stanford.edu/kundaje/oak/projects/neuro-variants/variant_position/credible/roussos_2024/variant_figures/roussos_2024.adolescence.GLU/rs1901522_profile_position.png",4,220,900)</f>
        <v/>
      </c>
    </row>
    <row r="3294">
      <c r="A3294" t="inlineStr">
        <is>
          <t>chr5</t>
        </is>
      </c>
      <c r="B3294" t="n">
        <v>102409208</v>
      </c>
      <c r="C3294" t="inlineStr">
        <is>
          <t>C</t>
        </is>
      </c>
      <c r="D3294" t="inlineStr">
        <is>
          <t>G</t>
        </is>
      </c>
      <c r="E3294" t="inlineStr">
        <is>
          <t>rs2060834</t>
        </is>
      </c>
      <c r="F3294" t="n">
        <v>0.0002982109879999</v>
      </c>
      <c r="G3294" t="n">
        <v>0.5927733011712889</v>
      </c>
      <c r="H3294" t="n">
        <v>0.0099992928519895</v>
      </c>
      <c r="I3294" t="n">
        <v>0.5312931072407182</v>
      </c>
      <c r="J3294" t="n">
        <v>0.0171864171864171</v>
      </c>
      <c r="K3294" t="n">
        <v>0.8318105555944661</v>
      </c>
      <c r="L3294" t="b">
        <v>0</v>
      </c>
      <c r="M3294" t="b">
        <v>0</v>
      </c>
      <c r="N3294" t="inlineStr">
        <is>
          <t>alt</t>
        </is>
      </c>
      <c r="O3294" t="n">
        <v>65</v>
      </c>
      <c r="P3294" t="n">
        <v>0.00954</v>
      </c>
      <c r="Q3294" t="n">
        <v>-55</v>
      </c>
      <c r="R3294" t="n">
        <v>0.05713</v>
      </c>
      <c r="S3294">
        <f>IMAGE("https://mitra.stanford.edu/kundaje/oak/projects/neuro-variants/variant_position/credible/roussos_2024/variant_figures/roussos_2024.adolescence.GLU/rs2060834_count_position.png",4,220,900)</f>
        <v/>
      </c>
      <c r="T3294">
        <f>IMAGE("https://mitra.stanford.edu/kundaje/oak/projects/neuro-variants/variant_position/credible/roussos_2024/variant_figures/roussos_2024.adolescence.GLU/rs2060834_profile_position.png",4,220,900)</f>
        <v/>
      </c>
    </row>
    <row r="3295">
      <c r="A3295" t="inlineStr">
        <is>
          <t>chr5</t>
        </is>
      </c>
      <c r="B3295" t="n">
        <v>102412134</v>
      </c>
      <c r="C3295" t="inlineStr">
        <is>
          <t>T</t>
        </is>
      </c>
      <c r="D3295" t="inlineStr">
        <is>
          <t>C</t>
        </is>
      </c>
      <c r="E3295" t="inlineStr">
        <is>
          <t>rs9986226</t>
        </is>
      </c>
      <c r="F3295" t="n">
        <v>0.0527325806</v>
      </c>
      <c r="G3295" t="n">
        <v>0.054650720108058</v>
      </c>
      <c r="H3295" t="n">
        <v>0.0198581617077141</v>
      </c>
      <c r="I3295" t="n">
        <v>0.0527107164285493</v>
      </c>
      <c r="J3295" t="n">
        <v>0.1079666502346914</v>
      </c>
      <c r="K3295" t="n">
        <v>0.5569983696763414</v>
      </c>
      <c r="L3295" t="b">
        <v>0</v>
      </c>
      <c r="M3295" t="b">
        <v>0</v>
      </c>
      <c r="N3295" t="inlineStr">
        <is>
          <t>alt</t>
        </is>
      </c>
      <c r="O3295" t="n">
        <v>-85</v>
      </c>
      <c r="P3295" t="n">
        <v>0.004265</v>
      </c>
      <c r="Q3295" t="n">
        <v>80</v>
      </c>
      <c r="R3295" t="n">
        <v>0.02698</v>
      </c>
      <c r="S3295">
        <f>IMAGE("https://mitra.stanford.edu/kundaje/oak/projects/neuro-variants/variant_position/credible/roussos_2024/variant_figures/roussos_2024.adolescence.GLU/rs9986226_count_position.png",4,220,900)</f>
        <v/>
      </c>
      <c r="T3295">
        <f>IMAGE("https://mitra.stanford.edu/kundaje/oak/projects/neuro-variants/variant_position/credible/roussos_2024/variant_figures/roussos_2024.adolescence.GLU/rs9986226_profile_position.png",4,220,900)</f>
        <v/>
      </c>
    </row>
    <row r="3296">
      <c r="A3296" t="inlineStr">
        <is>
          <t>chr5</t>
        </is>
      </c>
      <c r="B3296" t="n">
        <v>102418079</v>
      </c>
      <c r="C3296" t="inlineStr">
        <is>
          <t>A</t>
        </is>
      </c>
      <c r="D3296" t="inlineStr">
        <is>
          <t>C</t>
        </is>
      </c>
      <c r="E3296" t="inlineStr">
        <is>
          <t>rs1597770</t>
        </is>
      </c>
      <c r="F3296" t="n">
        <v>0.0028802583379999</v>
      </c>
      <c r="G3296" t="n">
        <v>0.7971009136304875</v>
      </c>
      <c r="H3296" t="n">
        <v>0.0148858789413195</v>
      </c>
      <c r="I3296" t="n">
        <v>0.1686762196309519</v>
      </c>
      <c r="J3296" t="n">
        <v>0.0002600538683012</v>
      </c>
      <c r="K3296" t="n">
        <v>0.988539309716109</v>
      </c>
      <c r="L3296" t="b">
        <v>0</v>
      </c>
      <c r="M3296" t="b">
        <v>0</v>
      </c>
      <c r="N3296" t="inlineStr">
        <is>
          <t>alt</t>
        </is>
      </c>
      <c r="O3296" t="n">
        <v>10</v>
      </c>
      <c r="P3296" t="n">
        <v>0.0006104</v>
      </c>
      <c r="Q3296" t="n">
        <v>-100</v>
      </c>
      <c r="R3296" t="n">
        <v>0.0458</v>
      </c>
      <c r="S3296">
        <f>IMAGE("https://mitra.stanford.edu/kundaje/oak/projects/neuro-variants/variant_position/credible/roussos_2024/variant_figures/roussos_2024.adolescence.GLU/rs1597770_count_position.png",4,220,900)</f>
        <v/>
      </c>
      <c r="T3296">
        <f>IMAGE("https://mitra.stanford.edu/kundaje/oak/projects/neuro-variants/variant_position/credible/roussos_2024/variant_figures/roussos_2024.adolescence.GLU/rs1597770_profile_position.png",4,220,900)</f>
        <v/>
      </c>
    </row>
    <row r="3297">
      <c r="A3297" t="inlineStr">
        <is>
          <t>chr5</t>
        </is>
      </c>
      <c r="B3297" t="n">
        <v>102418412</v>
      </c>
      <c r="C3297" t="inlineStr">
        <is>
          <t>T</t>
        </is>
      </c>
      <c r="D3297" t="inlineStr">
        <is>
          <t>A</t>
        </is>
      </c>
      <c r="E3297" t="inlineStr">
        <is>
          <t>rs1470794</t>
        </is>
      </c>
      <c r="F3297" t="n">
        <v>0.00569096948</v>
      </c>
      <c r="G3297" t="n">
        <v>0.6753808943466013</v>
      </c>
      <c r="H3297" t="n">
        <v>0.0183516716689315</v>
      </c>
      <c r="I3297" t="n">
        <v>0.0781586934250092</v>
      </c>
      <c r="J3297" t="n">
        <v>0.0017375027684305</v>
      </c>
      <c r="K3297" t="n">
        <v>0.9569104555498944</v>
      </c>
      <c r="L3297" t="b">
        <v>0</v>
      </c>
      <c r="M3297" t="b">
        <v>0</v>
      </c>
      <c r="N3297" t="inlineStr">
        <is>
          <t>alt</t>
        </is>
      </c>
      <c r="O3297" t="n">
        <v>-30</v>
      </c>
      <c r="P3297" t="n">
        <v>0.001556</v>
      </c>
      <c r="Q3297" t="n">
        <v>100</v>
      </c>
      <c r="R3297" t="n">
        <v>0.01294</v>
      </c>
      <c r="S3297">
        <f>IMAGE("https://mitra.stanford.edu/kundaje/oak/projects/neuro-variants/variant_position/credible/roussos_2024/variant_figures/roussos_2024.adolescence.GLU/rs1470794_count_position.png",4,220,900)</f>
        <v/>
      </c>
      <c r="T3297">
        <f>IMAGE("https://mitra.stanford.edu/kundaje/oak/projects/neuro-variants/variant_position/credible/roussos_2024/variant_figures/roussos_2024.adolescence.GLU/rs1470794_profile_position.png",4,220,900)</f>
        <v/>
      </c>
    </row>
    <row r="3298">
      <c r="A3298" t="inlineStr">
        <is>
          <t>chr5</t>
        </is>
      </c>
      <c r="B3298" t="n">
        <v>102421561</v>
      </c>
      <c r="C3298" t="inlineStr">
        <is>
          <t>G</t>
        </is>
      </c>
      <c r="D3298" t="inlineStr">
        <is>
          <t>T</t>
        </is>
      </c>
      <c r="E3298" t="inlineStr">
        <is>
          <t>rs6878326</t>
        </is>
      </c>
      <c r="F3298" t="n">
        <v>-0.00931143104</v>
      </c>
      <c r="G3298" t="n">
        <v>0.5556204027023376</v>
      </c>
      <c r="H3298" t="n">
        <v>0.009519451861488599</v>
      </c>
      <c r="I3298" t="n">
        <v>0.5786487951563244</v>
      </c>
      <c r="J3298" t="n">
        <v>0.5227311371641269</v>
      </c>
      <c r="K3298" t="n">
        <v>0.0750925295552578</v>
      </c>
      <c r="L3298" t="b">
        <v>0</v>
      </c>
      <c r="M3298" t="b">
        <v>0</v>
      </c>
      <c r="N3298" t="inlineStr">
        <is>
          <t>ref</t>
        </is>
      </c>
      <c r="O3298" t="n">
        <v>-75</v>
      </c>
      <c r="P3298" t="n">
        <v>0.004257</v>
      </c>
      <c r="Q3298" t="n">
        <v>95</v>
      </c>
      <c r="R3298" t="n">
        <v>0.05295</v>
      </c>
      <c r="S3298">
        <f>IMAGE("https://mitra.stanford.edu/kundaje/oak/projects/neuro-variants/variant_position/credible/roussos_2024/variant_figures/roussos_2024.adolescence.GLU/rs6878326_count_position.png",4,220,900)</f>
        <v/>
      </c>
      <c r="T3298">
        <f>IMAGE("https://mitra.stanford.edu/kundaje/oak/projects/neuro-variants/variant_position/credible/roussos_2024/variant_figures/roussos_2024.adolescence.GLU/rs6878326_profile_position.png",4,220,900)</f>
        <v/>
      </c>
    </row>
    <row r="3299">
      <c r="A3299" t="inlineStr">
        <is>
          <t>chr5</t>
        </is>
      </c>
      <c r="B3299" t="n">
        <v>102424248</v>
      </c>
      <c r="C3299" t="inlineStr">
        <is>
          <t>A</t>
        </is>
      </c>
      <c r="D3299" t="inlineStr">
        <is>
          <t>G</t>
        </is>
      </c>
      <c r="E3299" t="inlineStr">
        <is>
          <t>rs4413509</t>
        </is>
      </c>
      <c r="F3299" t="n">
        <v>0.0662612278</v>
      </c>
      <c r="G3299" t="n">
        <v>0.0265212312454924</v>
      </c>
      <c r="H3299" t="n">
        <v>0.0099982788928935</v>
      </c>
      <c r="I3299" t="n">
        <v>0.5320088352436322</v>
      </c>
      <c r="J3299" t="n">
        <v>0.03529016724893</v>
      </c>
      <c r="K3299" t="n">
        <v>0.7558129385567497</v>
      </c>
      <c r="L3299" t="b">
        <v>0</v>
      </c>
      <c r="M3299" t="b">
        <v>0</v>
      </c>
      <c r="N3299" t="inlineStr">
        <is>
          <t>alt</t>
        </is>
      </c>
      <c r="O3299" t="n">
        <v>10</v>
      </c>
      <c r="P3299" t="n">
        <v>0.000839</v>
      </c>
      <c r="Q3299" t="n">
        <v>0</v>
      </c>
      <c r="R3299" t="n">
        <v>0</v>
      </c>
      <c r="S3299">
        <f>IMAGE("https://mitra.stanford.edu/kundaje/oak/projects/neuro-variants/variant_position/credible/roussos_2024/variant_figures/roussos_2024.adolescence.GLU/rs4413509_count_position.png",4,220,900)</f>
        <v/>
      </c>
      <c r="T3299">
        <f>IMAGE("https://mitra.stanford.edu/kundaje/oak/projects/neuro-variants/variant_position/credible/roussos_2024/variant_figures/roussos_2024.adolescence.GLU/rs4413509_profile_position.png",4,220,900)</f>
        <v/>
      </c>
    </row>
    <row r="3300">
      <c r="A3300" t="inlineStr">
        <is>
          <t>chr5</t>
        </is>
      </c>
      <c r="B3300" t="n">
        <v>102426015</v>
      </c>
      <c r="C3300" t="inlineStr">
        <is>
          <t>C</t>
        </is>
      </c>
      <c r="D3300" t="inlineStr">
        <is>
          <t>A</t>
        </is>
      </c>
      <c r="E3300" t="inlineStr">
        <is>
          <t>rs9765316</t>
        </is>
      </c>
      <c r="F3300" t="n">
        <v>-0.1018890732</v>
      </c>
      <c r="G3300" t="n">
        <v>0.0085291743360854</v>
      </c>
      <c r="H3300" t="n">
        <v>0.0211184033755916</v>
      </c>
      <c r="I3300" t="n">
        <v>0.0490238502735295</v>
      </c>
      <c r="J3300" t="n">
        <v>0.0539326003243528</v>
      </c>
      <c r="K3300" t="n">
        <v>0.6859762285781537</v>
      </c>
      <c r="L3300" t="b">
        <v>1</v>
      </c>
      <c r="M3300" t="b">
        <v>1</v>
      </c>
      <c r="N3300" t="inlineStr">
        <is>
          <t>ref</t>
        </is>
      </c>
      <c r="O3300" t="n">
        <v>-30</v>
      </c>
      <c r="P3300" t="n">
        <v>0.0017395</v>
      </c>
      <c r="Q3300" t="n">
        <v>-45</v>
      </c>
      <c r="R3300" t="n">
        <v>0.04553</v>
      </c>
      <c r="S3300">
        <f>IMAGE("https://mitra.stanford.edu/kundaje/oak/projects/neuro-variants/variant_position/credible/roussos_2024/variant_figures/roussos_2024.adolescence.GLU/rs9765316_count_position.png",4,220,900)</f>
        <v/>
      </c>
      <c r="T3300">
        <f>IMAGE("https://mitra.stanford.edu/kundaje/oak/projects/neuro-variants/variant_position/credible/roussos_2024/variant_figures/roussos_2024.adolescence.GLU/rs9765316_profile_position.png",4,220,900)</f>
        <v/>
      </c>
    </row>
    <row r="3301">
      <c r="A3301" t="inlineStr">
        <is>
          <t>chr5</t>
        </is>
      </c>
      <c r="B3301" t="n">
        <v>102434280</v>
      </c>
      <c r="C3301" t="inlineStr">
        <is>
          <t>T</t>
        </is>
      </c>
      <c r="D3301" t="inlineStr">
        <is>
          <t>C</t>
        </is>
      </c>
      <c r="E3301" t="inlineStr">
        <is>
          <t>rs10038801</t>
        </is>
      </c>
      <c r="F3301" t="n">
        <v>0.0305873586</v>
      </c>
      <c r="G3301" t="n">
        <v>0.1722842910898248</v>
      </c>
      <c r="H3301" t="n">
        <v>0.0144085933772956</v>
      </c>
      <c r="I3301" t="n">
        <v>0.2342110037943806</v>
      </c>
      <c r="J3301" t="n">
        <v>0.1862885883504439</v>
      </c>
      <c r="K3301" t="n">
        <v>0.4168268809710594</v>
      </c>
      <c r="L3301" t="b">
        <v>0</v>
      </c>
      <c r="M3301" t="b">
        <v>0</v>
      </c>
      <c r="N3301" t="inlineStr">
        <is>
          <t>alt</t>
        </is>
      </c>
      <c r="O3301" t="n">
        <v>-100</v>
      </c>
      <c r="P3301" t="n">
        <v>0.007496</v>
      </c>
      <c r="Q3301" t="n">
        <v>95</v>
      </c>
      <c r="R3301" t="n">
        <v>0.0314</v>
      </c>
      <c r="S3301">
        <f>IMAGE("https://mitra.stanford.edu/kundaje/oak/projects/neuro-variants/variant_position/credible/roussos_2024/variant_figures/roussos_2024.adolescence.GLU/rs10038801_count_position.png",4,220,900)</f>
        <v/>
      </c>
      <c r="T3301">
        <f>IMAGE("https://mitra.stanford.edu/kundaje/oak/projects/neuro-variants/variant_position/credible/roussos_2024/variant_figures/roussos_2024.adolescence.GLU/rs10038801_profile_position.png",4,220,900)</f>
        <v/>
      </c>
    </row>
    <row r="3302">
      <c r="A3302" t="inlineStr">
        <is>
          <t>chr5</t>
        </is>
      </c>
      <c r="B3302" t="n">
        <v>102440831</v>
      </c>
      <c r="C3302" t="inlineStr">
        <is>
          <t>T</t>
        </is>
      </c>
      <c r="D3302" t="inlineStr">
        <is>
          <t>A</t>
        </is>
      </c>
      <c r="E3302" t="inlineStr">
        <is>
          <t>rs6872341</t>
        </is>
      </c>
      <c r="F3302" t="n">
        <v>0.08981404599999999</v>
      </c>
      <c r="G3302" t="n">
        <v>0.0132781317475416</v>
      </c>
      <c r="H3302" t="n">
        <v>0.0287864156868791</v>
      </c>
      <c r="I3302" t="n">
        <v>0.0171177792418868</v>
      </c>
      <c r="J3302" t="n">
        <v>0.0607397246572503</v>
      </c>
      <c r="K3302" t="n">
        <v>0.6727598213498995</v>
      </c>
      <c r="L3302" t="b">
        <v>1</v>
      </c>
      <c r="M3302" t="b">
        <v>0</v>
      </c>
      <c r="N3302" t="inlineStr">
        <is>
          <t>alt</t>
        </is>
      </c>
      <c r="O3302" t="n">
        <v>-100</v>
      </c>
      <c r="P3302" t="n">
        <v>0.022</v>
      </c>
      <c r="Q3302" t="n">
        <v>55</v>
      </c>
      <c r="R3302" t="n">
        <v>0.044</v>
      </c>
      <c r="S3302">
        <f>IMAGE("https://mitra.stanford.edu/kundaje/oak/projects/neuro-variants/variant_position/credible/roussos_2024/variant_figures/roussos_2024.adolescence.GLU/rs6872341_count_position.png",4,220,900)</f>
        <v/>
      </c>
      <c r="T3302">
        <f>IMAGE("https://mitra.stanford.edu/kundaje/oak/projects/neuro-variants/variant_position/credible/roussos_2024/variant_figures/roussos_2024.adolescence.GLU/rs6872341_profile_position.png",4,220,900)</f>
        <v/>
      </c>
    </row>
    <row r="3303">
      <c r="A3303" t="inlineStr">
        <is>
          <t>chr5</t>
        </is>
      </c>
      <c r="B3303" t="n">
        <v>102442539</v>
      </c>
      <c r="C3303" t="inlineStr">
        <is>
          <t>C</t>
        </is>
      </c>
      <c r="D3303" t="inlineStr">
        <is>
          <t>T</t>
        </is>
      </c>
      <c r="E3303" t="inlineStr">
        <is>
          <t>rs1376909</t>
        </is>
      </c>
      <c r="F3303" t="n">
        <v>-0.0349930312</v>
      </c>
      <c r="G3303" t="n">
        <v>0.1455236815660869</v>
      </c>
      <c r="H3303" t="n">
        <v>0.0114075173697033</v>
      </c>
      <c r="I3303" t="n">
        <v>0.3790444446113134</v>
      </c>
      <c r="J3303" t="n">
        <v>0.1084896157061105</v>
      </c>
      <c r="K3303" t="n">
        <v>0.5580870406229991</v>
      </c>
      <c r="L3303" t="b">
        <v>0</v>
      </c>
      <c r="M3303" t="b">
        <v>0</v>
      </c>
      <c r="N3303" t="inlineStr">
        <is>
          <t>ref</t>
        </is>
      </c>
      <c r="O3303" t="n">
        <v>80</v>
      </c>
      <c r="P3303" t="n">
        <v>0.004578</v>
      </c>
      <c r="Q3303" t="n">
        <v>100</v>
      </c>
      <c r="R3303" t="n">
        <v>0.0643</v>
      </c>
      <c r="S3303">
        <f>IMAGE("https://mitra.stanford.edu/kundaje/oak/projects/neuro-variants/variant_position/credible/roussos_2024/variant_figures/roussos_2024.adolescence.GLU/rs1376909_count_position.png",4,220,900)</f>
        <v/>
      </c>
      <c r="T3303">
        <f>IMAGE("https://mitra.stanford.edu/kundaje/oak/projects/neuro-variants/variant_position/credible/roussos_2024/variant_figures/roussos_2024.adolescence.GLU/rs1376909_profile_position.png",4,220,900)</f>
        <v/>
      </c>
    </row>
    <row r="3304">
      <c r="A3304" t="inlineStr">
        <is>
          <t>chr5</t>
        </is>
      </c>
      <c r="B3304" t="n">
        <v>102443908</v>
      </c>
      <c r="C3304" t="inlineStr">
        <is>
          <t>A</t>
        </is>
      </c>
      <c r="D3304" t="inlineStr">
        <is>
          <t>G</t>
        </is>
      </c>
      <c r="E3304" t="inlineStr">
        <is>
          <t>rs7724920</t>
        </is>
      </c>
      <c r="F3304" t="n">
        <v>0.0071623244</v>
      </c>
      <c r="G3304" t="n">
        <v>0.5856545105463115</v>
      </c>
      <c r="H3304" t="n">
        <v>0.0058933070303533</v>
      </c>
      <c r="I3304" t="n">
        <v>0.977805126765824</v>
      </c>
      <c r="J3304" t="n">
        <v>0.0767987654585592</v>
      </c>
      <c r="K3304" t="n">
        <v>0.6209868267865736</v>
      </c>
      <c r="L3304" t="b">
        <v>0</v>
      </c>
      <c r="M3304" t="b">
        <v>0</v>
      </c>
      <c r="N3304" t="inlineStr">
        <is>
          <t>alt</t>
        </is>
      </c>
      <c r="O3304" t="n">
        <v>-100</v>
      </c>
      <c r="P3304" t="n">
        <v>0.03772</v>
      </c>
      <c r="Q3304" t="n">
        <v>70</v>
      </c>
      <c r="R3304" t="n">
        <v>0.05353</v>
      </c>
      <c r="S3304">
        <f>IMAGE("https://mitra.stanford.edu/kundaje/oak/projects/neuro-variants/variant_position/credible/roussos_2024/variant_figures/roussos_2024.adolescence.GLU/rs7724920_count_position.png",4,220,900)</f>
        <v/>
      </c>
      <c r="T3304">
        <f>IMAGE("https://mitra.stanford.edu/kundaje/oak/projects/neuro-variants/variant_position/credible/roussos_2024/variant_figures/roussos_2024.adolescence.GLU/rs7724920_profile_position.png",4,220,900)</f>
        <v/>
      </c>
    </row>
    <row r="3305">
      <c r="A3305" t="inlineStr">
        <is>
          <t>chr5</t>
        </is>
      </c>
      <c r="B3305" t="n">
        <v>102445473</v>
      </c>
      <c r="C3305" t="inlineStr">
        <is>
          <t>C</t>
        </is>
      </c>
      <c r="D3305" t="inlineStr">
        <is>
          <t>A</t>
        </is>
      </c>
      <c r="E3305" t="inlineStr">
        <is>
          <t>rs2400797</t>
        </is>
      </c>
      <c r="F3305" t="n">
        <v>-0.0181710312</v>
      </c>
      <c r="G3305" t="n">
        <v>0.3262449713681188</v>
      </c>
      <c r="H3305" t="n">
        <v>0.0136632865818439</v>
      </c>
      <c r="I3305" t="n">
        <v>0.2215219334711813</v>
      </c>
      <c r="J3305" t="n">
        <v>0.0436804766701673</v>
      </c>
      <c r="K3305" t="n">
        <v>0.7187815152932462</v>
      </c>
      <c r="L3305" t="b">
        <v>0</v>
      </c>
      <c r="M3305" t="b">
        <v>0</v>
      </c>
      <c r="N3305" t="inlineStr">
        <is>
          <t>ref</t>
        </is>
      </c>
      <c r="O3305" t="n">
        <v>-100</v>
      </c>
      <c r="P3305" t="n">
        <v>0.01707</v>
      </c>
      <c r="Q3305" t="n">
        <v>-40</v>
      </c>
      <c r="R3305" t="n">
        <v>0.01947</v>
      </c>
      <c r="S3305">
        <f>IMAGE("https://mitra.stanford.edu/kundaje/oak/projects/neuro-variants/variant_position/credible/roussos_2024/variant_figures/roussos_2024.adolescence.GLU/rs2400797_count_position.png",4,220,900)</f>
        <v/>
      </c>
      <c r="T3305">
        <f>IMAGE("https://mitra.stanford.edu/kundaje/oak/projects/neuro-variants/variant_position/credible/roussos_2024/variant_figures/roussos_2024.adolescence.GLU/rs2400797_profile_position.png",4,220,900)</f>
        <v/>
      </c>
    </row>
    <row r="3306">
      <c r="A3306" t="inlineStr">
        <is>
          <t>chr5</t>
        </is>
      </c>
      <c r="B3306" t="n">
        <v>102452723</v>
      </c>
      <c r="C3306" t="inlineStr">
        <is>
          <t>G</t>
        </is>
      </c>
      <c r="D3306" t="inlineStr">
        <is>
          <t>T</t>
        </is>
      </c>
      <c r="E3306" t="inlineStr">
        <is>
          <t>rs2400799</t>
        </is>
      </c>
      <c r="F3306" t="n">
        <v>0.0031624154</v>
      </c>
      <c r="G3306" t="n">
        <v>0.8060297959261659</v>
      </c>
      <c r="H3306" t="n">
        <v>0.0210636313852826</v>
      </c>
      <c r="I3306" t="n">
        <v>0.045018602629565</v>
      </c>
      <c r="J3306" t="n">
        <v>0.0034578591279621</v>
      </c>
      <c r="K3306" t="n">
        <v>0.9347404106736996</v>
      </c>
      <c r="L3306" t="b">
        <v>0</v>
      </c>
      <c r="M3306" t="b">
        <v>0</v>
      </c>
      <c r="N3306" t="inlineStr">
        <is>
          <t>alt</t>
        </is>
      </c>
      <c r="O3306" t="n">
        <v>40</v>
      </c>
      <c r="P3306" t="n">
        <v>0.0009193</v>
      </c>
      <c r="Q3306" t="n">
        <v>100</v>
      </c>
      <c r="R3306" t="n">
        <v>0.02644</v>
      </c>
      <c r="S3306">
        <f>IMAGE("https://mitra.stanford.edu/kundaje/oak/projects/neuro-variants/variant_position/credible/roussos_2024/variant_figures/roussos_2024.adolescence.GLU/rs2400799_count_position.png",4,220,900)</f>
        <v/>
      </c>
      <c r="T3306">
        <f>IMAGE("https://mitra.stanford.edu/kundaje/oak/projects/neuro-variants/variant_position/credible/roussos_2024/variant_figures/roussos_2024.adolescence.GLU/rs2400799_profile_position.png",4,220,900)</f>
        <v/>
      </c>
    </row>
    <row r="3307">
      <c r="A3307" t="inlineStr">
        <is>
          <t>chr5</t>
        </is>
      </c>
      <c r="B3307" t="n">
        <v>102462150</v>
      </c>
      <c r="C3307" t="inlineStr">
        <is>
          <t>G</t>
        </is>
      </c>
      <c r="D3307" t="inlineStr">
        <is>
          <t>A</t>
        </is>
      </c>
      <c r="E3307" t="inlineStr">
        <is>
          <t>rs58080162</t>
        </is>
      </c>
      <c r="F3307" t="n">
        <v>-0.00355356262</v>
      </c>
      <c r="G3307" t="n">
        <v>0.7423550998793642</v>
      </c>
      <c r="H3307" t="n">
        <v>0.0265651973371945</v>
      </c>
      <c r="I3307" t="n">
        <v>0.0150570312125135</v>
      </c>
      <c r="J3307" t="n">
        <v>0.0021890248694371</v>
      </c>
      <c r="K3307" t="n">
        <v>0.9527514437689252</v>
      </c>
      <c r="L3307" t="b">
        <v>0</v>
      </c>
      <c r="M3307" t="b">
        <v>0</v>
      </c>
      <c r="N3307" t="inlineStr">
        <is>
          <t>ref</t>
        </is>
      </c>
      <c r="O3307" t="n">
        <v>-100</v>
      </c>
      <c r="P3307" t="n">
        <v>0.006874</v>
      </c>
      <c r="Q3307" t="n">
        <v>-55</v>
      </c>
      <c r="R3307" t="n">
        <v>0.006668</v>
      </c>
      <c r="S3307">
        <f>IMAGE("https://mitra.stanford.edu/kundaje/oak/projects/neuro-variants/variant_position/credible/roussos_2024/variant_figures/roussos_2024.adolescence.GLU/rs58080162_count_position.png",4,220,900)</f>
        <v/>
      </c>
      <c r="T3307">
        <f>IMAGE("https://mitra.stanford.edu/kundaje/oak/projects/neuro-variants/variant_position/credible/roussos_2024/variant_figures/roussos_2024.adolescence.GLU/rs58080162_profile_position.png",4,220,900)</f>
        <v/>
      </c>
    </row>
    <row r="3308">
      <c r="A3308" t="inlineStr">
        <is>
          <t>chr5</t>
        </is>
      </c>
      <c r="B3308" t="n">
        <v>102466680</v>
      </c>
      <c r="C3308" t="inlineStr">
        <is>
          <t>T</t>
        </is>
      </c>
      <c r="D3308" t="inlineStr">
        <is>
          <t>A</t>
        </is>
      </c>
      <c r="E3308" t="inlineStr">
        <is>
          <t>rs10055704</t>
        </is>
      </c>
      <c r="F3308" t="n">
        <v>-0.00552535814</v>
      </c>
      <c r="G3308" t="n">
        <v>0.7260902130761063</v>
      </c>
      <c r="H3308" t="n">
        <v>0.0074945118209584</v>
      </c>
      <c r="I3308" t="n">
        <v>0.8457276601808501</v>
      </c>
      <c r="J3308" t="n">
        <v>0.0269784455351465</v>
      </c>
      <c r="K3308" t="n">
        <v>0.7919200806056558</v>
      </c>
      <c r="L3308" t="b">
        <v>0</v>
      </c>
      <c r="M3308" t="b">
        <v>0</v>
      </c>
      <c r="N3308" t="inlineStr">
        <is>
          <t>ref</t>
        </is>
      </c>
      <c r="O3308" t="n">
        <v>75</v>
      </c>
      <c r="P3308" t="n">
        <v>0.006447</v>
      </c>
      <c r="Q3308" t="n">
        <v>-55</v>
      </c>
      <c r="R3308" t="n">
        <v>0.02856</v>
      </c>
      <c r="S3308">
        <f>IMAGE("https://mitra.stanford.edu/kundaje/oak/projects/neuro-variants/variant_position/credible/roussos_2024/variant_figures/roussos_2024.adolescence.GLU/rs10055704_count_position.png",4,220,900)</f>
        <v/>
      </c>
      <c r="T3308">
        <f>IMAGE("https://mitra.stanford.edu/kundaje/oak/projects/neuro-variants/variant_position/credible/roussos_2024/variant_figures/roussos_2024.adolescence.GLU/rs10055704_profile_position.png",4,220,900)</f>
        <v/>
      </c>
    </row>
    <row r="3309">
      <c r="A3309" t="inlineStr">
        <is>
          <t>chr5</t>
        </is>
      </c>
      <c r="B3309" t="n">
        <v>102495921</v>
      </c>
      <c r="C3309" t="inlineStr">
        <is>
          <t>G</t>
        </is>
      </c>
      <c r="D3309" t="inlineStr">
        <is>
          <t>A</t>
        </is>
      </c>
      <c r="E3309" t="inlineStr">
        <is>
          <t>rs11242471</t>
        </is>
      </c>
      <c r="F3309" t="n">
        <v>-0.017733381</v>
      </c>
      <c r="G3309" t="n">
        <v>0.3405965698227584</v>
      </c>
      <c r="H3309" t="n">
        <v>0.008291648411720601</v>
      </c>
      <c r="I3309" t="n">
        <v>0.7494102755565047</v>
      </c>
      <c r="J3309" t="n">
        <v>0.0435675961449157</v>
      </c>
      <c r="K3309" t="n">
        <v>0.7186388654698258</v>
      </c>
      <c r="L3309" t="b">
        <v>0</v>
      </c>
      <c r="M3309" t="b">
        <v>0</v>
      </c>
      <c r="N3309" t="inlineStr">
        <is>
          <t>ref</t>
        </is>
      </c>
      <c r="O3309" t="n">
        <v>85</v>
      </c>
      <c r="P3309" t="n">
        <v>0.00463</v>
      </c>
      <c r="Q3309" t="n">
        <v>90</v>
      </c>
      <c r="R3309" t="n">
        <v>0.09576</v>
      </c>
      <c r="S3309">
        <f>IMAGE("https://mitra.stanford.edu/kundaje/oak/projects/neuro-variants/variant_position/credible/roussos_2024/variant_figures/roussos_2024.adolescence.GLU/rs11242471_count_position.png",4,220,900)</f>
        <v/>
      </c>
      <c r="T3309">
        <f>IMAGE("https://mitra.stanford.edu/kundaje/oak/projects/neuro-variants/variant_position/credible/roussos_2024/variant_figures/roussos_2024.adolescence.GLU/rs11242471_profile_position.png",4,220,900)</f>
        <v/>
      </c>
    </row>
    <row r="3310">
      <c r="A3310" t="inlineStr">
        <is>
          <t>chr5</t>
        </is>
      </c>
      <c r="B3310" t="n">
        <v>107400716</v>
      </c>
      <c r="C3310" t="inlineStr">
        <is>
          <t>T</t>
        </is>
      </c>
      <c r="D3310" t="inlineStr">
        <is>
          <t>C</t>
        </is>
      </c>
      <c r="E3310" t="inlineStr">
        <is>
          <t>rs252810</t>
        </is>
      </c>
      <c r="F3310" t="n">
        <v>0.0254081988</v>
      </c>
      <c r="G3310" t="n">
        <v>0.208426708316128</v>
      </c>
      <c r="H3310" t="n">
        <v>0.0120557748585963</v>
      </c>
      <c r="I3310" t="n">
        <v>0.3330344954717261</v>
      </c>
      <c r="J3310" t="n">
        <v>0.0536854062627258</v>
      </c>
      <c r="K3310" t="n">
        <v>0.6866798548744453</v>
      </c>
      <c r="L3310" t="b">
        <v>0</v>
      </c>
      <c r="M3310" t="b">
        <v>0</v>
      </c>
      <c r="N3310" t="inlineStr">
        <is>
          <t>alt</t>
        </is>
      </c>
      <c r="O3310" t="n">
        <v>100</v>
      </c>
      <c r="P3310" t="n">
        <v>0.009690000000000001</v>
      </c>
      <c r="Q3310" t="n">
        <v>60</v>
      </c>
      <c r="R3310" t="n">
        <v>0.05664</v>
      </c>
      <c r="S3310">
        <f>IMAGE("https://mitra.stanford.edu/kundaje/oak/projects/neuro-variants/variant_position/credible/roussos_2024/variant_figures/roussos_2024.adolescence.GLU/rs252810_count_position.png",4,220,900)</f>
        <v/>
      </c>
      <c r="T3310">
        <f>IMAGE("https://mitra.stanford.edu/kundaje/oak/projects/neuro-variants/variant_position/credible/roussos_2024/variant_figures/roussos_2024.adolescence.GLU/rs252810_profile_position.png",4,220,900)</f>
        <v/>
      </c>
    </row>
    <row r="3311">
      <c r="A3311" t="inlineStr">
        <is>
          <t>chr5</t>
        </is>
      </c>
      <c r="B3311" t="n">
        <v>107434606</v>
      </c>
      <c r="C3311" t="inlineStr">
        <is>
          <t>A</t>
        </is>
      </c>
      <c r="D3311" t="inlineStr">
        <is>
          <t>G</t>
        </is>
      </c>
      <c r="E3311" t="inlineStr">
        <is>
          <t>rs152611</t>
        </is>
      </c>
      <c r="F3311" t="n">
        <v>0.0320709662</v>
      </c>
      <c r="G3311" t="n">
        <v>0.1577688545012885</v>
      </c>
      <c r="H3311" t="n">
        <v>0.014167185096776</v>
      </c>
      <c r="I3311" t="n">
        <v>0.2098441770114093</v>
      </c>
      <c r="J3311" t="n">
        <v>0.0448007087182344</v>
      </c>
      <c r="K3311" t="n">
        <v>0.7190370965450342</v>
      </c>
      <c r="L3311" t="b">
        <v>0</v>
      </c>
      <c r="M3311" t="b">
        <v>0</v>
      </c>
      <c r="N3311" t="inlineStr">
        <is>
          <t>alt</t>
        </is>
      </c>
      <c r="O3311" t="n">
        <v>0</v>
      </c>
      <c r="P3311" t="n">
        <v>0</v>
      </c>
      <c r="Q3311" t="n">
        <v>-90</v>
      </c>
      <c r="R3311" t="n">
        <v>0.006042</v>
      </c>
      <c r="S3311">
        <f>IMAGE("https://mitra.stanford.edu/kundaje/oak/projects/neuro-variants/variant_position/credible/roussos_2024/variant_figures/roussos_2024.adolescence.GLU/rs152611_count_position.png",4,220,900)</f>
        <v/>
      </c>
      <c r="T3311">
        <f>IMAGE("https://mitra.stanford.edu/kundaje/oak/projects/neuro-variants/variant_position/credible/roussos_2024/variant_figures/roussos_2024.adolescence.GLU/rs152611_profile_position.png",4,220,900)</f>
        <v/>
      </c>
    </row>
    <row r="3312">
      <c r="A3312" t="inlineStr">
        <is>
          <t>chr5</t>
        </is>
      </c>
      <c r="B3312" t="n">
        <v>107454811</v>
      </c>
      <c r="C3312" t="inlineStr">
        <is>
          <t>T</t>
        </is>
      </c>
      <c r="D3312" t="inlineStr">
        <is>
          <t>A</t>
        </is>
      </c>
      <c r="E3312" t="inlineStr">
        <is>
          <t>rs115779</t>
        </is>
      </c>
      <c r="F3312" t="n">
        <v>0.0028961794199999</v>
      </c>
      <c r="G3312" t="n">
        <v>0.8055212640983733</v>
      </c>
      <c r="H3312" t="n">
        <v>0.0228827143201369</v>
      </c>
      <c r="I3312" t="n">
        <v>0.0317421317286208</v>
      </c>
      <c r="J3312" t="n">
        <v>0.0187653156725321</v>
      </c>
      <c r="K3312" t="n">
        <v>0.8279024320398022</v>
      </c>
      <c r="L3312" t="b">
        <v>0</v>
      </c>
      <c r="M3312" t="b">
        <v>0</v>
      </c>
      <c r="N3312" t="inlineStr">
        <is>
          <t>alt</t>
        </is>
      </c>
      <c r="O3312" t="n">
        <v>95</v>
      </c>
      <c r="P3312" t="n">
        <v>0.00325</v>
      </c>
      <c r="Q3312" t="n">
        <v>90</v>
      </c>
      <c r="R3312" t="n">
        <v>0.03745</v>
      </c>
      <c r="S3312">
        <f>IMAGE("https://mitra.stanford.edu/kundaje/oak/projects/neuro-variants/variant_position/credible/roussos_2024/variant_figures/roussos_2024.adolescence.GLU/rs115779_count_position.png",4,220,900)</f>
        <v/>
      </c>
      <c r="T3312">
        <f>IMAGE("https://mitra.stanford.edu/kundaje/oak/projects/neuro-variants/variant_position/credible/roussos_2024/variant_figures/roussos_2024.adolescence.GLU/rs115779_profile_position.png",4,220,900)</f>
        <v/>
      </c>
    </row>
    <row r="3313">
      <c r="A3313" t="inlineStr">
        <is>
          <t>chr5</t>
        </is>
      </c>
      <c r="B3313" t="n">
        <v>107666975</v>
      </c>
      <c r="C3313" t="inlineStr">
        <is>
          <t>T</t>
        </is>
      </c>
      <c r="D3313" t="inlineStr">
        <is>
          <t>C</t>
        </is>
      </c>
      <c r="E3313" t="inlineStr">
        <is>
          <t>rs967270</t>
        </is>
      </c>
      <c r="F3313" t="n">
        <v>0.0017292312139999</v>
      </c>
      <c r="G3313" t="n">
        <v>0.8247029088163492</v>
      </c>
      <c r="H3313" t="n">
        <v>0.0191390633618529</v>
      </c>
      <c r="I3313" t="n">
        <v>0.0644645510691699</v>
      </c>
      <c r="J3313" t="n">
        <v>0.0014388694801065</v>
      </c>
      <c r="K3313" t="n">
        <v>0.9654460795387412</v>
      </c>
      <c r="L3313" t="b">
        <v>0</v>
      </c>
      <c r="M3313" t="b">
        <v>0</v>
      </c>
      <c r="N3313" t="inlineStr">
        <is>
          <t>alt</t>
        </is>
      </c>
      <c r="O3313" t="n">
        <v>100</v>
      </c>
      <c r="P3313" t="n">
        <v>0.00681</v>
      </c>
      <c r="Q3313" t="n">
        <v>-75</v>
      </c>
      <c r="R3313" t="n">
        <v>0.05756</v>
      </c>
      <c r="S3313">
        <f>IMAGE("https://mitra.stanford.edu/kundaje/oak/projects/neuro-variants/variant_position/credible/roussos_2024/variant_figures/roussos_2024.adolescence.GLU/rs967270_count_position.png",4,220,900)</f>
        <v/>
      </c>
      <c r="T3313">
        <f>IMAGE("https://mitra.stanford.edu/kundaje/oak/projects/neuro-variants/variant_position/credible/roussos_2024/variant_figures/roussos_2024.adolescence.GLU/rs967270_profile_position.png",4,220,900)</f>
        <v/>
      </c>
    </row>
    <row r="3314">
      <c r="A3314" t="inlineStr">
        <is>
          <t>chr5</t>
        </is>
      </c>
      <c r="B3314" t="n">
        <v>109658233</v>
      </c>
      <c r="C3314" t="inlineStr">
        <is>
          <t>T</t>
        </is>
      </c>
      <c r="D3314" t="inlineStr">
        <is>
          <t>C</t>
        </is>
      </c>
      <c r="E3314" t="inlineStr">
        <is>
          <t>rs25913</t>
        </is>
      </c>
      <c r="F3314" t="n">
        <v>0.0224231964</v>
      </c>
      <c r="G3314" t="n">
        <v>0.2520025843366503</v>
      </c>
      <c r="H3314" t="n">
        <v>0.0109073199761341</v>
      </c>
      <c r="I3314" t="n">
        <v>0.4334174467381668</v>
      </c>
      <c r="J3314" t="n">
        <v>0.0476141486450764</v>
      </c>
      <c r="K3314" t="n">
        <v>0.7048653425105388</v>
      </c>
      <c r="L3314" t="b">
        <v>0</v>
      </c>
      <c r="M3314" t="b">
        <v>0</v>
      </c>
      <c r="N3314" t="inlineStr">
        <is>
          <t>alt</t>
        </is>
      </c>
      <c r="O3314" t="n">
        <v>10</v>
      </c>
      <c r="P3314" t="n">
        <v>0.004555</v>
      </c>
      <c r="Q3314" t="n">
        <v>35</v>
      </c>
      <c r="R3314" t="n">
        <v>0.02228</v>
      </c>
      <c r="S3314">
        <f>IMAGE("https://mitra.stanford.edu/kundaje/oak/projects/neuro-variants/variant_position/credible/roussos_2024/variant_figures/roussos_2024.adolescence.GLU/rs25913_count_position.png",4,220,900)</f>
        <v/>
      </c>
      <c r="T3314">
        <f>IMAGE("https://mitra.stanford.edu/kundaje/oak/projects/neuro-variants/variant_position/credible/roussos_2024/variant_figures/roussos_2024.adolescence.GLU/rs25913_profile_position.png",4,220,900)</f>
        <v/>
      </c>
    </row>
    <row r="3315">
      <c r="A3315" t="inlineStr">
        <is>
          <t>chr5</t>
        </is>
      </c>
      <c r="B3315" t="n">
        <v>109663016</v>
      </c>
      <c r="C3315" t="inlineStr">
        <is>
          <t>A</t>
        </is>
      </c>
      <c r="D3315" t="inlineStr">
        <is>
          <t>G</t>
        </is>
      </c>
      <c r="E3315" t="inlineStr">
        <is>
          <t>rs31609</t>
        </is>
      </c>
      <c r="F3315" t="n">
        <v>0.0468937922</v>
      </c>
      <c r="G3315" t="n">
        <v>0.0713723953277445</v>
      </c>
      <c r="H3315" t="n">
        <v>0.0115302184910796</v>
      </c>
      <c r="I3315" t="n">
        <v>0.3692629856970373</v>
      </c>
      <c r="J3315" t="n">
        <v>0.0115523929956919</v>
      </c>
      <c r="K3315" t="n">
        <v>0.8673260838705276</v>
      </c>
      <c r="L3315" t="b">
        <v>0</v>
      </c>
      <c r="M3315" t="b">
        <v>0</v>
      </c>
      <c r="N3315" t="inlineStr">
        <is>
          <t>alt</t>
        </is>
      </c>
      <c r="O3315" t="n">
        <v>70</v>
      </c>
      <c r="P3315" t="n">
        <v>0.01</v>
      </c>
      <c r="Q3315" t="n">
        <v>-100</v>
      </c>
      <c r="R3315" t="n">
        <v>0.0745</v>
      </c>
      <c r="S3315">
        <f>IMAGE("https://mitra.stanford.edu/kundaje/oak/projects/neuro-variants/variant_position/credible/roussos_2024/variant_figures/roussos_2024.adolescence.GLU/rs31609_count_position.png",4,220,900)</f>
        <v/>
      </c>
      <c r="T3315">
        <f>IMAGE("https://mitra.stanford.edu/kundaje/oak/projects/neuro-variants/variant_position/credible/roussos_2024/variant_figures/roussos_2024.adolescence.GLU/rs31609_profile_position.png",4,220,900)</f>
        <v/>
      </c>
    </row>
    <row r="3316">
      <c r="A3316" t="inlineStr">
        <is>
          <t>chr5</t>
        </is>
      </c>
      <c r="B3316" t="n">
        <v>109671803</v>
      </c>
      <c r="C3316" t="inlineStr">
        <is>
          <t>G</t>
        </is>
      </c>
      <c r="D3316" t="inlineStr">
        <is>
          <t>A</t>
        </is>
      </c>
      <c r="E3316" t="inlineStr">
        <is>
          <t>rs31598</t>
        </is>
      </c>
      <c r="F3316" t="n">
        <v>0.00133689306</v>
      </c>
      <c r="G3316" t="n">
        <v>0.8417413496590862</v>
      </c>
      <c r="H3316" t="n">
        <v>0.0294638820123057</v>
      </c>
      <c r="I3316" t="n">
        <v>0.008891163224010099</v>
      </c>
      <c r="J3316" t="n">
        <v>0.06795979167113179</v>
      </c>
      <c r="K3316" t="n">
        <v>0.6534254990183517</v>
      </c>
      <c r="L3316" t="b">
        <v>1</v>
      </c>
      <c r="M3316" t="b">
        <v>1</v>
      </c>
      <c r="N3316" t="inlineStr">
        <is>
          <t>alt</t>
        </is>
      </c>
      <c r="O3316" t="n">
        <v>75</v>
      </c>
      <c r="P3316" t="n">
        <v>0.002815</v>
      </c>
      <c r="Q3316" t="n">
        <v>100</v>
      </c>
      <c r="R3316" t="n">
        <v>0.04526</v>
      </c>
      <c r="S3316">
        <f>IMAGE("https://mitra.stanford.edu/kundaje/oak/projects/neuro-variants/variant_position/credible/roussos_2024/variant_figures/roussos_2024.adolescence.GLU/rs31598_count_position.png",4,220,900)</f>
        <v/>
      </c>
      <c r="T3316">
        <f>IMAGE("https://mitra.stanford.edu/kundaje/oak/projects/neuro-variants/variant_position/credible/roussos_2024/variant_figures/roussos_2024.adolescence.GLU/rs31598_profile_position.png",4,220,900)</f>
        <v/>
      </c>
    </row>
    <row r="3317">
      <c r="A3317" t="inlineStr">
        <is>
          <t>chr5</t>
        </is>
      </c>
      <c r="B3317" t="n">
        <v>109672899</v>
      </c>
      <c r="C3317" t="inlineStr">
        <is>
          <t>T</t>
        </is>
      </c>
      <c r="D3317" t="inlineStr">
        <is>
          <t>C</t>
        </is>
      </c>
      <c r="E3317" t="inlineStr">
        <is>
          <t>rs253243</t>
        </is>
      </c>
      <c r="F3317" t="n">
        <v>0.0919377088</v>
      </c>
      <c r="G3317" t="n">
        <v>0.0100024570929694</v>
      </c>
      <c r="H3317" t="n">
        <v>0.0258554995252451</v>
      </c>
      <c r="I3317" t="n">
        <v>0.0172581610427602</v>
      </c>
      <c r="J3317" t="n">
        <v>0.1533274749769594</v>
      </c>
      <c r="K3317" t="n">
        <v>0.4754404611751179</v>
      </c>
      <c r="L3317" t="b">
        <v>1</v>
      </c>
      <c r="M3317" t="b">
        <v>0</v>
      </c>
      <c r="N3317" t="inlineStr">
        <is>
          <t>alt</t>
        </is>
      </c>
      <c r="O3317" t="n">
        <v>90</v>
      </c>
      <c r="P3317" t="n">
        <v>0.02469</v>
      </c>
      <c r="Q3317" t="n">
        <v>-75</v>
      </c>
      <c r="R3317" t="n">
        <v>0.05392</v>
      </c>
      <c r="S3317">
        <f>IMAGE("https://mitra.stanford.edu/kundaje/oak/projects/neuro-variants/variant_position/credible/roussos_2024/variant_figures/roussos_2024.adolescence.GLU/rs253243_count_position.png",4,220,900)</f>
        <v/>
      </c>
      <c r="T3317">
        <f>IMAGE("https://mitra.stanford.edu/kundaje/oak/projects/neuro-variants/variant_position/credible/roussos_2024/variant_figures/roussos_2024.adolescence.GLU/rs253243_profile_position.png",4,220,900)</f>
        <v/>
      </c>
    </row>
    <row r="3318">
      <c r="A3318" t="inlineStr">
        <is>
          <t>chr5</t>
        </is>
      </c>
      <c r="B3318" t="n">
        <v>109682839</v>
      </c>
      <c r="C3318" t="inlineStr">
        <is>
          <t>G</t>
        </is>
      </c>
      <c r="D3318" t="inlineStr">
        <is>
          <t>T</t>
        </is>
      </c>
      <c r="E3318" t="inlineStr">
        <is>
          <t>rs845739</t>
        </is>
      </c>
      <c r="F3318" t="n">
        <v>0.0200844077</v>
      </c>
      <c r="G3318" t="n">
        <v>0.2789970991887582</v>
      </c>
      <c r="H3318" t="n">
        <v>0.0279496283902111</v>
      </c>
      <c r="I3318" t="n">
        <v>0.0124688373984591</v>
      </c>
      <c r="J3318" t="n">
        <v>0.1213422780433089</v>
      </c>
      <c r="K3318" t="n">
        <v>0.5327329635925655</v>
      </c>
      <c r="L3318" t="b">
        <v>1</v>
      </c>
      <c r="M3318" t="b">
        <v>0</v>
      </c>
      <c r="N3318" t="inlineStr">
        <is>
          <t>alt</t>
        </is>
      </c>
      <c r="O3318" t="n">
        <v>-50</v>
      </c>
      <c r="P3318" t="n">
        <v>0.001068</v>
      </c>
      <c r="Q3318" t="n">
        <v>-50</v>
      </c>
      <c r="R3318" t="n">
        <v>0.03314</v>
      </c>
      <c r="S3318">
        <f>IMAGE("https://mitra.stanford.edu/kundaje/oak/projects/neuro-variants/variant_position/credible/roussos_2024/variant_figures/roussos_2024.adolescence.GLU/rs845739_count_position.png",4,220,900)</f>
        <v/>
      </c>
      <c r="T3318">
        <f>IMAGE("https://mitra.stanford.edu/kundaje/oak/projects/neuro-variants/variant_position/credible/roussos_2024/variant_figures/roussos_2024.adolescence.GLU/rs845739_profile_position.png",4,220,900)</f>
        <v/>
      </c>
    </row>
    <row r="3319">
      <c r="A3319" t="inlineStr">
        <is>
          <t>chr5</t>
        </is>
      </c>
      <c r="B3319" t="n">
        <v>109688776</v>
      </c>
      <c r="C3319" t="inlineStr">
        <is>
          <t>G</t>
        </is>
      </c>
      <c r="D3319" t="inlineStr">
        <is>
          <t>A</t>
        </is>
      </c>
      <c r="E3319" t="inlineStr">
        <is>
          <t>rs1438662</t>
        </is>
      </c>
      <c r="F3319" t="n">
        <v>0.0222738662</v>
      </c>
      <c r="G3319" t="n">
        <v>0.1379438502794144</v>
      </c>
      <c r="H3319" t="n">
        <v>0.0235044253762199</v>
      </c>
      <c r="I3319" t="n">
        <v>0.0261103451207632</v>
      </c>
      <c r="J3319" t="n">
        <v>0.7304670253123862</v>
      </c>
      <c r="K3319" t="n">
        <v>0.012129250818982</v>
      </c>
      <c r="L3319" t="b">
        <v>0</v>
      </c>
      <c r="M3319" t="b">
        <v>0</v>
      </c>
      <c r="N3319" t="inlineStr">
        <is>
          <t>alt</t>
        </is>
      </c>
      <c r="O3319" t="n">
        <v>-45</v>
      </c>
      <c r="P3319" t="n">
        <v>0.00702</v>
      </c>
      <c r="Q3319" t="n">
        <v>90</v>
      </c>
      <c r="R3319" t="n">
        <v>0.02856</v>
      </c>
      <c r="S3319">
        <f>IMAGE("https://mitra.stanford.edu/kundaje/oak/projects/neuro-variants/variant_position/credible/roussos_2024/variant_figures/roussos_2024.adolescence.GLU/rs1438662_count_position.png",4,220,900)</f>
        <v/>
      </c>
      <c r="T3319">
        <f>IMAGE("https://mitra.stanford.edu/kundaje/oak/projects/neuro-variants/variant_position/credible/roussos_2024/variant_figures/roussos_2024.adolescence.GLU/rs1438662_profile_position.png",4,220,900)</f>
        <v/>
      </c>
    </row>
    <row r="3320">
      <c r="A3320" t="inlineStr">
        <is>
          <t>chr5</t>
        </is>
      </c>
      <c r="B3320" t="n">
        <v>109699795</v>
      </c>
      <c r="C3320" t="inlineStr">
        <is>
          <t>A</t>
        </is>
      </c>
      <c r="D3320" t="inlineStr">
        <is>
          <t>G</t>
        </is>
      </c>
      <c r="E3320" t="inlineStr">
        <is>
          <t>rs3819904</t>
        </is>
      </c>
      <c r="F3320" t="n">
        <v>-0.02220018154</v>
      </c>
      <c r="G3320" t="n">
        <v>0.231604803839494</v>
      </c>
      <c r="H3320" t="n">
        <v>0.0119139197925365</v>
      </c>
      <c r="I3320" t="n">
        <v>0.3359783465049442</v>
      </c>
      <c r="J3320" t="n">
        <v>0.1295854141214965</v>
      </c>
      <c r="K3320" t="n">
        <v>0.5157681167995406</v>
      </c>
      <c r="L3320" t="b">
        <v>0</v>
      </c>
      <c r="M3320" t="b">
        <v>0</v>
      </c>
      <c r="N3320" t="inlineStr">
        <is>
          <t>ref</t>
        </is>
      </c>
      <c r="O3320" t="n">
        <v>-15</v>
      </c>
      <c r="P3320" t="n">
        <v>0.002151</v>
      </c>
      <c r="Q3320" t="n">
        <v>-85</v>
      </c>
      <c r="R3320" t="n">
        <v>0.07870000000000001</v>
      </c>
      <c r="S3320">
        <f>IMAGE("https://mitra.stanford.edu/kundaje/oak/projects/neuro-variants/variant_position/credible/roussos_2024/variant_figures/roussos_2024.adolescence.GLU/rs3819904_count_position.png",4,220,900)</f>
        <v/>
      </c>
      <c r="T3320">
        <f>IMAGE("https://mitra.stanford.edu/kundaje/oak/projects/neuro-variants/variant_position/credible/roussos_2024/variant_figures/roussos_2024.adolescence.GLU/rs3819904_profile_position.png",4,220,900)</f>
        <v/>
      </c>
    </row>
    <row r="3321">
      <c r="A3321" t="inlineStr">
        <is>
          <t>chr5</t>
        </is>
      </c>
      <c r="B3321" t="n">
        <v>109703598</v>
      </c>
      <c r="C3321" t="inlineStr">
        <is>
          <t>T</t>
        </is>
      </c>
      <c r="D3321" t="inlineStr">
        <is>
          <t>C</t>
        </is>
      </c>
      <c r="E3321" t="inlineStr">
        <is>
          <t>rs1370960</t>
        </is>
      </c>
      <c r="F3321" t="n">
        <v>0.00765306966</v>
      </c>
      <c r="G3321" t="n">
        <v>0.5878045438009906</v>
      </c>
      <c r="H3321" t="n">
        <v>0.0159881516934765</v>
      </c>
      <c r="I3321" t="n">
        <v>0.1429891006649305</v>
      </c>
      <c r="J3321" t="n">
        <v>0.0571461231255045</v>
      </c>
      <c r="K3321" t="n">
        <v>0.6747590543137818</v>
      </c>
      <c r="L3321" t="b">
        <v>0</v>
      </c>
      <c r="M3321" t="b">
        <v>0</v>
      </c>
      <c r="N3321" t="inlineStr">
        <is>
          <t>alt</t>
        </is>
      </c>
      <c r="O3321" t="n">
        <v>30</v>
      </c>
      <c r="P3321" t="n">
        <v>0.00873</v>
      </c>
      <c r="Q3321" t="n">
        <v>-20</v>
      </c>
      <c r="R3321" t="n">
        <v>0.01868</v>
      </c>
      <c r="S3321">
        <f>IMAGE("https://mitra.stanford.edu/kundaje/oak/projects/neuro-variants/variant_position/credible/roussos_2024/variant_figures/roussos_2024.adolescence.GLU/rs1370960_count_position.png",4,220,900)</f>
        <v/>
      </c>
      <c r="T3321">
        <f>IMAGE("https://mitra.stanford.edu/kundaje/oak/projects/neuro-variants/variant_position/credible/roussos_2024/variant_figures/roussos_2024.adolescence.GLU/rs1370960_profile_position.png",4,220,900)</f>
        <v/>
      </c>
    </row>
    <row r="3322">
      <c r="A3322" t="inlineStr">
        <is>
          <t>chr5</t>
        </is>
      </c>
      <c r="B3322" t="n">
        <v>109708857</v>
      </c>
      <c r="C3322" t="inlineStr">
        <is>
          <t>C</t>
        </is>
      </c>
      <c r="D3322" t="inlineStr">
        <is>
          <t>A</t>
        </is>
      </c>
      <c r="E3322" t="inlineStr">
        <is>
          <t>rs6897334</t>
        </is>
      </c>
      <c r="F3322" t="n">
        <v>-0.0027862806999999</v>
      </c>
      <c r="G3322" t="n">
        <v>0.5129866665372449</v>
      </c>
      <c r="H3322" t="n">
        <v>0.015822391984801</v>
      </c>
      <c r="I3322" t="n">
        <v>0.1313410531112723</v>
      </c>
      <c r="J3322" t="n">
        <v>0.2395653385344106</v>
      </c>
      <c r="K3322" t="n">
        <v>0.3480231082268146</v>
      </c>
      <c r="L3322" t="b">
        <v>0</v>
      </c>
      <c r="M3322" t="b">
        <v>0</v>
      </c>
      <c r="N3322" t="inlineStr">
        <is>
          <t>ref</t>
        </is>
      </c>
      <c r="O3322" t="n">
        <v>-100</v>
      </c>
      <c r="P3322" t="n">
        <v>0.003834</v>
      </c>
      <c r="Q3322" t="n">
        <v>-100</v>
      </c>
      <c r="R3322" t="n">
        <v>0.0271</v>
      </c>
      <c r="S3322">
        <f>IMAGE("https://mitra.stanford.edu/kundaje/oak/projects/neuro-variants/variant_position/credible/roussos_2024/variant_figures/roussos_2024.adolescence.GLU/rs6897334_count_position.png",4,220,900)</f>
        <v/>
      </c>
      <c r="T3322">
        <f>IMAGE("https://mitra.stanford.edu/kundaje/oak/projects/neuro-variants/variant_position/credible/roussos_2024/variant_figures/roussos_2024.adolescence.GLU/rs6897334_profile_position.png",4,220,900)</f>
        <v/>
      </c>
    </row>
    <row r="3323">
      <c r="A3323" t="inlineStr">
        <is>
          <t>chr5</t>
        </is>
      </c>
      <c r="B3323" t="n">
        <v>109716958</v>
      </c>
      <c r="C3323" t="inlineStr">
        <is>
          <t>G</t>
        </is>
      </c>
      <c r="D3323" t="inlineStr">
        <is>
          <t>T</t>
        </is>
      </c>
      <c r="E3323" t="inlineStr">
        <is>
          <t>rs2269201</t>
        </is>
      </c>
      <c r="F3323" t="n">
        <v>-0.07028922579999999</v>
      </c>
      <c r="G3323" t="n">
        <v>0.0281628899872262</v>
      </c>
      <c r="H3323" t="n">
        <v>0.0170092892953675</v>
      </c>
      <c r="I3323" t="n">
        <v>0.0991533112178435</v>
      </c>
      <c r="J3323" t="n">
        <v>0.0769073593815861</v>
      </c>
      <c r="K3323" t="n">
        <v>0.6251463388598807</v>
      </c>
      <c r="L3323" t="b">
        <v>0</v>
      </c>
      <c r="M3323" t="b">
        <v>0</v>
      </c>
      <c r="N3323" t="inlineStr">
        <is>
          <t>ref</t>
        </is>
      </c>
      <c r="O3323" t="n">
        <v>35</v>
      </c>
      <c r="P3323" t="n">
        <v>0.003342</v>
      </c>
      <c r="Q3323" t="n">
        <v>35</v>
      </c>
      <c r="R3323" t="n">
        <v>0.02197</v>
      </c>
      <c r="S3323">
        <f>IMAGE("https://mitra.stanford.edu/kundaje/oak/projects/neuro-variants/variant_position/credible/roussos_2024/variant_figures/roussos_2024.adolescence.GLU/rs2269201_count_position.png",4,220,900)</f>
        <v/>
      </c>
      <c r="T3323">
        <f>IMAGE("https://mitra.stanford.edu/kundaje/oak/projects/neuro-variants/variant_position/credible/roussos_2024/variant_figures/roussos_2024.adolescence.GLU/rs2269201_profile_position.png",4,220,900)</f>
        <v/>
      </c>
    </row>
    <row r="3324">
      <c r="A3324" t="inlineStr">
        <is>
          <t>chr5</t>
        </is>
      </c>
      <c r="B3324" t="n">
        <v>109730763</v>
      </c>
      <c r="C3324" t="inlineStr">
        <is>
          <t>A</t>
        </is>
      </c>
      <c r="D3324" t="inlineStr">
        <is>
          <t>C</t>
        </is>
      </c>
      <c r="E3324" t="inlineStr">
        <is>
          <t>rs34387996</t>
        </is>
      </c>
      <c r="F3324" t="n">
        <v>0.007910362400000001</v>
      </c>
      <c r="G3324" t="n">
        <v>0.5852793215607737</v>
      </c>
      <c r="H3324" t="n">
        <v>0.008282905600378299</v>
      </c>
      <c r="I3324" t="n">
        <v>0.7379695838113824</v>
      </c>
      <c r="J3324" t="n">
        <v>0.0013688549771023</v>
      </c>
      <c r="K3324" t="n">
        <v>0.9629894184122127</v>
      </c>
      <c r="L3324" t="b">
        <v>0</v>
      </c>
      <c r="M3324" t="b">
        <v>0</v>
      </c>
      <c r="N3324" t="inlineStr">
        <is>
          <t>alt</t>
        </is>
      </c>
      <c r="O3324" t="n">
        <v>-100</v>
      </c>
      <c r="P3324" t="n">
        <v>0.01701</v>
      </c>
      <c r="Q3324" t="n">
        <v>30</v>
      </c>
      <c r="R3324" t="n">
        <v>0.03467</v>
      </c>
      <c r="S3324">
        <f>IMAGE("https://mitra.stanford.edu/kundaje/oak/projects/neuro-variants/variant_position/credible/roussos_2024/variant_figures/roussos_2024.adolescence.GLU/rs34387996_count_position.png",4,220,900)</f>
        <v/>
      </c>
      <c r="T3324">
        <f>IMAGE("https://mitra.stanford.edu/kundaje/oak/projects/neuro-variants/variant_position/credible/roussos_2024/variant_figures/roussos_2024.adolescence.GLU/rs34387996_profile_position.png",4,220,900)</f>
        <v/>
      </c>
    </row>
    <row r="3325">
      <c r="A3325" t="inlineStr">
        <is>
          <t>chr5</t>
        </is>
      </c>
      <c r="B3325" t="n">
        <v>109731623</v>
      </c>
      <c r="C3325" t="inlineStr">
        <is>
          <t>G</t>
        </is>
      </c>
      <c r="D3325" t="inlineStr">
        <is>
          <t>T</t>
        </is>
      </c>
      <c r="E3325" t="inlineStr">
        <is>
          <t>rs10463428</t>
        </is>
      </c>
      <c r="F3325" t="n">
        <v>0.0199204854</v>
      </c>
      <c r="G3325" t="n">
        <v>0.2844713527379257</v>
      </c>
      <c r="H3325" t="n">
        <v>0.0350485854133077</v>
      </c>
      <c r="I3325" t="n">
        <v>0.0043121093400722</v>
      </c>
      <c r="J3325" t="n">
        <v>0.0165434268527051</v>
      </c>
      <c r="K3325" t="n">
        <v>0.8399372415992885</v>
      </c>
      <c r="L3325" t="b">
        <v>1</v>
      </c>
      <c r="M3325" t="b">
        <v>0</v>
      </c>
      <c r="N3325" t="inlineStr">
        <is>
          <t>alt</t>
        </is>
      </c>
      <c r="O3325" t="n">
        <v>-95</v>
      </c>
      <c r="P3325" t="n">
        <v>0.01164</v>
      </c>
      <c r="Q3325" t="n">
        <v>-45</v>
      </c>
      <c r="R3325" t="n">
        <v>0.02686</v>
      </c>
      <c r="S3325">
        <f>IMAGE("https://mitra.stanford.edu/kundaje/oak/projects/neuro-variants/variant_position/credible/roussos_2024/variant_figures/roussos_2024.adolescence.GLU/rs10463428_count_position.png",4,220,900)</f>
        <v/>
      </c>
      <c r="T3325">
        <f>IMAGE("https://mitra.stanford.edu/kundaje/oak/projects/neuro-variants/variant_position/credible/roussos_2024/variant_figures/roussos_2024.adolescence.GLU/rs10463428_profile_position.png",4,220,900)</f>
        <v/>
      </c>
    </row>
    <row r="3326">
      <c r="A3326" t="inlineStr">
        <is>
          <t>chr5</t>
        </is>
      </c>
      <c r="B3326" t="n">
        <v>109736510</v>
      </c>
      <c r="C3326" t="inlineStr">
        <is>
          <t>G</t>
        </is>
      </c>
      <c r="D3326" t="inlineStr">
        <is>
          <t>T</t>
        </is>
      </c>
      <c r="E3326" t="inlineStr">
        <is>
          <t>rs2416217</t>
        </is>
      </c>
      <c r="F3326" t="n">
        <v>-0.0555415212</v>
      </c>
      <c r="G3326" t="n">
        <v>0.0516749621261422</v>
      </c>
      <c r="H3326" t="n">
        <v>0.0163350237672392</v>
      </c>
      <c r="I3326" t="n">
        <v>0.1168597431729639</v>
      </c>
      <c r="J3326" t="n">
        <v>0.0101449585985668</v>
      </c>
      <c r="K3326" t="n">
        <v>0.8750010047254424</v>
      </c>
      <c r="L3326" t="b">
        <v>0</v>
      </c>
      <c r="M3326" t="b">
        <v>0</v>
      </c>
      <c r="N3326" t="inlineStr">
        <is>
          <t>ref</t>
        </is>
      </c>
      <c r="O3326" t="n">
        <v>75</v>
      </c>
      <c r="P3326" t="n">
        <v>0.01011</v>
      </c>
      <c r="Q3326" t="n">
        <v>40</v>
      </c>
      <c r="R3326" t="n">
        <v>0.010254</v>
      </c>
      <c r="S3326">
        <f>IMAGE("https://mitra.stanford.edu/kundaje/oak/projects/neuro-variants/variant_position/credible/roussos_2024/variant_figures/roussos_2024.adolescence.GLU/rs2416217_count_position.png",4,220,900)</f>
        <v/>
      </c>
      <c r="T3326">
        <f>IMAGE("https://mitra.stanford.edu/kundaje/oak/projects/neuro-variants/variant_position/credible/roussos_2024/variant_figures/roussos_2024.adolescence.GLU/rs2416217_profile_position.png",4,220,900)</f>
        <v/>
      </c>
    </row>
    <row r="3327">
      <c r="A3327" t="inlineStr">
        <is>
          <t>chr5</t>
        </is>
      </c>
      <c r="B3327" t="n">
        <v>109736511</v>
      </c>
      <c r="C3327" t="inlineStr">
        <is>
          <t>G</t>
        </is>
      </c>
      <c r="D3327" t="inlineStr">
        <is>
          <t>C</t>
        </is>
      </c>
      <c r="E3327" t="inlineStr">
        <is>
          <t>rs2416218</t>
        </is>
      </c>
      <c r="F3327" t="n">
        <v>-0.0175153102</v>
      </c>
      <c r="G3327" t="n">
        <v>0.3456473981481581</v>
      </c>
      <c r="H3327" t="n">
        <v>0.0090266074132595</v>
      </c>
      <c r="I3327" t="n">
        <v>0.663033305700868</v>
      </c>
      <c r="J3327" t="n">
        <v>0.0100535110844388</v>
      </c>
      <c r="K3327" t="n">
        <v>0.8757122837527818</v>
      </c>
      <c r="L3327" t="b">
        <v>0</v>
      </c>
      <c r="M3327" t="b">
        <v>0</v>
      </c>
      <c r="N3327" t="inlineStr">
        <is>
          <t>ref</t>
        </is>
      </c>
      <c r="O3327" t="n">
        <v>-35</v>
      </c>
      <c r="P3327" t="n">
        <v>0.009514</v>
      </c>
      <c r="Q3327" t="n">
        <v>45</v>
      </c>
      <c r="R3327" t="n">
        <v>0.01654</v>
      </c>
      <c r="S3327">
        <f>IMAGE("https://mitra.stanford.edu/kundaje/oak/projects/neuro-variants/variant_position/credible/roussos_2024/variant_figures/roussos_2024.adolescence.GLU/rs2416218_count_position.png",4,220,900)</f>
        <v/>
      </c>
      <c r="T3327">
        <f>IMAGE("https://mitra.stanford.edu/kundaje/oak/projects/neuro-variants/variant_position/credible/roussos_2024/variant_figures/roussos_2024.adolescence.GLU/rs2416218_profile_position.png",4,220,900)</f>
        <v/>
      </c>
    </row>
    <row r="3328">
      <c r="A3328" t="inlineStr">
        <is>
          <t>chr5</t>
        </is>
      </c>
      <c r="B3328" t="n">
        <v>109739808</v>
      </c>
      <c r="C3328" t="inlineStr">
        <is>
          <t>C</t>
        </is>
      </c>
      <c r="D3328" t="inlineStr">
        <is>
          <t>T</t>
        </is>
      </c>
      <c r="E3328" t="inlineStr">
        <is>
          <t>rs3756597</t>
        </is>
      </c>
      <c r="F3328" t="n">
        <v>-0.009053598479999999</v>
      </c>
      <c r="G3328" t="n">
        <v>0.5901803772342821</v>
      </c>
      <c r="H3328" t="n">
        <v>0.0113281228303097</v>
      </c>
      <c r="I3328" t="n">
        <v>0.385711952455526</v>
      </c>
      <c r="J3328" t="n">
        <v>0.1562623686335026</v>
      </c>
      <c r="K3328" t="n">
        <v>0.4712935195157694</v>
      </c>
      <c r="L3328" t="b">
        <v>0</v>
      </c>
      <c r="M3328" t="b">
        <v>0</v>
      </c>
      <c r="N3328" t="inlineStr">
        <is>
          <t>ref</t>
        </is>
      </c>
      <c r="O3328" t="n">
        <v>-20</v>
      </c>
      <c r="P3328" t="n">
        <v>0.001026</v>
      </c>
      <c r="Q3328" t="n">
        <v>95</v>
      </c>
      <c r="R3328" t="n">
        <v>0.03186</v>
      </c>
      <c r="S3328">
        <f>IMAGE("https://mitra.stanford.edu/kundaje/oak/projects/neuro-variants/variant_position/credible/roussos_2024/variant_figures/roussos_2024.adolescence.GLU/rs3756597_count_position.png",4,220,900)</f>
        <v/>
      </c>
      <c r="T3328">
        <f>IMAGE("https://mitra.stanford.edu/kundaje/oak/projects/neuro-variants/variant_position/credible/roussos_2024/variant_figures/roussos_2024.adolescence.GLU/rs3756597_profile_position.png",4,220,900)</f>
        <v/>
      </c>
    </row>
    <row r="3329">
      <c r="A3329" t="inlineStr">
        <is>
          <t>chr5</t>
        </is>
      </c>
      <c r="B3329" t="n">
        <v>109759726</v>
      </c>
      <c r="C3329" t="inlineStr">
        <is>
          <t>T</t>
        </is>
      </c>
      <c r="D3329" t="inlineStr">
        <is>
          <t>G</t>
        </is>
      </c>
      <c r="E3329" t="inlineStr">
        <is>
          <t>rs13187248</t>
        </is>
      </c>
      <c r="F3329" t="n">
        <v>0.0483618455999999</v>
      </c>
      <c r="G3329" t="n">
        <v>0.07147303565943861</v>
      </c>
      <c r="H3329" t="n">
        <v>0.0170222839868996</v>
      </c>
      <c r="I3329" t="n">
        <v>0.1115900000389567</v>
      </c>
      <c r="J3329" t="n">
        <v>0.0897085824920875</v>
      </c>
      <c r="K3329" t="n">
        <v>0.5880784530687898</v>
      </c>
      <c r="L3329" t="b">
        <v>0</v>
      </c>
      <c r="M3329" t="b">
        <v>0</v>
      </c>
      <c r="N3329" t="inlineStr">
        <is>
          <t>alt</t>
        </is>
      </c>
      <c r="O3329" t="n">
        <v>-75</v>
      </c>
      <c r="P3329" t="n">
        <v>0.007446</v>
      </c>
      <c r="Q3329" t="n">
        <v>25</v>
      </c>
      <c r="R3329" t="n">
        <v>0.02356</v>
      </c>
      <c r="S3329">
        <f>IMAGE("https://mitra.stanford.edu/kundaje/oak/projects/neuro-variants/variant_position/credible/roussos_2024/variant_figures/roussos_2024.adolescence.GLU/rs13187248_count_position.png",4,220,900)</f>
        <v/>
      </c>
      <c r="T3329">
        <f>IMAGE("https://mitra.stanford.edu/kundaje/oak/projects/neuro-variants/variant_position/credible/roussos_2024/variant_figures/roussos_2024.adolescence.GLU/rs13187248_profile_position.png",4,220,900)</f>
        <v/>
      </c>
    </row>
    <row r="3330">
      <c r="A3330" t="inlineStr">
        <is>
          <t>chr5</t>
        </is>
      </c>
      <c r="B3330" t="n">
        <v>109759844</v>
      </c>
      <c r="C3330" t="inlineStr">
        <is>
          <t>T</t>
        </is>
      </c>
      <c r="D3330" t="inlineStr">
        <is>
          <t>G</t>
        </is>
      </c>
      <c r="E3330" t="inlineStr">
        <is>
          <t>rs13187428</t>
        </is>
      </c>
      <c r="F3330" t="n">
        <v>-0.05654161756</v>
      </c>
      <c r="G3330" t="n">
        <v>0.06541412214347669</v>
      </c>
      <c r="H3330" t="n">
        <v>0.0235540417535531</v>
      </c>
      <c r="I3330" t="n">
        <v>0.0529996518992664</v>
      </c>
      <c r="J3330" t="n">
        <v>0.0838988076101477</v>
      </c>
      <c r="K3330" t="n">
        <v>0.6023384107155928</v>
      </c>
      <c r="L3330" t="b">
        <v>0</v>
      </c>
      <c r="M3330" t="b">
        <v>0</v>
      </c>
      <c r="N3330" t="inlineStr">
        <is>
          <t>ref</t>
        </is>
      </c>
      <c r="O3330" t="n">
        <v>-35</v>
      </c>
      <c r="P3330" t="n">
        <v>0.00203</v>
      </c>
      <c r="Q3330" t="n">
        <v>-90</v>
      </c>
      <c r="R3330" t="n">
        <v>0.1012</v>
      </c>
      <c r="S3330">
        <f>IMAGE("https://mitra.stanford.edu/kundaje/oak/projects/neuro-variants/variant_position/credible/roussos_2024/variant_figures/roussos_2024.adolescence.GLU/rs13187428_count_position.png",4,220,900)</f>
        <v/>
      </c>
      <c r="T3330">
        <f>IMAGE("https://mitra.stanford.edu/kundaje/oak/projects/neuro-variants/variant_position/credible/roussos_2024/variant_figures/roussos_2024.adolescence.GLU/rs13187428_profile_position.png",4,220,900)</f>
        <v/>
      </c>
    </row>
    <row r="3331">
      <c r="A3331" t="inlineStr">
        <is>
          <t>chr5</t>
        </is>
      </c>
      <c r="B3331" t="n">
        <v>109768576</v>
      </c>
      <c r="C3331" t="inlineStr">
        <is>
          <t>T</t>
        </is>
      </c>
      <c r="D3331" t="inlineStr">
        <is>
          <t>G</t>
        </is>
      </c>
      <c r="E3331" t="inlineStr">
        <is>
          <t>rs10041575</t>
        </is>
      </c>
      <c r="F3331" t="n">
        <v>-0.00260128376</v>
      </c>
      <c r="G3331" t="n">
        <v>0.7878381685027577</v>
      </c>
      <c r="H3331" t="n">
        <v>0.0261953767651101</v>
      </c>
      <c r="I3331" t="n">
        <v>0.0166969062421606</v>
      </c>
      <c r="J3331" t="n">
        <v>0.0401168813539947</v>
      </c>
      <c r="K3331" t="n">
        <v>0.7380511628147006</v>
      </c>
      <c r="L3331" t="b">
        <v>1</v>
      </c>
      <c r="M3331" t="b">
        <v>0</v>
      </c>
      <c r="N3331" t="inlineStr">
        <is>
          <t>ref</t>
        </is>
      </c>
      <c r="O3331" t="n">
        <v>-100</v>
      </c>
      <c r="P3331" t="n">
        <v>0.009979999999999999</v>
      </c>
      <c r="Q3331" t="n">
        <v>30</v>
      </c>
      <c r="R3331" t="n">
        <v>0.03772</v>
      </c>
      <c r="S3331">
        <f>IMAGE("https://mitra.stanford.edu/kundaje/oak/projects/neuro-variants/variant_position/credible/roussos_2024/variant_figures/roussos_2024.adolescence.GLU/rs10041575_count_position.png",4,220,900)</f>
        <v/>
      </c>
      <c r="T3331">
        <f>IMAGE("https://mitra.stanford.edu/kundaje/oak/projects/neuro-variants/variant_position/credible/roussos_2024/variant_figures/roussos_2024.adolescence.GLU/rs10041575_profile_position.png",4,220,900)</f>
        <v/>
      </c>
    </row>
    <row r="3332">
      <c r="A3332" t="inlineStr">
        <is>
          <t>chr5</t>
        </is>
      </c>
      <c r="B3332" t="n">
        <v>109772236</v>
      </c>
      <c r="C3332" t="inlineStr">
        <is>
          <t>G</t>
        </is>
      </c>
      <c r="D3332" t="inlineStr">
        <is>
          <t>A</t>
        </is>
      </c>
      <c r="E3332" t="inlineStr">
        <is>
          <t>rs3753174</t>
        </is>
      </c>
      <c r="F3332" t="n">
        <v>0.120140313</v>
      </c>
      <c r="G3332" t="n">
        <v>0.005261742607476</v>
      </c>
      <c r="H3332" t="n">
        <v>0.0301704646710066</v>
      </c>
      <c r="I3332" t="n">
        <v>0.0113820825241361</v>
      </c>
      <c r="J3332" t="n">
        <v>0.0870923262675839</v>
      </c>
      <c r="K3332" t="n">
        <v>0.6086315085456524</v>
      </c>
      <c r="L3332" t="b">
        <v>1</v>
      </c>
      <c r="M3332" t="b">
        <v>1</v>
      </c>
      <c r="N3332" t="inlineStr">
        <is>
          <t>alt</t>
        </is>
      </c>
      <c r="O3332" t="n">
        <v>-10</v>
      </c>
      <c r="P3332" t="n">
        <v>0.004364</v>
      </c>
      <c r="Q3332" t="n">
        <v>0</v>
      </c>
      <c r="R3332" t="n">
        <v>0</v>
      </c>
      <c r="S3332">
        <f>IMAGE("https://mitra.stanford.edu/kundaje/oak/projects/neuro-variants/variant_position/credible/roussos_2024/variant_figures/roussos_2024.adolescence.GLU/rs3753174_count_position.png",4,220,900)</f>
        <v/>
      </c>
      <c r="T3332">
        <f>IMAGE("https://mitra.stanford.edu/kundaje/oak/projects/neuro-variants/variant_position/credible/roussos_2024/variant_figures/roussos_2024.adolescence.GLU/rs3753174_profile_position.png",4,220,900)</f>
        <v/>
      </c>
    </row>
    <row r="3333">
      <c r="A3333" t="inlineStr">
        <is>
          <t>chr5</t>
        </is>
      </c>
      <c r="B3333" t="n">
        <v>109776323</v>
      </c>
      <c r="C3333" t="inlineStr">
        <is>
          <t>A</t>
        </is>
      </c>
      <c r="D3333" t="inlineStr">
        <is>
          <t>T</t>
        </is>
      </c>
      <c r="E3333" t="inlineStr">
        <is>
          <t>rs2042164</t>
        </is>
      </c>
      <c r="F3333" t="n">
        <v>0.0114065257</v>
      </c>
      <c r="G3333" t="n">
        <v>0.4481569185007678</v>
      </c>
      <c r="H3333" t="n">
        <v>0.0189035636779394</v>
      </c>
      <c r="I3333" t="n">
        <v>0.0684001542421805</v>
      </c>
      <c r="J3333" t="n">
        <v>0.0042237320587835</v>
      </c>
      <c r="K3333" t="n">
        <v>0.9265223469428902</v>
      </c>
      <c r="L3333" t="b">
        <v>0</v>
      </c>
      <c r="M3333" t="b">
        <v>0</v>
      </c>
      <c r="N3333" t="inlineStr">
        <is>
          <t>alt</t>
        </is>
      </c>
      <c r="O3333" t="n">
        <v>85</v>
      </c>
      <c r="P3333" t="n">
        <v>0.005337</v>
      </c>
      <c r="Q3333" t="n">
        <v>100</v>
      </c>
      <c r="R3333" t="n">
        <v>0.04822</v>
      </c>
      <c r="S3333">
        <f>IMAGE("https://mitra.stanford.edu/kundaje/oak/projects/neuro-variants/variant_position/credible/roussos_2024/variant_figures/roussos_2024.adolescence.GLU/rs2042164_count_position.png",4,220,900)</f>
        <v/>
      </c>
      <c r="T3333">
        <f>IMAGE("https://mitra.stanford.edu/kundaje/oak/projects/neuro-variants/variant_position/credible/roussos_2024/variant_figures/roussos_2024.adolescence.GLU/rs2042164_profile_position.png",4,220,900)</f>
        <v/>
      </c>
    </row>
    <row r="3334">
      <c r="A3334" t="inlineStr">
        <is>
          <t>chr5</t>
        </is>
      </c>
      <c r="B3334" t="n">
        <v>109777887</v>
      </c>
      <c r="C3334" t="inlineStr">
        <is>
          <t>C</t>
        </is>
      </c>
      <c r="D3334" t="inlineStr">
        <is>
          <t>T</t>
        </is>
      </c>
      <c r="E3334" t="inlineStr">
        <is>
          <t>rs34595717</t>
        </is>
      </c>
      <c r="F3334" t="n">
        <v>0.0035862915159999</v>
      </c>
      <c r="G3334" t="n">
        <v>0.784176385447537</v>
      </c>
      <c r="H3334" t="n">
        <v>0.008275031611565901</v>
      </c>
      <c r="I3334" t="n">
        <v>0.7652616564645947</v>
      </c>
      <c r="J3334" t="n">
        <v>0.0075001250258981</v>
      </c>
      <c r="K3334" t="n">
        <v>0.896378332341937</v>
      </c>
      <c r="L3334" t="b">
        <v>0</v>
      </c>
      <c r="M3334" t="b">
        <v>0</v>
      </c>
      <c r="N3334" t="inlineStr">
        <is>
          <t>alt</t>
        </is>
      </c>
      <c r="O3334" t="n">
        <v>100</v>
      </c>
      <c r="P3334" t="n">
        <v>0.06094</v>
      </c>
      <c r="Q3334" t="n">
        <v>-90</v>
      </c>
      <c r="R3334" t="n">
        <v>0.013306</v>
      </c>
      <c r="S3334">
        <f>IMAGE("https://mitra.stanford.edu/kundaje/oak/projects/neuro-variants/variant_position/credible/roussos_2024/variant_figures/roussos_2024.adolescence.GLU/rs34595717_count_position.png",4,220,900)</f>
        <v/>
      </c>
      <c r="T3334">
        <f>IMAGE("https://mitra.stanford.edu/kundaje/oak/projects/neuro-variants/variant_position/credible/roussos_2024/variant_figures/roussos_2024.adolescence.GLU/rs34595717_profile_position.png",4,220,900)</f>
        <v/>
      </c>
    </row>
    <row r="3335">
      <c r="A3335" t="inlineStr">
        <is>
          <t>chr5</t>
        </is>
      </c>
      <c r="B3335" t="n">
        <v>109781470</v>
      </c>
      <c r="C3335" t="inlineStr">
        <is>
          <t>A</t>
        </is>
      </c>
      <c r="D3335" t="inlineStr">
        <is>
          <t>G</t>
        </is>
      </c>
      <c r="E3335" t="inlineStr">
        <is>
          <t>rs13189822</t>
        </is>
      </c>
      <c r="F3335" t="n">
        <v>-0.0741789402</v>
      </c>
      <c r="G3335" t="n">
        <v>0.0263193223940438</v>
      </c>
      <c r="H3335" t="n">
        <v>0.0223645376622504</v>
      </c>
      <c r="I3335" t="n">
        <v>0.0384347930537468</v>
      </c>
      <c r="J3335" t="n">
        <v>0.0408984718263068</v>
      </c>
      <c r="K3335" t="n">
        <v>0.7307515052720105</v>
      </c>
      <c r="L3335" t="b">
        <v>0</v>
      </c>
      <c r="M3335" t="b">
        <v>0</v>
      </c>
      <c r="N3335" t="inlineStr">
        <is>
          <t>ref</t>
        </is>
      </c>
      <c r="O3335" t="n">
        <v>10</v>
      </c>
      <c r="P3335" t="n">
        <v>0.002056</v>
      </c>
      <c r="Q3335" t="n">
        <v>80</v>
      </c>
      <c r="R3335" t="n">
        <v>0.03876</v>
      </c>
      <c r="S3335">
        <f>IMAGE("https://mitra.stanford.edu/kundaje/oak/projects/neuro-variants/variant_position/credible/roussos_2024/variant_figures/roussos_2024.adolescence.GLU/rs13189822_count_position.png",4,220,900)</f>
        <v/>
      </c>
      <c r="T3335">
        <f>IMAGE("https://mitra.stanford.edu/kundaje/oak/projects/neuro-variants/variant_position/credible/roussos_2024/variant_figures/roussos_2024.adolescence.GLU/rs13189822_profile_position.png",4,220,900)</f>
        <v/>
      </c>
    </row>
    <row r="3336">
      <c r="A3336" t="inlineStr">
        <is>
          <t>chr5</t>
        </is>
      </c>
      <c r="B3336" t="n">
        <v>109786878</v>
      </c>
      <c r="C3336" t="inlineStr">
        <is>
          <t>A</t>
        </is>
      </c>
      <c r="D3336" t="inlineStr">
        <is>
          <t>G</t>
        </is>
      </c>
      <c r="E3336" t="inlineStr">
        <is>
          <t>rs2269205</t>
        </is>
      </c>
      <c r="F3336" t="n">
        <v>0.0010952768</v>
      </c>
      <c r="G3336" t="n">
        <v>0.6249817106140189</v>
      </c>
      <c r="H3336" t="n">
        <v>0.0230395559758408</v>
      </c>
      <c r="I3336" t="n">
        <v>0.0299372005514529</v>
      </c>
      <c r="J3336" t="n">
        <v>0.1251716426974158</v>
      </c>
      <c r="K3336" t="n">
        <v>0.5253051231499871</v>
      </c>
      <c r="L3336" t="b">
        <v>0</v>
      </c>
      <c r="M3336" t="b">
        <v>0</v>
      </c>
      <c r="N3336" t="inlineStr">
        <is>
          <t>alt</t>
        </is>
      </c>
      <c r="O3336" t="n">
        <v>75</v>
      </c>
      <c r="P3336" t="n">
        <v>0.00903</v>
      </c>
      <c r="Q3336" t="n">
        <v>65</v>
      </c>
      <c r="R3336" t="n">
        <v>0.02197</v>
      </c>
      <c r="S3336">
        <f>IMAGE("https://mitra.stanford.edu/kundaje/oak/projects/neuro-variants/variant_position/credible/roussos_2024/variant_figures/roussos_2024.adolescence.GLU/rs2269205_count_position.png",4,220,900)</f>
        <v/>
      </c>
      <c r="T3336">
        <f>IMAGE("https://mitra.stanford.edu/kundaje/oak/projects/neuro-variants/variant_position/credible/roussos_2024/variant_figures/roussos_2024.adolescence.GLU/rs2269205_profile_position.png",4,220,900)</f>
        <v/>
      </c>
    </row>
    <row r="3337">
      <c r="A3337" t="inlineStr">
        <is>
          <t>chr5</t>
        </is>
      </c>
      <c r="B3337" t="n">
        <v>109786985</v>
      </c>
      <c r="C3337" t="inlineStr">
        <is>
          <t>G</t>
        </is>
      </c>
      <c r="D3337" t="inlineStr">
        <is>
          <t>A</t>
        </is>
      </c>
      <c r="E3337" t="inlineStr">
        <is>
          <t>rs2269206</t>
        </is>
      </c>
      <c r="F3337" t="n">
        <v>-0.02115972</v>
      </c>
      <c r="G3337" t="n">
        <v>0.2842492546504732</v>
      </c>
      <c r="H3337" t="n">
        <v>0.0105437804992658</v>
      </c>
      <c r="I3337" t="n">
        <v>0.4784927914181763</v>
      </c>
      <c r="J3337" t="n">
        <v>0.1240728436604724</v>
      </c>
      <c r="K3337" t="n">
        <v>0.5269576273968901</v>
      </c>
      <c r="L3337" t="b">
        <v>0</v>
      </c>
      <c r="M3337" t="b">
        <v>0</v>
      </c>
      <c r="N3337" t="inlineStr">
        <is>
          <t>ref</t>
        </is>
      </c>
      <c r="O3337" t="n">
        <v>-25</v>
      </c>
      <c r="P3337" t="n">
        <v>0.0009203</v>
      </c>
      <c r="Q3337" t="n">
        <v>-85</v>
      </c>
      <c r="R3337" t="n">
        <v>0.0629</v>
      </c>
      <c r="S3337">
        <f>IMAGE("https://mitra.stanford.edu/kundaje/oak/projects/neuro-variants/variant_position/credible/roussos_2024/variant_figures/roussos_2024.adolescence.GLU/rs2269206_count_position.png",4,220,900)</f>
        <v/>
      </c>
      <c r="T3337">
        <f>IMAGE("https://mitra.stanford.edu/kundaje/oak/projects/neuro-variants/variant_position/credible/roussos_2024/variant_figures/roussos_2024.adolescence.GLU/rs2269206_profile_position.png",4,220,900)</f>
        <v/>
      </c>
    </row>
    <row r="3338">
      <c r="A3338" t="inlineStr">
        <is>
          <t>chr5</t>
        </is>
      </c>
      <c r="B3338" t="n">
        <v>109796377</v>
      </c>
      <c r="C3338" t="inlineStr">
        <is>
          <t>A</t>
        </is>
      </c>
      <c r="D3338" t="inlineStr">
        <is>
          <t>T</t>
        </is>
      </c>
      <c r="E3338" t="inlineStr">
        <is>
          <t>rs2301009</t>
        </is>
      </c>
      <c r="F3338" t="n">
        <v>0.0065265888799999</v>
      </c>
      <c r="G3338" t="n">
        <v>0.6252312478495504</v>
      </c>
      <c r="H3338" t="n">
        <v>0.0205561060477988</v>
      </c>
      <c r="I3338" t="n">
        <v>0.0486207918094937</v>
      </c>
      <c r="J3338" t="n">
        <v>0.110600052868094</v>
      </c>
      <c r="K3338" t="n">
        <v>0.5431349844115796</v>
      </c>
      <c r="L3338" t="b">
        <v>0</v>
      </c>
      <c r="M3338" t="b">
        <v>0</v>
      </c>
      <c r="N3338" t="inlineStr">
        <is>
          <t>alt</t>
        </is>
      </c>
      <c r="O3338" t="n">
        <v>-100</v>
      </c>
      <c r="P3338" t="n">
        <v>0.01587</v>
      </c>
      <c r="Q3338" t="n">
        <v>-100</v>
      </c>
      <c r="R3338" t="n">
        <v>0.1282</v>
      </c>
      <c r="S3338">
        <f>IMAGE("https://mitra.stanford.edu/kundaje/oak/projects/neuro-variants/variant_position/credible/roussos_2024/variant_figures/roussos_2024.adolescence.GLU/rs2301009_count_position.png",4,220,900)</f>
        <v/>
      </c>
      <c r="T3338">
        <f>IMAGE("https://mitra.stanford.edu/kundaje/oak/projects/neuro-variants/variant_position/credible/roussos_2024/variant_figures/roussos_2024.adolescence.GLU/rs2301009_profile_position.png",4,220,900)</f>
        <v/>
      </c>
    </row>
    <row r="3339">
      <c r="A3339" t="inlineStr">
        <is>
          <t>chr5</t>
        </is>
      </c>
      <c r="B3339" t="n">
        <v>109799795</v>
      </c>
      <c r="C3339" t="inlineStr">
        <is>
          <t>A</t>
        </is>
      </c>
      <c r="D3339" t="inlineStr">
        <is>
          <t>G</t>
        </is>
      </c>
      <c r="E3339" t="inlineStr">
        <is>
          <t>rs1008661</t>
        </is>
      </c>
      <c r="F3339" t="n">
        <v>-0.006270933852</v>
      </c>
      <c r="G3339" t="n">
        <v>0.65711473289591</v>
      </c>
      <c r="H3339" t="n">
        <v>0.0239541120126892</v>
      </c>
      <c r="I3339" t="n">
        <v>0.0240667078605775</v>
      </c>
      <c r="J3339" t="n">
        <v>0.1105071764865579</v>
      </c>
      <c r="K3339" t="n">
        <v>0.5621200673827556</v>
      </c>
      <c r="L3339" t="b">
        <v>0</v>
      </c>
      <c r="M3339" t="b">
        <v>0</v>
      </c>
      <c r="N3339" t="inlineStr">
        <is>
          <t>ref</t>
        </is>
      </c>
      <c r="O3339" t="n">
        <v>-100</v>
      </c>
      <c r="P3339" t="n">
        <v>0.005066</v>
      </c>
      <c r="Q3339" t="n">
        <v>-65</v>
      </c>
      <c r="R3339" t="n">
        <v>0.1056</v>
      </c>
      <c r="S3339">
        <f>IMAGE("https://mitra.stanford.edu/kundaje/oak/projects/neuro-variants/variant_position/credible/roussos_2024/variant_figures/roussos_2024.adolescence.GLU/rs1008661_count_position.png",4,220,900)</f>
        <v/>
      </c>
      <c r="T3339">
        <f>IMAGE("https://mitra.stanford.edu/kundaje/oak/projects/neuro-variants/variant_position/credible/roussos_2024/variant_figures/roussos_2024.adolescence.GLU/rs1008661_profile_position.png",4,220,900)</f>
        <v/>
      </c>
    </row>
    <row r="3340">
      <c r="A3340" t="inlineStr">
        <is>
          <t>chr5</t>
        </is>
      </c>
      <c r="B3340" t="n">
        <v>109808927</v>
      </c>
      <c r="C3340" t="inlineStr">
        <is>
          <t>T</t>
        </is>
      </c>
      <c r="D3340" t="inlineStr">
        <is>
          <t>G</t>
        </is>
      </c>
      <c r="E3340" t="inlineStr">
        <is>
          <t>rs34052755</t>
        </is>
      </c>
      <c r="F3340" t="n">
        <v>0.0528024687999999</v>
      </c>
      <c r="G3340" t="n">
        <v>0.0572674181665559</v>
      </c>
      <c r="H3340" t="n">
        <v>0.0126745277484104</v>
      </c>
      <c r="I3340" t="n">
        <v>0.280659187656296</v>
      </c>
      <c r="J3340" t="n">
        <v>0.0077673232312407</v>
      </c>
      <c r="K3340" t="n">
        <v>0.8930147253904451</v>
      </c>
      <c r="L3340" t="b">
        <v>0</v>
      </c>
      <c r="M3340" t="b">
        <v>0</v>
      </c>
      <c r="N3340" t="inlineStr">
        <is>
          <t>alt</t>
        </is>
      </c>
      <c r="O3340" t="n">
        <v>-90</v>
      </c>
      <c r="P3340" t="n">
        <v>0.02945</v>
      </c>
      <c r="Q3340" t="n">
        <v>-100</v>
      </c>
      <c r="R3340" t="n">
        <v>0.03387</v>
      </c>
      <c r="S3340">
        <f>IMAGE("https://mitra.stanford.edu/kundaje/oak/projects/neuro-variants/variant_position/credible/roussos_2024/variant_figures/roussos_2024.adolescence.GLU/rs34052755_count_position.png",4,220,900)</f>
        <v/>
      </c>
      <c r="T3340">
        <f>IMAGE("https://mitra.stanford.edu/kundaje/oak/projects/neuro-variants/variant_position/credible/roussos_2024/variant_figures/roussos_2024.adolescence.GLU/rs34052755_profile_position.png",4,220,900)</f>
        <v/>
      </c>
    </row>
    <row r="3341">
      <c r="A3341" t="inlineStr">
        <is>
          <t>chr5</t>
        </is>
      </c>
      <c r="B3341" t="n">
        <v>109816784</v>
      </c>
      <c r="C3341" t="inlineStr">
        <is>
          <t>G</t>
        </is>
      </c>
      <c r="D3341" t="inlineStr">
        <is>
          <t>T</t>
        </is>
      </c>
      <c r="E3341" t="inlineStr">
        <is>
          <t>rs4141495</t>
        </is>
      </c>
      <c r="F3341" t="n">
        <v>-0.0221150674</v>
      </c>
      <c r="G3341" t="n">
        <v>0.2674597035122948</v>
      </c>
      <c r="H3341" t="n">
        <v>0.0124593278324714</v>
      </c>
      <c r="I3341" t="n">
        <v>0.298174617607566</v>
      </c>
      <c r="J3341" t="n">
        <v>0.0112394710332854</v>
      </c>
      <c r="K3341" t="n">
        <v>0.8682447442565685</v>
      </c>
      <c r="L3341" t="b">
        <v>0</v>
      </c>
      <c r="M3341" t="b">
        <v>0</v>
      </c>
      <c r="N3341" t="inlineStr">
        <is>
          <t>ref</t>
        </is>
      </c>
      <c r="O3341" t="n">
        <v>-65</v>
      </c>
      <c r="P3341" t="n">
        <v>0.002134</v>
      </c>
      <c r="Q3341" t="n">
        <v>100</v>
      </c>
      <c r="R3341" t="n">
        <v>0.01639</v>
      </c>
      <c r="S3341">
        <f>IMAGE("https://mitra.stanford.edu/kundaje/oak/projects/neuro-variants/variant_position/credible/roussos_2024/variant_figures/roussos_2024.adolescence.GLU/rs4141495_count_position.png",4,220,900)</f>
        <v/>
      </c>
      <c r="T3341">
        <f>IMAGE("https://mitra.stanford.edu/kundaje/oak/projects/neuro-variants/variant_position/credible/roussos_2024/variant_figures/roussos_2024.adolescence.GLU/rs4141495_profile_position.png",4,220,900)</f>
        <v/>
      </c>
    </row>
    <row r="3342">
      <c r="A3342" t="inlineStr">
        <is>
          <t>chr5</t>
        </is>
      </c>
      <c r="B3342" t="n">
        <v>109822362</v>
      </c>
      <c r="C3342" t="inlineStr">
        <is>
          <t>A</t>
        </is>
      </c>
      <c r="D3342" t="inlineStr">
        <is>
          <t>C</t>
        </is>
      </c>
      <c r="E3342" t="inlineStr">
        <is>
          <t>rs10515405</t>
        </is>
      </c>
      <c r="F3342" t="n">
        <v>0.012904773</v>
      </c>
      <c r="G3342" t="n">
        <v>0.4262273333476136</v>
      </c>
      <c r="H3342" t="n">
        <v>0.0081013032566397</v>
      </c>
      <c r="I3342" t="n">
        <v>0.7940695226092269</v>
      </c>
      <c r="J3342" t="n">
        <v>0.0562673696694314</v>
      </c>
      <c r="K3342" t="n">
        <v>0.6766168293040479</v>
      </c>
      <c r="L3342" t="b">
        <v>0</v>
      </c>
      <c r="M3342" t="b">
        <v>0</v>
      </c>
      <c r="N3342" t="inlineStr">
        <is>
          <t>alt</t>
        </is>
      </c>
      <c r="O3342" t="n">
        <v>-95</v>
      </c>
      <c r="P3342" t="n">
        <v>0.013596</v>
      </c>
      <c r="Q3342" t="n">
        <v>15</v>
      </c>
      <c r="R3342" t="n">
        <v>0.003044</v>
      </c>
      <c r="S3342">
        <f>IMAGE("https://mitra.stanford.edu/kundaje/oak/projects/neuro-variants/variant_position/credible/roussos_2024/variant_figures/roussos_2024.adolescence.GLU/rs10515405_count_position.png",4,220,900)</f>
        <v/>
      </c>
      <c r="T3342">
        <f>IMAGE("https://mitra.stanford.edu/kundaje/oak/projects/neuro-variants/variant_position/credible/roussos_2024/variant_figures/roussos_2024.adolescence.GLU/rs10515405_profile_position.png",4,220,900)</f>
        <v/>
      </c>
    </row>
    <row r="3343">
      <c r="A3343" t="inlineStr">
        <is>
          <t>chr5</t>
        </is>
      </c>
      <c r="B3343" t="n">
        <v>109836474</v>
      </c>
      <c r="C3343" t="inlineStr">
        <is>
          <t>G</t>
        </is>
      </c>
      <c r="D3343" t="inlineStr">
        <is>
          <t>A</t>
        </is>
      </c>
      <c r="E3343" t="inlineStr">
        <is>
          <t>rs12518625</t>
        </is>
      </c>
      <c r="F3343" t="n">
        <v>0.038447358</v>
      </c>
      <c r="G3343" t="n">
        <v>0.1259964121686498</v>
      </c>
      <c r="H3343" t="n">
        <v>0.0176057040276878</v>
      </c>
      <c r="I3343" t="n">
        <v>0.1009481307033089</v>
      </c>
      <c r="J3343" t="n">
        <v>0.3173886019246844</v>
      </c>
      <c r="K3343" t="n">
        <v>0.2455989084410566</v>
      </c>
      <c r="L3343" t="b">
        <v>0</v>
      </c>
      <c r="M3343" t="b">
        <v>0</v>
      </c>
      <c r="N3343" t="inlineStr">
        <is>
          <t>alt</t>
        </is>
      </c>
      <c r="O3343" t="n">
        <v>-65</v>
      </c>
      <c r="P3343" t="n">
        <v>0.005493</v>
      </c>
      <c r="Q3343" t="n">
        <v>40</v>
      </c>
      <c r="R3343" t="n">
        <v>0.062</v>
      </c>
      <c r="S3343">
        <f>IMAGE("https://mitra.stanford.edu/kundaje/oak/projects/neuro-variants/variant_position/credible/roussos_2024/variant_figures/roussos_2024.adolescence.GLU/rs12518625_count_position.png",4,220,900)</f>
        <v/>
      </c>
      <c r="T3343">
        <f>IMAGE("https://mitra.stanford.edu/kundaje/oak/projects/neuro-variants/variant_position/credible/roussos_2024/variant_figures/roussos_2024.adolescence.GLU/rs12518625_profile_position.png",4,220,900)</f>
        <v/>
      </c>
    </row>
    <row r="3344">
      <c r="A3344" t="inlineStr">
        <is>
          <t>chr5</t>
        </is>
      </c>
      <c r="B3344" t="n">
        <v>109841677</v>
      </c>
      <c r="C3344" t="inlineStr">
        <is>
          <t>C</t>
        </is>
      </c>
      <c r="D3344" t="inlineStr">
        <is>
          <t>T</t>
        </is>
      </c>
      <c r="E3344" t="inlineStr">
        <is>
          <t>rs10065099</t>
        </is>
      </c>
      <c r="F3344" t="n">
        <v>-0.025362485</v>
      </c>
      <c r="G3344" t="n">
        <v>0.2370252119672299</v>
      </c>
      <c r="H3344" t="n">
        <v>0.009977223834002701</v>
      </c>
      <c r="I3344" t="n">
        <v>0.5448765562731596</v>
      </c>
      <c r="J3344" t="n">
        <v>0.0229261775653527</v>
      </c>
      <c r="K3344" t="n">
        <v>0.8034683682975706</v>
      </c>
      <c r="L3344" t="b">
        <v>0</v>
      </c>
      <c r="M3344" t="b">
        <v>0</v>
      </c>
      <c r="N3344" t="inlineStr">
        <is>
          <t>ref</t>
        </is>
      </c>
      <c r="O3344" t="n">
        <v>5</v>
      </c>
      <c r="P3344" t="n">
        <v>0.0003963</v>
      </c>
      <c r="Q3344" t="n">
        <v>100</v>
      </c>
      <c r="R3344" t="n">
        <v>0.05008</v>
      </c>
      <c r="S3344">
        <f>IMAGE("https://mitra.stanford.edu/kundaje/oak/projects/neuro-variants/variant_position/credible/roussos_2024/variant_figures/roussos_2024.adolescence.GLU/rs10065099_count_position.png",4,220,900)</f>
        <v/>
      </c>
      <c r="T3344">
        <f>IMAGE("https://mitra.stanford.edu/kundaje/oak/projects/neuro-variants/variant_position/credible/roussos_2024/variant_figures/roussos_2024.adolescence.GLU/rs10065099_profile_position.png",4,220,900)</f>
        <v/>
      </c>
    </row>
    <row r="3345">
      <c r="A3345" t="inlineStr">
        <is>
          <t>chr5</t>
        </is>
      </c>
      <c r="B3345" t="n">
        <v>109847218</v>
      </c>
      <c r="C3345" t="inlineStr">
        <is>
          <t>C</t>
        </is>
      </c>
      <c r="D3345" t="inlineStr">
        <is>
          <t>T</t>
        </is>
      </c>
      <c r="E3345" t="inlineStr">
        <is>
          <t>rs17162347</t>
        </is>
      </c>
      <c r="F3345" t="n">
        <v>-0.0237313265999999</v>
      </c>
      <c r="G3345" t="n">
        <v>0.2481667974343497</v>
      </c>
      <c r="H3345" t="n">
        <v>0.0098061745087565</v>
      </c>
      <c r="I3345" t="n">
        <v>0.5688682192690224</v>
      </c>
      <c r="J3345" t="n">
        <v>0.0648705803344978</v>
      </c>
      <c r="K3345" t="n">
        <v>0.6562167303668113</v>
      </c>
      <c r="L3345" t="b">
        <v>0</v>
      </c>
      <c r="M3345" t="b">
        <v>0</v>
      </c>
      <c r="N3345" t="inlineStr">
        <is>
          <t>ref</t>
        </is>
      </c>
      <c r="O3345" t="n">
        <v>-90</v>
      </c>
      <c r="P3345" t="n">
        <v>0.0307</v>
      </c>
      <c r="Q3345" t="n">
        <v>-95</v>
      </c>
      <c r="R3345" t="n">
        <v>0.0155</v>
      </c>
      <c r="S3345">
        <f>IMAGE("https://mitra.stanford.edu/kundaje/oak/projects/neuro-variants/variant_position/credible/roussos_2024/variant_figures/roussos_2024.adolescence.GLU/rs17162347_count_position.png",4,220,900)</f>
        <v/>
      </c>
      <c r="T3345">
        <f>IMAGE("https://mitra.stanford.edu/kundaje/oak/projects/neuro-variants/variant_position/credible/roussos_2024/variant_figures/roussos_2024.adolescence.GLU/rs17162347_profile_position.png",4,220,900)</f>
        <v/>
      </c>
    </row>
    <row r="3346">
      <c r="A3346" t="inlineStr">
        <is>
          <t>chr5</t>
        </is>
      </c>
      <c r="B3346" t="n">
        <v>109864270</v>
      </c>
      <c r="C3346" t="inlineStr">
        <is>
          <t>T</t>
        </is>
      </c>
      <c r="D3346" t="inlineStr">
        <is>
          <t>G</t>
        </is>
      </c>
      <c r="E3346" t="inlineStr">
        <is>
          <t>rs12187114</t>
        </is>
      </c>
      <c r="F3346" t="n">
        <v>0.003957020438</v>
      </c>
      <c r="G3346" t="n">
        <v>0.7543539547595769</v>
      </c>
      <c r="H3346" t="n">
        <v>0.027752260845674</v>
      </c>
      <c r="I3346" t="n">
        <v>0.0118430906734462</v>
      </c>
      <c r="J3346" t="n">
        <v>0.0342785291238899</v>
      </c>
      <c r="K3346" t="n">
        <v>0.7549655731925319</v>
      </c>
      <c r="L3346" t="b">
        <v>1</v>
      </c>
      <c r="M3346" t="b">
        <v>0</v>
      </c>
      <c r="N3346" t="inlineStr">
        <is>
          <t>alt</t>
        </is>
      </c>
      <c r="O3346" t="n">
        <v>-10</v>
      </c>
      <c r="P3346" t="n">
        <v>0.0003967</v>
      </c>
      <c r="Q3346" t="n">
        <v>-95</v>
      </c>
      <c r="R3346" t="n">
        <v>0.09106</v>
      </c>
      <c r="S3346">
        <f>IMAGE("https://mitra.stanford.edu/kundaje/oak/projects/neuro-variants/variant_position/credible/roussos_2024/variant_figures/roussos_2024.adolescence.GLU/rs12187114_count_position.png",4,220,900)</f>
        <v/>
      </c>
      <c r="T3346">
        <f>IMAGE("https://mitra.stanford.edu/kundaje/oak/projects/neuro-variants/variant_position/credible/roussos_2024/variant_figures/roussos_2024.adolescence.GLU/rs12187114_profile_position.png",4,220,900)</f>
        <v/>
      </c>
    </row>
    <row r="3347">
      <c r="A3347" t="inlineStr">
        <is>
          <t>chr5</t>
        </is>
      </c>
      <c r="B3347" t="n">
        <v>109864280</v>
      </c>
      <c r="C3347" t="inlineStr">
        <is>
          <t>A</t>
        </is>
      </c>
      <c r="D3347" t="inlineStr">
        <is>
          <t>G</t>
        </is>
      </c>
      <c r="E3347" t="inlineStr">
        <is>
          <t>rs11241042</t>
        </is>
      </c>
      <c r="F3347" t="n">
        <v>0.004220080628</v>
      </c>
      <c r="G3347" t="n">
        <v>0.7546023239607379</v>
      </c>
      <c r="H3347" t="n">
        <v>0.0121447039706512</v>
      </c>
      <c r="I3347" t="n">
        <v>0.3221360425487283</v>
      </c>
      <c r="J3347" t="n">
        <v>0.0340427660015288</v>
      </c>
      <c r="K3347" t="n">
        <v>0.7558245976185388</v>
      </c>
      <c r="L3347" t="b">
        <v>0</v>
      </c>
      <c r="M3347" t="b">
        <v>0</v>
      </c>
      <c r="N3347" t="inlineStr">
        <is>
          <t>alt</t>
        </is>
      </c>
      <c r="O3347" t="n">
        <v>-15</v>
      </c>
      <c r="P3347" t="n">
        <v>0.00299</v>
      </c>
      <c r="Q3347" t="n">
        <v>-100</v>
      </c>
      <c r="R3347" t="n">
        <v>0.09420000000000001</v>
      </c>
      <c r="S3347">
        <f>IMAGE("https://mitra.stanford.edu/kundaje/oak/projects/neuro-variants/variant_position/credible/roussos_2024/variant_figures/roussos_2024.adolescence.GLU/rs11241042_count_position.png",4,220,900)</f>
        <v/>
      </c>
      <c r="T3347">
        <f>IMAGE("https://mitra.stanford.edu/kundaje/oak/projects/neuro-variants/variant_position/credible/roussos_2024/variant_figures/roussos_2024.adolescence.GLU/rs11241042_profile_position.png",4,220,900)</f>
        <v/>
      </c>
    </row>
    <row r="3348">
      <c r="A3348" t="inlineStr">
        <is>
          <t>chr5</t>
        </is>
      </c>
      <c r="B3348" t="n">
        <v>109873641</v>
      </c>
      <c r="C3348" t="inlineStr">
        <is>
          <t>T</t>
        </is>
      </c>
      <c r="D3348" t="inlineStr">
        <is>
          <t>C</t>
        </is>
      </c>
      <c r="E3348" t="inlineStr">
        <is>
          <t>rs12656279</t>
        </is>
      </c>
      <c r="F3348" t="n">
        <v>0.0550204844</v>
      </c>
      <c r="G3348" t="n">
        <v>0.046911351417444</v>
      </c>
      <c r="H3348" t="n">
        <v>0.010520439358271</v>
      </c>
      <c r="I3348" t="n">
        <v>0.4708639467212659</v>
      </c>
      <c r="J3348" t="n">
        <v>0.2022347486265011</v>
      </c>
      <c r="K3348" t="n">
        <v>0.3997256274747622</v>
      </c>
      <c r="L3348" t="b">
        <v>0</v>
      </c>
      <c r="M3348" t="b">
        <v>0</v>
      </c>
      <c r="N3348" t="inlineStr">
        <is>
          <t>alt</t>
        </is>
      </c>
      <c r="O3348" t="n">
        <v>95</v>
      </c>
      <c r="P3348" t="n">
        <v>0.003403</v>
      </c>
      <c r="Q3348" t="n">
        <v>40</v>
      </c>
      <c r="R3348" t="n">
        <v>0.05804</v>
      </c>
      <c r="S3348">
        <f>IMAGE("https://mitra.stanford.edu/kundaje/oak/projects/neuro-variants/variant_position/credible/roussos_2024/variant_figures/roussos_2024.adolescence.GLU/rs12656279_count_position.png",4,220,900)</f>
        <v/>
      </c>
      <c r="T3348">
        <f>IMAGE("https://mitra.stanford.edu/kundaje/oak/projects/neuro-variants/variant_position/credible/roussos_2024/variant_figures/roussos_2024.adolescence.GLU/rs12656279_profile_position.png",4,220,900)</f>
        <v/>
      </c>
    </row>
    <row r="3349">
      <c r="A3349" t="inlineStr">
        <is>
          <t>chr5</t>
        </is>
      </c>
      <c r="B3349" t="n">
        <v>119388814</v>
      </c>
      <c r="C3349" t="inlineStr">
        <is>
          <t>G</t>
        </is>
      </c>
      <c r="D3349" t="inlineStr">
        <is>
          <t>A</t>
        </is>
      </c>
      <c r="E3349" t="inlineStr">
        <is>
          <t>rs6888436</t>
        </is>
      </c>
      <c r="F3349" t="n">
        <v>-0.001651431752</v>
      </c>
      <c r="G3349" t="n">
        <v>0.9046864614943622</v>
      </c>
      <c r="H3349" t="n">
        <v>0.016361913574631</v>
      </c>
      <c r="I3349" t="n">
        <v>0.1230359799034241</v>
      </c>
      <c r="J3349" t="n">
        <v>0.1086982303477148</v>
      </c>
      <c r="K3349" t="n">
        <v>0.5584518677739938</v>
      </c>
      <c r="L3349" t="b">
        <v>0</v>
      </c>
      <c r="M3349" t="b">
        <v>0</v>
      </c>
      <c r="N3349" t="inlineStr">
        <is>
          <t>ref</t>
        </is>
      </c>
      <c r="O3349" t="n">
        <v>-100</v>
      </c>
      <c r="P3349" t="n">
        <v>0.012634</v>
      </c>
      <c r="Q3349" t="n">
        <v>95</v>
      </c>
      <c r="R3349" t="n">
        <v>0.03867</v>
      </c>
      <c r="S3349">
        <f>IMAGE("https://mitra.stanford.edu/kundaje/oak/projects/neuro-variants/variant_position/credible/roussos_2024/variant_figures/roussos_2024.adolescence.GLU/rs6888436_count_position.png",4,220,900)</f>
        <v/>
      </c>
      <c r="T3349">
        <f>IMAGE("https://mitra.stanford.edu/kundaje/oak/projects/neuro-variants/variant_position/credible/roussos_2024/variant_figures/roussos_2024.adolescence.GLU/rs6888436_profile_position.png",4,220,900)</f>
        <v/>
      </c>
    </row>
    <row r="3350">
      <c r="A3350" t="inlineStr">
        <is>
          <t>chr5</t>
        </is>
      </c>
      <c r="B3350" t="n">
        <v>119389627</v>
      </c>
      <c r="C3350" t="inlineStr">
        <is>
          <t>T</t>
        </is>
      </c>
      <c r="D3350" t="inlineStr">
        <is>
          <t>C</t>
        </is>
      </c>
      <c r="E3350" t="inlineStr">
        <is>
          <t>rs1848554</t>
        </is>
      </c>
      <c r="F3350" t="n">
        <v>0.003007054912</v>
      </c>
      <c r="G3350" t="n">
        <v>0.6562921888931273</v>
      </c>
      <c r="H3350" t="n">
        <v>0.0137193375662991</v>
      </c>
      <c r="I3350" t="n">
        <v>0.2172747928299546</v>
      </c>
      <c r="J3350" t="n">
        <v>0.1066549499539189</v>
      </c>
      <c r="K3350" t="n">
        <v>0.5553229531474804</v>
      </c>
      <c r="L3350" t="b">
        <v>0</v>
      </c>
      <c r="M3350" t="b">
        <v>0</v>
      </c>
      <c r="N3350" t="inlineStr">
        <is>
          <t>alt</t>
        </is>
      </c>
      <c r="O3350" t="n">
        <v>0</v>
      </c>
      <c r="P3350" t="n">
        <v>0</v>
      </c>
      <c r="Q3350" t="n">
        <v>90</v>
      </c>
      <c r="R3350" t="n">
        <v>0.02136</v>
      </c>
      <c r="S3350">
        <f>IMAGE("https://mitra.stanford.edu/kundaje/oak/projects/neuro-variants/variant_position/credible/roussos_2024/variant_figures/roussos_2024.adolescence.GLU/rs1848554_count_position.png",4,220,900)</f>
        <v/>
      </c>
      <c r="T3350">
        <f>IMAGE("https://mitra.stanford.edu/kundaje/oak/projects/neuro-variants/variant_position/credible/roussos_2024/variant_figures/roussos_2024.adolescence.GLU/rs1848554_profile_position.png",4,220,900)</f>
        <v/>
      </c>
    </row>
    <row r="3351">
      <c r="A3351" t="inlineStr">
        <is>
          <t>chr5</t>
        </is>
      </c>
      <c r="B3351" t="n">
        <v>119442221</v>
      </c>
      <c r="C3351" t="inlineStr">
        <is>
          <t>A</t>
        </is>
      </c>
      <c r="D3351" t="inlineStr">
        <is>
          <t>C</t>
        </is>
      </c>
      <c r="E3351" t="inlineStr">
        <is>
          <t>rs32643</t>
        </is>
      </c>
      <c r="F3351" t="n">
        <v>0.01039371166</v>
      </c>
      <c r="G3351" t="n">
        <v>0.4826716562756382</v>
      </c>
      <c r="H3351" t="n">
        <v>0.0236429338804822</v>
      </c>
      <c r="I3351" t="n">
        <v>0.0274646925636651</v>
      </c>
      <c r="J3351" t="n">
        <v>0.0288273999614205</v>
      </c>
      <c r="K3351" t="n">
        <v>0.7739098753027808</v>
      </c>
      <c r="L3351" t="b">
        <v>0</v>
      </c>
      <c r="M3351" t="b">
        <v>0</v>
      </c>
      <c r="N3351" t="inlineStr">
        <is>
          <t>alt</t>
        </is>
      </c>
      <c r="O3351" t="n">
        <v>-85</v>
      </c>
      <c r="P3351" t="n">
        <v>0.00664</v>
      </c>
      <c r="Q3351" t="n">
        <v>-100</v>
      </c>
      <c r="R3351" t="n">
        <v>0.1011</v>
      </c>
      <c r="S3351">
        <f>IMAGE("https://mitra.stanford.edu/kundaje/oak/projects/neuro-variants/variant_position/credible/roussos_2024/variant_figures/roussos_2024.adolescence.GLU/rs32643_count_position.png",4,220,900)</f>
        <v/>
      </c>
      <c r="T3351">
        <f>IMAGE("https://mitra.stanford.edu/kundaje/oak/projects/neuro-variants/variant_position/credible/roussos_2024/variant_figures/roussos_2024.adolescence.GLU/rs32643_profile_position.png",4,220,900)</f>
        <v/>
      </c>
    </row>
    <row r="3352">
      <c r="A3352" t="inlineStr">
        <is>
          <t>chr5</t>
        </is>
      </c>
      <c r="B3352" t="n">
        <v>126910206</v>
      </c>
      <c r="C3352" t="inlineStr">
        <is>
          <t>C</t>
        </is>
      </c>
      <c r="D3352" t="inlineStr">
        <is>
          <t>T</t>
        </is>
      </c>
      <c r="E3352" t="inlineStr">
        <is>
          <t>rs11956061</t>
        </is>
      </c>
      <c r="F3352" t="n">
        <v>0.02104083</v>
      </c>
      <c r="G3352" t="n">
        <v>0.2857924180436348</v>
      </c>
      <c r="H3352" t="n">
        <v>0.0224342177064286</v>
      </c>
      <c r="I3352" t="n">
        <v>0.0404101043353654</v>
      </c>
      <c r="J3352" t="n">
        <v>0.2986832986832987</v>
      </c>
      <c r="K3352" t="n">
        <v>0.2732470346730177</v>
      </c>
      <c r="L3352" t="b">
        <v>0</v>
      </c>
      <c r="M3352" t="b">
        <v>0</v>
      </c>
      <c r="N3352" t="inlineStr">
        <is>
          <t>alt</t>
        </is>
      </c>
      <c r="O3352" t="n">
        <v>-100</v>
      </c>
      <c r="P3352" t="n">
        <v>0.011604</v>
      </c>
      <c r="Q3352" t="n">
        <v>-100</v>
      </c>
      <c r="R3352" t="n">
        <v>0.04224</v>
      </c>
      <c r="S3352">
        <f>IMAGE("https://mitra.stanford.edu/kundaje/oak/projects/neuro-variants/variant_position/credible/roussos_2024/variant_figures/roussos_2024.adolescence.GLU/rs11956061_count_position.png",4,220,900)</f>
        <v/>
      </c>
      <c r="T3352">
        <f>IMAGE("https://mitra.stanford.edu/kundaje/oak/projects/neuro-variants/variant_position/credible/roussos_2024/variant_figures/roussos_2024.adolescence.GLU/rs11956061_profile_position.png",4,220,900)</f>
        <v/>
      </c>
    </row>
    <row r="3353">
      <c r="A3353" t="inlineStr">
        <is>
          <t>chr5</t>
        </is>
      </c>
      <c r="B3353" t="n">
        <v>126971918</v>
      </c>
      <c r="C3353" t="inlineStr">
        <is>
          <t>C</t>
        </is>
      </c>
      <c r="D3353" t="inlineStr">
        <is>
          <t>T</t>
        </is>
      </c>
      <c r="E3353" t="inlineStr">
        <is>
          <t>rs4836307</t>
        </is>
      </c>
      <c r="F3353" t="n">
        <v>-0.0097356583</v>
      </c>
      <c r="G3353" t="n">
        <v>0.5322351544577337</v>
      </c>
      <c r="H3353" t="n">
        <v>0.0079907297136446</v>
      </c>
      <c r="I3353" t="n">
        <v>0.7943309762165983</v>
      </c>
      <c r="J3353" t="n">
        <v>0.2190482314193654</v>
      </c>
      <c r="K3353" t="n">
        <v>0.370146552510113</v>
      </c>
      <c r="L3353" t="b">
        <v>0</v>
      </c>
      <c r="M3353" t="b">
        <v>0</v>
      </c>
      <c r="N3353" t="inlineStr">
        <is>
          <t>ref</t>
        </is>
      </c>
      <c r="O3353" t="n">
        <v>90</v>
      </c>
      <c r="P3353" t="n">
        <v>0.002457</v>
      </c>
      <c r="Q3353" t="n">
        <v>-70</v>
      </c>
      <c r="R3353" t="n">
        <v>0.0731</v>
      </c>
      <c r="S3353">
        <f>IMAGE("https://mitra.stanford.edu/kundaje/oak/projects/neuro-variants/variant_position/credible/roussos_2024/variant_figures/roussos_2024.adolescence.GLU/rs4836307_count_position.png",4,220,900)</f>
        <v/>
      </c>
      <c r="T3353">
        <f>IMAGE("https://mitra.stanford.edu/kundaje/oak/projects/neuro-variants/variant_position/credible/roussos_2024/variant_figures/roussos_2024.adolescence.GLU/rs4836307_profile_position.png",4,220,900)</f>
        <v/>
      </c>
    </row>
    <row r="3354">
      <c r="A3354" t="inlineStr">
        <is>
          <t>chr5</t>
        </is>
      </c>
      <c r="B3354" t="n">
        <v>126981234</v>
      </c>
      <c r="C3354" t="inlineStr">
        <is>
          <t>G</t>
        </is>
      </c>
      <c r="D3354" t="inlineStr">
        <is>
          <t>A</t>
        </is>
      </c>
      <c r="E3354" t="inlineStr">
        <is>
          <t>rs12657369</t>
        </is>
      </c>
      <c r="F3354" t="n">
        <v>-0.0083788365199999</v>
      </c>
      <c r="G3354" t="n">
        <v>0.5409685388467368</v>
      </c>
      <c r="H3354" t="n">
        <v>0.0144528037851032</v>
      </c>
      <c r="I3354" t="n">
        <v>0.1869275132447899</v>
      </c>
      <c r="J3354" t="n">
        <v>0.1187203063491723</v>
      </c>
      <c r="K3354" t="n">
        <v>0.5352598199176196</v>
      </c>
      <c r="L3354" t="b">
        <v>0</v>
      </c>
      <c r="M3354" t="b">
        <v>0</v>
      </c>
      <c r="N3354" t="inlineStr">
        <is>
          <t>ref</t>
        </is>
      </c>
      <c r="O3354" t="n">
        <v>100</v>
      </c>
      <c r="P3354" t="n">
        <v>0.00299</v>
      </c>
      <c r="Q3354" t="n">
        <v>-95</v>
      </c>
      <c r="R3354" t="n">
        <v>0.053</v>
      </c>
      <c r="S3354">
        <f>IMAGE("https://mitra.stanford.edu/kundaje/oak/projects/neuro-variants/variant_position/credible/roussos_2024/variant_figures/roussos_2024.adolescence.GLU/rs12657369_count_position.png",4,220,900)</f>
        <v/>
      </c>
      <c r="T3354">
        <f>IMAGE("https://mitra.stanford.edu/kundaje/oak/projects/neuro-variants/variant_position/credible/roussos_2024/variant_figures/roussos_2024.adolescence.GLU/rs12657369_profile_position.png",4,220,900)</f>
        <v/>
      </c>
    </row>
    <row r="3355">
      <c r="A3355" t="inlineStr">
        <is>
          <t>chr5</t>
        </is>
      </c>
      <c r="B3355" t="n">
        <v>126988408</v>
      </c>
      <c r="C3355" t="inlineStr">
        <is>
          <t>C</t>
        </is>
      </c>
      <c r="D3355" t="inlineStr">
        <is>
          <t>T</t>
        </is>
      </c>
      <c r="E3355" t="inlineStr">
        <is>
          <t>rs10057084</t>
        </is>
      </c>
      <c r="F3355" t="n">
        <v>-0.006414416432</v>
      </c>
      <c r="G3355" t="n">
        <v>0.6591599605290559</v>
      </c>
      <c r="H3355" t="n">
        <v>0.0089621371135453</v>
      </c>
      <c r="I3355" t="n">
        <v>0.6607699195075654</v>
      </c>
      <c r="J3355" t="n">
        <v>0.07428681655485769</v>
      </c>
      <c r="K3355" t="n">
        <v>0.6318882978431026</v>
      </c>
      <c r="L3355" t="b">
        <v>0</v>
      </c>
      <c r="M3355" t="b">
        <v>0</v>
      </c>
      <c r="N3355" t="inlineStr">
        <is>
          <t>ref</t>
        </is>
      </c>
      <c r="O3355" t="n">
        <v>-85</v>
      </c>
      <c r="P3355" t="n">
        <v>0.00716</v>
      </c>
      <c r="Q3355" t="n">
        <v>-95</v>
      </c>
      <c r="R3355" t="n">
        <v>0.04803</v>
      </c>
      <c r="S3355">
        <f>IMAGE("https://mitra.stanford.edu/kundaje/oak/projects/neuro-variants/variant_position/credible/roussos_2024/variant_figures/roussos_2024.adolescence.GLU/rs10057084_count_position.png",4,220,900)</f>
        <v/>
      </c>
      <c r="T3355">
        <f>IMAGE("https://mitra.stanford.edu/kundaje/oak/projects/neuro-variants/variant_position/credible/roussos_2024/variant_figures/roussos_2024.adolescence.GLU/rs10057084_profile_position.png",4,220,900)</f>
        <v/>
      </c>
    </row>
    <row r="3356">
      <c r="A3356" t="inlineStr">
        <is>
          <t>chr5</t>
        </is>
      </c>
      <c r="B3356" t="n">
        <v>127011852</v>
      </c>
      <c r="C3356" t="inlineStr">
        <is>
          <t>G</t>
        </is>
      </c>
      <c r="D3356" t="inlineStr">
        <is>
          <t>A</t>
        </is>
      </c>
      <c r="E3356" t="inlineStr">
        <is>
          <t>rs9327428</t>
        </is>
      </c>
      <c r="F3356" t="n">
        <v>-0.0327840844</v>
      </c>
      <c r="G3356" t="n">
        <v>0.1606630198963712</v>
      </c>
      <c r="H3356" t="n">
        <v>0.014869813388632</v>
      </c>
      <c r="I3356" t="n">
        <v>0.1810301520424268</v>
      </c>
      <c r="J3356" t="n">
        <v>0.1090411585256945</v>
      </c>
      <c r="K3356" t="n">
        <v>0.5505039989483623</v>
      </c>
      <c r="L3356" t="b">
        <v>0</v>
      </c>
      <c r="M3356" t="b">
        <v>0</v>
      </c>
      <c r="N3356" t="inlineStr">
        <is>
          <t>ref</t>
        </is>
      </c>
      <c r="O3356" t="n">
        <v>-100</v>
      </c>
      <c r="P3356" t="n">
        <v>0.01454</v>
      </c>
      <c r="Q3356" t="n">
        <v>90</v>
      </c>
      <c r="R3356" t="n">
        <v>0.09619999999999999</v>
      </c>
      <c r="S3356">
        <f>IMAGE("https://mitra.stanford.edu/kundaje/oak/projects/neuro-variants/variant_position/credible/roussos_2024/variant_figures/roussos_2024.adolescence.GLU/rs9327428_count_position.png",4,220,900)</f>
        <v/>
      </c>
      <c r="T3356">
        <f>IMAGE("https://mitra.stanford.edu/kundaje/oak/projects/neuro-variants/variant_position/credible/roussos_2024/variant_figures/roussos_2024.adolescence.GLU/rs9327428_profile_position.png",4,220,900)</f>
        <v/>
      </c>
    </row>
    <row r="3357">
      <c r="A3357" t="inlineStr">
        <is>
          <t>chr5</t>
        </is>
      </c>
      <c r="B3357" t="n">
        <v>127021395</v>
      </c>
      <c r="C3357" t="inlineStr">
        <is>
          <t>T</t>
        </is>
      </c>
      <c r="D3357" t="inlineStr">
        <is>
          <t>A</t>
        </is>
      </c>
      <c r="E3357" t="inlineStr">
        <is>
          <t>rs2108458</t>
        </is>
      </c>
      <c r="F3357" t="n">
        <v>-0.00531509746</v>
      </c>
      <c r="G3357" t="n">
        <v>0.710604103624085</v>
      </c>
      <c r="H3357" t="n">
        <v>0.0322070499688226</v>
      </c>
      <c r="I3357" t="n">
        <v>0.006778915687349</v>
      </c>
      <c r="J3357" t="n">
        <v>0.0472726493345049</v>
      </c>
      <c r="K3357" t="n">
        <v>0.7086656264757695</v>
      </c>
      <c r="L3357" t="b">
        <v>1</v>
      </c>
      <c r="M3357" t="b">
        <v>0</v>
      </c>
      <c r="N3357" t="inlineStr">
        <is>
          <t>ref</t>
        </is>
      </c>
      <c r="O3357" t="n">
        <v>-85</v>
      </c>
      <c r="P3357" t="n">
        <v>0.009124999999999999</v>
      </c>
      <c r="Q3357" t="n">
        <v>-85</v>
      </c>
      <c r="R3357" t="n">
        <v>0.09314</v>
      </c>
      <c r="S3357">
        <f>IMAGE("https://mitra.stanford.edu/kundaje/oak/projects/neuro-variants/variant_position/credible/roussos_2024/variant_figures/roussos_2024.adolescence.GLU/rs2108458_count_position.png",4,220,900)</f>
        <v/>
      </c>
      <c r="T3357">
        <f>IMAGE("https://mitra.stanford.edu/kundaje/oak/projects/neuro-variants/variant_position/credible/roussos_2024/variant_figures/roussos_2024.adolescence.GLU/rs2108458_profile_position.png",4,220,900)</f>
        <v/>
      </c>
    </row>
    <row r="3358">
      <c r="A3358" t="inlineStr">
        <is>
          <t>chr5</t>
        </is>
      </c>
      <c r="B3358" t="n">
        <v>127024983</v>
      </c>
      <c r="C3358" t="inlineStr">
        <is>
          <t>G</t>
        </is>
      </c>
      <c r="D3358" t="inlineStr">
        <is>
          <t>A</t>
        </is>
      </c>
      <c r="E3358" t="inlineStr">
        <is>
          <t>rs7706333</t>
        </is>
      </c>
      <c r="F3358" t="n">
        <v>-0.0532537886</v>
      </c>
      <c r="G3358" t="n">
        <v>0.055911584705481</v>
      </c>
      <c r="H3358" t="n">
        <v>0.0117468163175186</v>
      </c>
      <c r="I3358" t="n">
        <v>0.3475649480796518</v>
      </c>
      <c r="J3358" t="n">
        <v>0.0927406391323916</v>
      </c>
      <c r="K3358" t="n">
        <v>0.5892851778016747</v>
      </c>
      <c r="L3358" t="b">
        <v>0</v>
      </c>
      <c r="M3358" t="b">
        <v>0</v>
      </c>
      <c r="N3358" t="inlineStr">
        <is>
          <t>ref</t>
        </is>
      </c>
      <c r="O3358" t="n">
        <v>-100</v>
      </c>
      <c r="P3358" t="n">
        <v>0.01181</v>
      </c>
      <c r="Q3358" t="n">
        <v>-20</v>
      </c>
      <c r="R3358" t="n">
        <v>0.008545000000000001</v>
      </c>
      <c r="S3358">
        <f>IMAGE("https://mitra.stanford.edu/kundaje/oak/projects/neuro-variants/variant_position/credible/roussos_2024/variant_figures/roussos_2024.adolescence.GLU/rs7706333_count_position.png",4,220,900)</f>
        <v/>
      </c>
      <c r="T3358">
        <f>IMAGE("https://mitra.stanford.edu/kundaje/oak/projects/neuro-variants/variant_position/credible/roussos_2024/variant_figures/roussos_2024.adolescence.GLU/rs7706333_profile_position.png",4,220,900)</f>
        <v/>
      </c>
    </row>
    <row r="3359">
      <c r="A3359" t="inlineStr">
        <is>
          <t>chr5</t>
        </is>
      </c>
      <c r="B3359" t="n">
        <v>127028162</v>
      </c>
      <c r="C3359" t="inlineStr">
        <is>
          <t>G</t>
        </is>
      </c>
      <c r="D3359" t="inlineStr">
        <is>
          <t>A</t>
        </is>
      </c>
      <c r="E3359" t="inlineStr">
        <is>
          <t>rs1013662</t>
        </is>
      </c>
      <c r="F3359" t="n">
        <v>-0.0761898464</v>
      </c>
      <c r="G3359" t="n">
        <v>0.0174395133858386</v>
      </c>
      <c r="H3359" t="n">
        <v>0.0146038121005402</v>
      </c>
      <c r="I3359" t="n">
        <v>0.1748152307993481</v>
      </c>
      <c r="J3359" t="n">
        <v>0.1681133949175186</v>
      </c>
      <c r="K3359" t="n">
        <v>0.4383414624670289</v>
      </c>
      <c r="L3359" t="b">
        <v>1</v>
      </c>
      <c r="M3359" t="b">
        <v>0</v>
      </c>
      <c r="N3359" t="inlineStr">
        <is>
          <t>ref</t>
        </is>
      </c>
      <c r="O3359" t="n">
        <v>100</v>
      </c>
      <c r="P3359" t="n">
        <v>0.003056</v>
      </c>
      <c r="Q3359" t="n">
        <v>-100</v>
      </c>
      <c r="R3359" t="n">
        <v>0.11194</v>
      </c>
      <c r="S3359">
        <f>IMAGE("https://mitra.stanford.edu/kundaje/oak/projects/neuro-variants/variant_position/credible/roussos_2024/variant_figures/roussos_2024.adolescence.GLU/rs1013662_count_position.png",4,220,900)</f>
        <v/>
      </c>
      <c r="T3359">
        <f>IMAGE("https://mitra.stanford.edu/kundaje/oak/projects/neuro-variants/variant_position/credible/roussos_2024/variant_figures/roussos_2024.adolescence.GLU/rs1013662_profile_position.png",4,220,900)</f>
        <v/>
      </c>
    </row>
    <row r="3360">
      <c r="A3360" t="inlineStr">
        <is>
          <t>chr5</t>
        </is>
      </c>
      <c r="B3360" t="n">
        <v>127055270</v>
      </c>
      <c r="C3360" t="inlineStr">
        <is>
          <t>T</t>
        </is>
      </c>
      <c r="D3360" t="inlineStr">
        <is>
          <t>C</t>
        </is>
      </c>
      <c r="E3360" t="inlineStr">
        <is>
          <t>rs6899133</t>
        </is>
      </c>
      <c r="F3360" t="n">
        <v>0.08195632759999991</v>
      </c>
      <c r="G3360" t="n">
        <v>0.012733152222573</v>
      </c>
      <c r="H3360" t="n">
        <v>0.0136689952609095</v>
      </c>
      <c r="I3360" t="n">
        <v>0.2166926291238974</v>
      </c>
      <c r="J3360" t="n">
        <v>0.1229111744575661</v>
      </c>
      <c r="K3360" t="n">
        <v>0.5200760174820964</v>
      </c>
      <c r="L3360" t="b">
        <v>1</v>
      </c>
      <c r="M3360" t="b">
        <v>0</v>
      </c>
      <c r="N3360" t="inlineStr">
        <is>
          <t>alt</t>
        </is>
      </c>
      <c r="O3360" t="n">
        <v>100</v>
      </c>
      <c r="P3360" t="n">
        <v>0.008869999999999999</v>
      </c>
      <c r="Q3360" t="n">
        <v>100</v>
      </c>
      <c r="R3360" t="n">
        <v>0.04132</v>
      </c>
      <c r="S3360">
        <f>IMAGE("https://mitra.stanford.edu/kundaje/oak/projects/neuro-variants/variant_position/credible/roussos_2024/variant_figures/roussos_2024.adolescence.GLU/rs6899133_count_position.png",4,220,900)</f>
        <v/>
      </c>
      <c r="T3360">
        <f>IMAGE("https://mitra.stanford.edu/kundaje/oak/projects/neuro-variants/variant_position/credible/roussos_2024/variant_figures/roussos_2024.adolescence.GLU/rs6899133_profile_position.png",4,220,900)</f>
        <v/>
      </c>
    </row>
    <row r="3361">
      <c r="A3361" t="inlineStr">
        <is>
          <t>chr5</t>
        </is>
      </c>
      <c r="B3361" t="n">
        <v>127073496</v>
      </c>
      <c r="C3361" t="inlineStr">
        <is>
          <t>C</t>
        </is>
      </c>
      <c r="D3361" t="inlineStr">
        <is>
          <t>G</t>
        </is>
      </c>
      <c r="E3361" t="inlineStr">
        <is>
          <t>rs13154281</t>
        </is>
      </c>
      <c r="F3361" t="n">
        <v>-0.0466823752</v>
      </c>
      <c r="G3361" t="n">
        <v>0.07984921585816231</v>
      </c>
      <c r="H3361" t="n">
        <v>0.0195258619645126</v>
      </c>
      <c r="I3361" t="n">
        <v>0.0602774321087643</v>
      </c>
      <c r="J3361" t="n">
        <v>0.7399504183009338</v>
      </c>
      <c r="K3361" t="n">
        <v>0.0113329449245263</v>
      </c>
      <c r="L3361" t="b">
        <v>0</v>
      </c>
      <c r="M3361" t="b">
        <v>0</v>
      </c>
      <c r="N3361" t="inlineStr">
        <is>
          <t>ref</t>
        </is>
      </c>
      <c r="O3361" t="n">
        <v>-50</v>
      </c>
      <c r="P3361" t="n">
        <v>0.005554</v>
      </c>
      <c r="Q3361" t="n">
        <v>-50</v>
      </c>
      <c r="R3361" t="n">
        <v>0.05225</v>
      </c>
      <c r="S3361">
        <f>IMAGE("https://mitra.stanford.edu/kundaje/oak/projects/neuro-variants/variant_position/credible/roussos_2024/variant_figures/roussos_2024.adolescence.GLU/rs13154281_count_position.png",4,220,900)</f>
        <v/>
      </c>
      <c r="T3361">
        <f>IMAGE("https://mitra.stanford.edu/kundaje/oak/projects/neuro-variants/variant_position/credible/roussos_2024/variant_figures/roussos_2024.adolescence.GLU/rs13154281_profile_position.png",4,220,900)</f>
        <v/>
      </c>
    </row>
    <row r="3362">
      <c r="A3362" t="inlineStr">
        <is>
          <t>chr5</t>
        </is>
      </c>
      <c r="B3362" t="n">
        <v>127091854</v>
      </c>
      <c r="C3362" t="inlineStr">
        <is>
          <t>G</t>
        </is>
      </c>
      <c r="D3362" t="inlineStr">
        <is>
          <t>A</t>
        </is>
      </c>
      <c r="E3362" t="inlineStr">
        <is>
          <t>rs2191209</t>
        </is>
      </c>
      <c r="F3362" t="n">
        <v>-0.065391585</v>
      </c>
      <c r="G3362" t="n">
        <v>0.0325930878592442</v>
      </c>
      <c r="H3362" t="n">
        <v>0.0210370647154431</v>
      </c>
      <c r="I3362" t="n">
        <v>0.0507141285265678</v>
      </c>
      <c r="J3362" t="n">
        <v>0.166347314800923</v>
      </c>
      <c r="K3362" t="n">
        <v>0.4576843554048364</v>
      </c>
      <c r="L3362" t="b">
        <v>0</v>
      </c>
      <c r="M3362" t="b">
        <v>0</v>
      </c>
      <c r="N3362" t="inlineStr">
        <is>
          <t>ref</t>
        </is>
      </c>
      <c r="O3362" t="n">
        <v>-20</v>
      </c>
      <c r="P3362" t="n">
        <v>0.001297</v>
      </c>
      <c r="Q3362" t="n">
        <v>-75</v>
      </c>
      <c r="R3362" t="n">
        <v>0.04242</v>
      </c>
      <c r="S3362">
        <f>IMAGE("https://mitra.stanford.edu/kundaje/oak/projects/neuro-variants/variant_position/credible/roussos_2024/variant_figures/roussos_2024.adolescence.GLU/rs2191209_count_position.png",4,220,900)</f>
        <v/>
      </c>
      <c r="T3362">
        <f>IMAGE("https://mitra.stanford.edu/kundaje/oak/projects/neuro-variants/variant_position/credible/roussos_2024/variant_figures/roussos_2024.adolescence.GLU/rs2191209_profile_position.png",4,220,900)</f>
        <v/>
      </c>
    </row>
    <row r="3363">
      <c r="A3363" t="inlineStr">
        <is>
          <t>chr5</t>
        </is>
      </c>
      <c r="B3363" t="n">
        <v>127092895</v>
      </c>
      <c r="C3363" t="inlineStr">
        <is>
          <t>C</t>
        </is>
      </c>
      <c r="D3363" t="inlineStr">
        <is>
          <t>T</t>
        </is>
      </c>
      <c r="E3363" t="inlineStr">
        <is>
          <t>rs7731621</t>
        </is>
      </c>
      <c r="F3363" t="n">
        <v>-0.0547687182</v>
      </c>
      <c r="G3363" t="n">
        <v>0.0544133770197813</v>
      </c>
      <c r="H3363" t="n">
        <v>0.00964651723869</v>
      </c>
      <c r="I3363" t="n">
        <v>0.5824327934641294</v>
      </c>
      <c r="J3363" t="n">
        <v>0.211995341892249</v>
      </c>
      <c r="K3363" t="n">
        <v>0.3872561081341703</v>
      </c>
      <c r="L3363" t="b">
        <v>0</v>
      </c>
      <c r="M3363" t="b">
        <v>0</v>
      </c>
      <c r="N3363" t="inlineStr">
        <is>
          <t>ref</t>
        </is>
      </c>
      <c r="O3363" t="n">
        <v>95</v>
      </c>
      <c r="P3363" t="n">
        <v>0.001314</v>
      </c>
      <c r="Q3363" t="n">
        <v>50</v>
      </c>
      <c r="R3363" t="n">
        <v>0.04626</v>
      </c>
      <c r="S3363">
        <f>IMAGE("https://mitra.stanford.edu/kundaje/oak/projects/neuro-variants/variant_position/credible/roussos_2024/variant_figures/roussos_2024.adolescence.GLU/rs7731621_count_position.png",4,220,900)</f>
        <v/>
      </c>
      <c r="T3363">
        <f>IMAGE("https://mitra.stanford.edu/kundaje/oak/projects/neuro-variants/variant_position/credible/roussos_2024/variant_figures/roussos_2024.adolescence.GLU/rs7731621_profile_position.png",4,220,900)</f>
        <v/>
      </c>
    </row>
    <row r="3364">
      <c r="A3364" t="inlineStr">
        <is>
          <t>chr5</t>
        </is>
      </c>
      <c r="B3364" t="n">
        <v>127115607</v>
      </c>
      <c r="C3364" t="inlineStr">
        <is>
          <t>G</t>
        </is>
      </c>
      <c r="D3364" t="inlineStr">
        <is>
          <t>A</t>
        </is>
      </c>
      <c r="E3364" t="inlineStr">
        <is>
          <t>rs13190493</t>
        </is>
      </c>
      <c r="F3364" t="n">
        <v>-0.0117249209</v>
      </c>
      <c r="G3364" t="n">
        <v>0.4807133365327791</v>
      </c>
      <c r="H3364" t="n">
        <v>0.0088074027114808</v>
      </c>
      <c r="I3364" t="n">
        <v>0.6881305965139086</v>
      </c>
      <c r="J3364" t="n">
        <v>0.2638275071264762</v>
      </c>
      <c r="K3364" t="n">
        <v>0.3163852973884908</v>
      </c>
      <c r="L3364" t="b">
        <v>0</v>
      </c>
      <c r="M3364" t="b">
        <v>0</v>
      </c>
      <c r="N3364" t="inlineStr">
        <is>
          <t>ref</t>
        </is>
      </c>
      <c r="O3364" t="n">
        <v>-50</v>
      </c>
      <c r="P3364" t="n">
        <v>0.0003738</v>
      </c>
      <c r="Q3364" t="n">
        <v>100</v>
      </c>
      <c r="R3364" t="n">
        <v>0.1272</v>
      </c>
      <c r="S3364">
        <f>IMAGE("https://mitra.stanford.edu/kundaje/oak/projects/neuro-variants/variant_position/credible/roussos_2024/variant_figures/roussos_2024.adolescence.GLU/rs13190493_count_position.png",4,220,900)</f>
        <v/>
      </c>
      <c r="T3364">
        <f>IMAGE("https://mitra.stanford.edu/kundaje/oak/projects/neuro-variants/variant_position/credible/roussos_2024/variant_figures/roussos_2024.adolescence.GLU/rs13190493_profile_position.png",4,220,900)</f>
        <v/>
      </c>
    </row>
    <row r="3365">
      <c r="A3365" t="inlineStr">
        <is>
          <t>chr5</t>
        </is>
      </c>
      <c r="B3365" t="n">
        <v>127172658</v>
      </c>
      <c r="C3365" t="inlineStr">
        <is>
          <t>T</t>
        </is>
      </c>
      <c r="D3365" t="inlineStr">
        <is>
          <t>C</t>
        </is>
      </c>
      <c r="E3365" t="inlineStr">
        <is>
          <t>rs248081</t>
        </is>
      </c>
      <c r="F3365" t="n">
        <v>0.0328048726</v>
      </c>
      <c r="G3365" t="n">
        <v>0.1472458058340409</v>
      </c>
      <c r="H3365" t="n">
        <v>0.010730879032753</v>
      </c>
      <c r="I3365" t="n">
        <v>0.42883385329213</v>
      </c>
      <c r="J3365" t="n">
        <v>0.4555515070978989</v>
      </c>
      <c r="K3365" t="n">
        <v>0.1210640321690743</v>
      </c>
      <c r="L3365" t="b">
        <v>0</v>
      </c>
      <c r="M3365" t="b">
        <v>0</v>
      </c>
      <c r="N3365" t="inlineStr">
        <is>
          <t>alt</t>
        </is>
      </c>
      <c r="O3365" t="n">
        <v>100</v>
      </c>
      <c r="P3365" t="n">
        <v>0.002388</v>
      </c>
      <c r="Q3365" t="n">
        <v>85</v>
      </c>
      <c r="R3365" t="n">
        <v>0.06152</v>
      </c>
      <c r="S3365">
        <f>IMAGE("https://mitra.stanford.edu/kundaje/oak/projects/neuro-variants/variant_position/credible/roussos_2024/variant_figures/roussos_2024.adolescence.GLU/rs248081_count_position.png",4,220,900)</f>
        <v/>
      </c>
      <c r="T3365">
        <f>IMAGE("https://mitra.stanford.edu/kundaje/oak/projects/neuro-variants/variant_position/credible/roussos_2024/variant_figures/roussos_2024.adolescence.GLU/rs248081_profile_position.png",4,220,900)</f>
        <v/>
      </c>
    </row>
    <row r="3366">
      <c r="A3366" t="inlineStr">
        <is>
          <t>chr5</t>
        </is>
      </c>
      <c r="B3366" t="n">
        <v>127175105</v>
      </c>
      <c r="C3366" t="inlineStr">
        <is>
          <t>A</t>
        </is>
      </c>
      <c r="D3366" t="inlineStr">
        <is>
          <t>G</t>
        </is>
      </c>
      <c r="E3366" t="inlineStr">
        <is>
          <t>rs248090</t>
        </is>
      </c>
      <c r="F3366" t="n">
        <v>0.0365519786</v>
      </c>
      <c r="G3366" t="n">
        <v>0.1233778792187509</v>
      </c>
      <c r="H3366" t="n">
        <v>0.0107141043471269</v>
      </c>
      <c r="I3366" t="n">
        <v>0.437328736375193</v>
      </c>
      <c r="J3366" t="n">
        <v>0.0024605096770044</v>
      </c>
      <c r="K3366" t="n">
        <v>0.949707330667244</v>
      </c>
      <c r="L3366" t="b">
        <v>0</v>
      </c>
      <c r="M3366" t="b">
        <v>0</v>
      </c>
      <c r="N3366" t="inlineStr">
        <is>
          <t>alt</t>
        </is>
      </c>
      <c r="O3366" t="n">
        <v>-5</v>
      </c>
      <c r="P3366" t="n">
        <v>0.0002518</v>
      </c>
      <c r="Q3366" t="n">
        <v>100</v>
      </c>
      <c r="R3366" t="n">
        <v>0.0611</v>
      </c>
      <c r="S3366">
        <f>IMAGE("https://mitra.stanford.edu/kundaje/oak/projects/neuro-variants/variant_position/credible/roussos_2024/variant_figures/roussos_2024.adolescence.GLU/rs248090_count_position.png",4,220,900)</f>
        <v/>
      </c>
      <c r="T3366">
        <f>IMAGE("https://mitra.stanford.edu/kundaje/oak/projects/neuro-variants/variant_position/credible/roussos_2024/variant_figures/roussos_2024.adolescence.GLU/rs248090_profile_position.png",4,220,900)</f>
        <v/>
      </c>
    </row>
    <row r="3367">
      <c r="A3367" t="inlineStr">
        <is>
          <t>chr5</t>
        </is>
      </c>
      <c r="B3367" t="n">
        <v>127182851</v>
      </c>
      <c r="C3367" t="inlineStr">
        <is>
          <t>A</t>
        </is>
      </c>
      <c r="D3367" t="inlineStr">
        <is>
          <t>G</t>
        </is>
      </c>
      <c r="E3367" t="inlineStr">
        <is>
          <t>rs248104</t>
        </is>
      </c>
      <c r="F3367" t="n">
        <v>0.137317904</v>
      </c>
      <c r="G3367" t="n">
        <v>0.0028352541664191</v>
      </c>
      <c r="H3367" t="n">
        <v>0.026702857368283</v>
      </c>
      <c r="I3367" t="n">
        <v>0.0154971189416267</v>
      </c>
      <c r="J3367" t="n">
        <v>0.490870251694994</v>
      </c>
      <c r="K3367" t="n">
        <v>0.08755924719446551</v>
      </c>
      <c r="L3367" t="b">
        <v>1</v>
      </c>
      <c r="M3367" t="b">
        <v>1</v>
      </c>
      <c r="N3367" t="inlineStr">
        <is>
          <t>alt</t>
        </is>
      </c>
      <c r="O3367" t="n">
        <v>75</v>
      </c>
      <c r="P3367" t="n">
        <v>0.002808</v>
      </c>
      <c r="Q3367" t="n">
        <v>-45</v>
      </c>
      <c r="R3367" t="n">
        <v>0.04492</v>
      </c>
      <c r="S3367">
        <f>IMAGE("https://mitra.stanford.edu/kundaje/oak/projects/neuro-variants/variant_position/credible/roussos_2024/variant_figures/roussos_2024.adolescence.GLU/rs248104_count_position.png",4,220,900)</f>
        <v/>
      </c>
      <c r="T3367">
        <f>IMAGE("https://mitra.stanford.edu/kundaje/oak/projects/neuro-variants/variant_position/credible/roussos_2024/variant_figures/roussos_2024.adolescence.GLU/rs248104_profile_position.png",4,220,900)</f>
        <v/>
      </c>
    </row>
    <row r="3368">
      <c r="A3368" t="inlineStr">
        <is>
          <t>chr5</t>
        </is>
      </c>
      <c r="B3368" t="n">
        <v>127185450</v>
      </c>
      <c r="C3368" t="inlineStr">
        <is>
          <t>G</t>
        </is>
      </c>
      <c r="D3368" t="inlineStr">
        <is>
          <t>A</t>
        </is>
      </c>
      <c r="E3368" t="inlineStr">
        <is>
          <t>rs248115</t>
        </is>
      </c>
      <c r="F3368" t="n">
        <v>-0.07402024539999991</v>
      </c>
      <c r="G3368" t="n">
        <v>0.0201965119901613</v>
      </c>
      <c r="H3368" t="n">
        <v>0.0123197081488227</v>
      </c>
      <c r="I3368" t="n">
        <v>0.2980993981505293</v>
      </c>
      <c r="J3368" t="n">
        <v>0.25183788070386</v>
      </c>
      <c r="K3368" t="n">
        <v>0.3304939680631212</v>
      </c>
      <c r="L3368" t="b">
        <v>1</v>
      </c>
      <c r="M3368" t="b">
        <v>0</v>
      </c>
      <c r="N3368" t="inlineStr">
        <is>
          <t>ref</t>
        </is>
      </c>
      <c r="O3368" t="n">
        <v>100</v>
      </c>
      <c r="P3368" t="n">
        <v>0.01173</v>
      </c>
      <c r="Q3368" t="n">
        <v>-15</v>
      </c>
      <c r="R3368" t="n">
        <v>0.05225</v>
      </c>
      <c r="S3368">
        <f>IMAGE("https://mitra.stanford.edu/kundaje/oak/projects/neuro-variants/variant_position/credible/roussos_2024/variant_figures/roussos_2024.adolescence.GLU/rs248115_count_position.png",4,220,900)</f>
        <v/>
      </c>
      <c r="T3368">
        <f>IMAGE("https://mitra.stanford.edu/kundaje/oak/projects/neuro-variants/variant_position/credible/roussos_2024/variant_figures/roussos_2024.adolescence.GLU/rs248115_profile_position.png",4,220,900)</f>
        <v/>
      </c>
    </row>
    <row r="3369">
      <c r="A3369" t="inlineStr">
        <is>
          <t>chr5</t>
        </is>
      </c>
      <c r="B3369" t="n">
        <v>127185845</v>
      </c>
      <c r="C3369" t="inlineStr">
        <is>
          <t>G</t>
        </is>
      </c>
      <c r="D3369" t="inlineStr">
        <is>
          <t>T</t>
        </is>
      </c>
      <c r="E3369" t="inlineStr">
        <is>
          <t>rs248116</t>
        </is>
      </c>
      <c r="F3369" t="n">
        <v>0.00704908548</v>
      </c>
      <c r="G3369" t="n">
        <v>0.6106573358293581</v>
      </c>
      <c r="H3369" t="n">
        <v>0.0368335915933289</v>
      </c>
      <c r="I3369" t="n">
        <v>0.0037077062320784</v>
      </c>
      <c r="J3369" t="n">
        <v>0.1390216544855719</v>
      </c>
      <c r="K3369" t="n">
        <v>0.4966523773730821</v>
      </c>
      <c r="L3369" t="b">
        <v>1</v>
      </c>
      <c r="M3369" t="b">
        <v>1</v>
      </c>
      <c r="N3369" t="inlineStr">
        <is>
          <t>alt</t>
        </is>
      </c>
      <c r="O3369" t="n">
        <v>-100</v>
      </c>
      <c r="P3369" t="n">
        <v>0.009690000000000001</v>
      </c>
      <c r="Q3369" t="n">
        <v>40</v>
      </c>
      <c r="R3369" t="n">
        <v>0.02328</v>
      </c>
      <c r="S3369">
        <f>IMAGE("https://mitra.stanford.edu/kundaje/oak/projects/neuro-variants/variant_position/credible/roussos_2024/variant_figures/roussos_2024.adolescence.GLU/rs248116_count_position.png",4,220,900)</f>
        <v/>
      </c>
      <c r="T3369">
        <f>IMAGE("https://mitra.stanford.edu/kundaje/oak/projects/neuro-variants/variant_position/credible/roussos_2024/variant_figures/roussos_2024.adolescence.GLU/rs248116_profile_position.png",4,220,900)</f>
        <v/>
      </c>
    </row>
    <row r="3370">
      <c r="A3370" t="inlineStr">
        <is>
          <t>chr5</t>
        </is>
      </c>
      <c r="B3370" t="n">
        <v>127185953</v>
      </c>
      <c r="C3370" t="inlineStr">
        <is>
          <t>C</t>
        </is>
      </c>
      <c r="D3370" t="inlineStr">
        <is>
          <t>T</t>
        </is>
      </c>
      <c r="E3370" t="inlineStr">
        <is>
          <t>rs248117</t>
        </is>
      </c>
      <c r="F3370" t="n">
        <v>0.00855600908</v>
      </c>
      <c r="G3370" t="n">
        <v>0.5585014469379919</v>
      </c>
      <c r="H3370" t="n">
        <v>0.009427349985181899</v>
      </c>
      <c r="I3370" t="n">
        <v>0.5957611234991348</v>
      </c>
      <c r="J3370" t="n">
        <v>0.1168099106243435</v>
      </c>
      <c r="K3370" t="n">
        <v>0.5378148600677014</v>
      </c>
      <c r="L3370" t="b">
        <v>0</v>
      </c>
      <c r="M3370" t="b">
        <v>0</v>
      </c>
      <c r="N3370" t="inlineStr">
        <is>
          <t>alt</t>
        </is>
      </c>
      <c r="O3370" t="n">
        <v>100</v>
      </c>
      <c r="P3370" t="n">
        <v>0.007889999999999999</v>
      </c>
      <c r="Q3370" t="n">
        <v>-40</v>
      </c>
      <c r="R3370" t="n">
        <v>0.07587000000000001</v>
      </c>
      <c r="S3370">
        <f>IMAGE("https://mitra.stanford.edu/kundaje/oak/projects/neuro-variants/variant_position/credible/roussos_2024/variant_figures/roussos_2024.adolescence.GLU/rs248117_count_position.png",4,220,900)</f>
        <v/>
      </c>
      <c r="T3370">
        <f>IMAGE("https://mitra.stanford.edu/kundaje/oak/projects/neuro-variants/variant_position/credible/roussos_2024/variant_figures/roussos_2024.adolescence.GLU/rs248117_profile_position.png",4,220,900)</f>
        <v/>
      </c>
    </row>
    <row r="3371">
      <c r="A3371" t="inlineStr">
        <is>
          <t>chr5</t>
        </is>
      </c>
      <c r="B3371" t="n">
        <v>127191359</v>
      </c>
      <c r="C3371" t="inlineStr">
        <is>
          <t>A</t>
        </is>
      </c>
      <c r="D3371" t="inlineStr">
        <is>
          <t>G</t>
        </is>
      </c>
      <c r="E3371" t="inlineStr">
        <is>
          <t>rs1860439</t>
        </is>
      </c>
      <c r="F3371" t="n">
        <v>-0.01934763228</v>
      </c>
      <c r="G3371" t="n">
        <v>0.3574079566182071</v>
      </c>
      <c r="H3371" t="n">
        <v>0.0124517573926031</v>
      </c>
      <c r="I3371" t="n">
        <v>0.2957320082685913</v>
      </c>
      <c r="J3371" t="n">
        <v>0.1838609426238292</v>
      </c>
      <c r="K3371" t="n">
        <v>0.4280377597450938</v>
      </c>
      <c r="L3371" t="b">
        <v>0</v>
      </c>
      <c r="M3371" t="b">
        <v>0</v>
      </c>
      <c r="N3371" t="inlineStr">
        <is>
          <t>ref</t>
        </is>
      </c>
      <c r="O3371" t="n">
        <v>75</v>
      </c>
      <c r="P3371" t="n">
        <v>0.008895999999999999</v>
      </c>
      <c r="Q3371" t="n">
        <v>50</v>
      </c>
      <c r="R3371" t="n">
        <v>0.08765000000000001</v>
      </c>
      <c r="S3371">
        <f>IMAGE("https://mitra.stanford.edu/kundaje/oak/projects/neuro-variants/variant_position/credible/roussos_2024/variant_figures/roussos_2024.adolescence.GLU/rs1860439_count_position.png",4,220,900)</f>
        <v/>
      </c>
      <c r="T3371">
        <f>IMAGE("https://mitra.stanford.edu/kundaje/oak/projects/neuro-variants/variant_position/credible/roussos_2024/variant_figures/roussos_2024.adolescence.GLU/rs1860439_profile_position.png",4,220,900)</f>
        <v/>
      </c>
    </row>
    <row r="3372">
      <c r="A3372" t="inlineStr">
        <is>
          <t>chr5</t>
        </is>
      </c>
      <c r="B3372" t="n">
        <v>127192961</v>
      </c>
      <c r="C3372" t="inlineStr">
        <is>
          <t>A</t>
        </is>
      </c>
      <c r="D3372" t="inlineStr">
        <is>
          <t>G</t>
        </is>
      </c>
      <c r="E3372" t="inlineStr">
        <is>
          <t>rs173555</t>
        </is>
      </c>
      <c r="F3372" t="n">
        <v>0.27124512</v>
      </c>
      <c r="G3372" t="n">
        <v>0.0002938627140747</v>
      </c>
      <c r="H3372" t="n">
        <v>0.0550504267306983</v>
      </c>
      <c r="I3372" t="n">
        <v>0.0011706275468722</v>
      </c>
      <c r="J3372" t="n">
        <v>0.2920347786327167</v>
      </c>
      <c r="K3372" t="n">
        <v>0.2803499907230503</v>
      </c>
      <c r="L3372" t="b">
        <v>1</v>
      </c>
      <c r="M3372" t="b">
        <v>1</v>
      </c>
      <c r="N3372" t="inlineStr">
        <is>
          <t>alt</t>
        </is>
      </c>
      <c r="O3372" t="n">
        <v>-85</v>
      </c>
      <c r="P3372" t="n">
        <v>0.00586</v>
      </c>
      <c r="Q3372" t="n">
        <v>-100</v>
      </c>
      <c r="R3372" t="n">
        <v>0.0906</v>
      </c>
      <c r="S3372">
        <f>IMAGE("https://mitra.stanford.edu/kundaje/oak/projects/neuro-variants/variant_position/credible/roussos_2024/variant_figures/roussos_2024.adolescence.GLU/rs173555_count_position.png",4,220,900)</f>
        <v/>
      </c>
      <c r="T3372">
        <f>IMAGE("https://mitra.stanford.edu/kundaje/oak/projects/neuro-variants/variant_position/credible/roussos_2024/variant_figures/roussos_2024.adolescence.GLU/rs173555_profile_position.png",4,220,900)</f>
        <v/>
      </c>
    </row>
    <row r="3373">
      <c r="A3373" t="inlineStr">
        <is>
          <t>chr5</t>
        </is>
      </c>
      <c r="B3373" t="n">
        <v>127194980</v>
      </c>
      <c r="C3373" t="inlineStr">
        <is>
          <t>T</t>
        </is>
      </c>
      <c r="D3373" t="inlineStr">
        <is>
          <t>C</t>
        </is>
      </c>
      <c r="E3373" t="inlineStr">
        <is>
          <t>rs248127</t>
        </is>
      </c>
      <c r="F3373" t="n">
        <v>0.0358256834</v>
      </c>
      <c r="G3373" t="n">
        <v>0.1231630346638501</v>
      </c>
      <c r="H3373" t="n">
        <v>0.0123149720686889</v>
      </c>
      <c r="I3373" t="n">
        <v>0.3014955818157703</v>
      </c>
      <c r="J3373" t="n">
        <v>0.0322266755256445</v>
      </c>
      <c r="K3373" t="n">
        <v>0.7603175067782548</v>
      </c>
      <c r="L3373" t="b">
        <v>0</v>
      </c>
      <c r="M3373" t="b">
        <v>0</v>
      </c>
      <c r="N3373" t="inlineStr">
        <is>
          <t>alt</t>
        </is>
      </c>
      <c r="O3373" t="n">
        <v>-80</v>
      </c>
      <c r="P3373" t="n">
        <v>0.0242</v>
      </c>
      <c r="Q3373" t="n">
        <v>-15</v>
      </c>
      <c r="R3373" t="n">
        <v>0.015076</v>
      </c>
      <c r="S3373">
        <f>IMAGE("https://mitra.stanford.edu/kundaje/oak/projects/neuro-variants/variant_position/credible/roussos_2024/variant_figures/roussos_2024.adolescence.GLU/rs248127_count_position.png",4,220,900)</f>
        <v/>
      </c>
      <c r="T3373">
        <f>IMAGE("https://mitra.stanford.edu/kundaje/oak/projects/neuro-variants/variant_position/credible/roussos_2024/variant_figures/roussos_2024.adolescence.GLU/rs248127_profile_position.png",4,220,900)</f>
        <v/>
      </c>
    </row>
    <row r="3374">
      <c r="A3374" t="inlineStr">
        <is>
          <t>chr5</t>
        </is>
      </c>
      <c r="B3374" t="n">
        <v>138545415</v>
      </c>
      <c r="C3374" t="inlineStr">
        <is>
          <t>T</t>
        </is>
      </c>
      <c r="D3374" t="inlineStr">
        <is>
          <t>C</t>
        </is>
      </c>
      <c r="E3374" t="inlineStr">
        <is>
          <t>rs188731</t>
        </is>
      </c>
      <c r="F3374" t="n">
        <v>0.00449683892</v>
      </c>
      <c r="G3374" t="n">
        <v>0.6599126059886908</v>
      </c>
      <c r="H3374" t="n">
        <v>0.009683717146031799</v>
      </c>
      <c r="I3374" t="n">
        <v>0.570280743756968</v>
      </c>
      <c r="J3374" t="n">
        <v>0.1232112366132984</v>
      </c>
      <c r="K3374" t="n">
        <v>0.5310394729695221</v>
      </c>
      <c r="L3374" t="b">
        <v>0</v>
      </c>
      <c r="M3374" t="b">
        <v>0</v>
      </c>
      <c r="N3374" t="inlineStr">
        <is>
          <t>alt</t>
        </is>
      </c>
      <c r="O3374" t="n">
        <v>85</v>
      </c>
      <c r="P3374" t="n">
        <v>0.009575</v>
      </c>
      <c r="Q3374" t="n">
        <v>-30</v>
      </c>
      <c r="R3374" t="n">
        <v>0.03876</v>
      </c>
      <c r="S3374">
        <f>IMAGE("https://mitra.stanford.edu/kundaje/oak/projects/neuro-variants/variant_position/credible/roussos_2024/variant_figures/roussos_2024.adolescence.GLU/rs188731_count_position.png",4,220,900)</f>
        <v/>
      </c>
      <c r="T3374">
        <f>IMAGE("https://mitra.stanford.edu/kundaje/oak/projects/neuro-variants/variant_position/credible/roussos_2024/variant_figures/roussos_2024.adolescence.GLU/rs188731_profile_position.png",4,220,900)</f>
        <v/>
      </c>
    </row>
    <row r="3375">
      <c r="A3375" t="inlineStr">
        <is>
          <t>chr5</t>
        </is>
      </c>
      <c r="B3375" t="n">
        <v>138547009</v>
      </c>
      <c r="C3375" t="inlineStr">
        <is>
          <t>T</t>
        </is>
      </c>
      <c r="D3375" t="inlineStr">
        <is>
          <t>C</t>
        </is>
      </c>
      <c r="E3375" t="inlineStr">
        <is>
          <t>rs187653</t>
        </is>
      </c>
      <c r="F3375" t="n">
        <v>-0.01481259942</v>
      </c>
      <c r="G3375" t="n">
        <v>0.4139589847838286</v>
      </c>
      <c r="H3375" t="n">
        <v>0.0116459058950898</v>
      </c>
      <c r="I3375" t="n">
        <v>0.3700287924349686</v>
      </c>
      <c r="J3375" t="n">
        <v>0.0631359353008837</v>
      </c>
      <c r="K3375" t="n">
        <v>0.6635304353659863</v>
      </c>
      <c r="L3375" t="b">
        <v>0</v>
      </c>
      <c r="M3375" t="b">
        <v>0</v>
      </c>
      <c r="N3375" t="inlineStr">
        <is>
          <t>ref</t>
        </is>
      </c>
      <c r="O3375" t="n">
        <v>75</v>
      </c>
      <c r="P3375" t="n">
        <v>0.0008926</v>
      </c>
      <c r="Q3375" t="n">
        <v>95</v>
      </c>
      <c r="R3375" t="n">
        <v>0.02264</v>
      </c>
      <c r="S3375">
        <f>IMAGE("https://mitra.stanford.edu/kundaje/oak/projects/neuro-variants/variant_position/credible/roussos_2024/variant_figures/roussos_2024.adolescence.GLU/rs187653_count_position.png",4,220,900)</f>
        <v/>
      </c>
      <c r="T3375">
        <f>IMAGE("https://mitra.stanford.edu/kundaje/oak/projects/neuro-variants/variant_position/credible/roussos_2024/variant_figures/roussos_2024.adolescence.GLU/rs187653_profile_position.png",4,220,900)</f>
        <v/>
      </c>
    </row>
    <row r="3376">
      <c r="A3376" t="inlineStr">
        <is>
          <t>chr5</t>
        </is>
      </c>
      <c r="B3376" t="n">
        <v>139487202</v>
      </c>
      <c r="C3376" t="inlineStr">
        <is>
          <t>A</t>
        </is>
      </c>
      <c r="D3376" t="inlineStr">
        <is>
          <t>G</t>
        </is>
      </c>
      <c r="E3376" t="inlineStr">
        <is>
          <t>rs6421150</t>
        </is>
      </c>
      <c r="F3376" t="n">
        <v>0.0812051868</v>
      </c>
      <c r="G3376" t="n">
        <v>0.0169534877788384</v>
      </c>
      <c r="H3376" t="n">
        <v>0.0171275290782647</v>
      </c>
      <c r="I3376" t="n">
        <v>0.1023878667974924</v>
      </c>
      <c r="J3376" t="n">
        <v>0.4789063448857263</v>
      </c>
      <c r="K3376" t="n">
        <v>0.102662583171057</v>
      </c>
      <c r="L3376" t="b">
        <v>1</v>
      </c>
      <c r="M3376" t="b">
        <v>0</v>
      </c>
      <c r="N3376" t="inlineStr">
        <is>
          <t>alt</t>
        </is>
      </c>
      <c r="O3376" t="n">
        <v>-80</v>
      </c>
      <c r="P3376" t="n">
        <v>0.003124</v>
      </c>
      <c r="Q3376" t="n">
        <v>25</v>
      </c>
      <c r="R3376" t="n">
        <v>0.01367</v>
      </c>
      <c r="S3376">
        <f>IMAGE("https://mitra.stanford.edu/kundaje/oak/projects/neuro-variants/variant_position/credible/roussos_2024/variant_figures/roussos_2024.adolescence.GLU/rs6421150_count_position.png",4,220,900)</f>
        <v/>
      </c>
      <c r="T3376">
        <f>IMAGE("https://mitra.stanford.edu/kundaje/oak/projects/neuro-variants/variant_position/credible/roussos_2024/variant_figures/roussos_2024.adolescence.GLU/rs6421150_profile_position.png",4,220,900)</f>
        <v/>
      </c>
    </row>
    <row r="3377">
      <c r="A3377" t="inlineStr">
        <is>
          <t>chr5</t>
        </is>
      </c>
      <c r="B3377" t="n">
        <v>139578493</v>
      </c>
      <c r="C3377" t="inlineStr">
        <is>
          <t>T</t>
        </is>
      </c>
      <c r="D3377" t="inlineStr">
        <is>
          <t>C</t>
        </is>
      </c>
      <c r="E3377" t="inlineStr">
        <is>
          <t>rs355163</t>
        </is>
      </c>
      <c r="F3377" t="n">
        <v>0.01035590314</v>
      </c>
      <c r="G3377" t="n">
        <v>0.4900727670566677</v>
      </c>
      <c r="H3377" t="n">
        <v>0.0092273687979544</v>
      </c>
      <c r="I3377" t="n">
        <v>0.6319509251578292</v>
      </c>
      <c r="J3377" t="n">
        <v>0.1403662187167341</v>
      </c>
      <c r="K3377" t="n">
        <v>0.4949607444908798</v>
      </c>
      <c r="L3377" t="b">
        <v>0</v>
      </c>
      <c r="M3377" t="b">
        <v>0</v>
      </c>
      <c r="N3377" t="inlineStr">
        <is>
          <t>alt</t>
        </is>
      </c>
      <c r="O3377" t="n">
        <v>15</v>
      </c>
      <c r="P3377" t="n">
        <v>0.003166</v>
      </c>
      <c r="Q3377" t="n">
        <v>-50</v>
      </c>
      <c r="R3377" t="n">
        <v>0.03029</v>
      </c>
      <c r="S3377">
        <f>IMAGE("https://mitra.stanford.edu/kundaje/oak/projects/neuro-variants/variant_position/credible/roussos_2024/variant_figures/roussos_2024.adolescence.GLU/rs355163_count_position.png",4,220,900)</f>
        <v/>
      </c>
      <c r="T3377">
        <f>IMAGE("https://mitra.stanford.edu/kundaje/oak/projects/neuro-variants/variant_position/credible/roussos_2024/variant_figures/roussos_2024.adolescence.GLU/rs355163_profile_position.png",4,220,900)</f>
        <v/>
      </c>
    </row>
    <row r="3378">
      <c r="A3378" t="inlineStr">
        <is>
          <t>chr5</t>
        </is>
      </c>
      <c r="B3378" t="n">
        <v>139686403</v>
      </c>
      <c r="C3378" t="inlineStr">
        <is>
          <t>T</t>
        </is>
      </c>
      <c r="D3378" t="inlineStr">
        <is>
          <t>G</t>
        </is>
      </c>
      <c r="E3378" t="inlineStr">
        <is>
          <t>rs9687282</t>
        </is>
      </c>
      <c r="F3378" t="n">
        <v>0.0047306480739999</v>
      </c>
      <c r="G3378" t="n">
        <v>0.6461904822350971</v>
      </c>
      <c r="H3378" t="n">
        <v>0.0136841202622573</v>
      </c>
      <c r="I3378" t="n">
        <v>0.2202535618312677</v>
      </c>
      <c r="J3378" t="n">
        <v>0.3717370026648378</v>
      </c>
      <c r="K3378" t="n">
        <v>0.1942932333252231</v>
      </c>
      <c r="L3378" t="b">
        <v>0</v>
      </c>
      <c r="M3378" t="b">
        <v>0</v>
      </c>
      <c r="N3378" t="inlineStr">
        <is>
          <t>alt</t>
        </is>
      </c>
      <c r="O3378" t="n">
        <v>100</v>
      </c>
      <c r="P3378" t="n">
        <v>0.00447</v>
      </c>
      <c r="Q3378" t="n">
        <v>-100</v>
      </c>
      <c r="R3378" t="n">
        <v>0.05804</v>
      </c>
      <c r="S3378">
        <f>IMAGE("https://mitra.stanford.edu/kundaje/oak/projects/neuro-variants/variant_position/credible/roussos_2024/variant_figures/roussos_2024.adolescence.GLU/rs9687282_count_position.png",4,220,900)</f>
        <v/>
      </c>
      <c r="T3378">
        <f>IMAGE("https://mitra.stanford.edu/kundaje/oak/projects/neuro-variants/variant_position/credible/roussos_2024/variant_figures/roussos_2024.adolescence.GLU/rs9687282_profile_position.png",4,220,900)</f>
        <v/>
      </c>
    </row>
    <row r="3379">
      <c r="A3379" t="inlineStr">
        <is>
          <t>chr5</t>
        </is>
      </c>
      <c r="B3379" t="n">
        <v>139857377</v>
      </c>
      <c r="C3379" t="inlineStr">
        <is>
          <t>C</t>
        </is>
      </c>
      <c r="D3379" t="inlineStr">
        <is>
          <t>T</t>
        </is>
      </c>
      <c r="E3379" t="inlineStr">
        <is>
          <t>rs4912894</t>
        </is>
      </c>
      <c r="F3379" t="n">
        <v>0.0069935204799999</v>
      </c>
      <c r="G3379" t="n">
        <v>0.4368639071315466</v>
      </c>
      <c r="H3379" t="n">
        <v>0.0085517060057183</v>
      </c>
      <c r="I3379" t="n">
        <v>0.6845845144957012</v>
      </c>
      <c r="J3379" t="n">
        <v>0.3161554893513655</v>
      </c>
      <c r="K3379" t="n">
        <v>0.252859896460037</v>
      </c>
      <c r="L3379" t="b">
        <v>0</v>
      </c>
      <c r="M3379" t="b">
        <v>0</v>
      </c>
      <c r="N3379" t="inlineStr">
        <is>
          <t>alt</t>
        </is>
      </c>
      <c r="O3379" t="n">
        <v>-80</v>
      </c>
      <c r="P3379" t="n">
        <v>0.006603</v>
      </c>
      <c r="Q3379" t="n">
        <v>-95</v>
      </c>
      <c r="R3379" t="n">
        <v>0.1858</v>
      </c>
      <c r="S3379">
        <f>IMAGE("https://mitra.stanford.edu/kundaje/oak/projects/neuro-variants/variant_position/credible/roussos_2024/variant_figures/roussos_2024.adolescence.GLU/rs4912894_count_position.png",4,220,900)</f>
        <v/>
      </c>
      <c r="T3379">
        <f>IMAGE("https://mitra.stanford.edu/kundaje/oak/projects/neuro-variants/variant_position/credible/roussos_2024/variant_figures/roussos_2024.adolescence.GLU/rs4912894_profile_position.png",4,220,900)</f>
        <v/>
      </c>
    </row>
    <row r="3380">
      <c r="A3380" t="inlineStr">
        <is>
          <t>chr5</t>
        </is>
      </c>
      <c r="B3380" t="n">
        <v>140679308</v>
      </c>
      <c r="C3380" t="inlineStr">
        <is>
          <t>C</t>
        </is>
      </c>
      <c r="D3380" t="inlineStr">
        <is>
          <t>T</t>
        </is>
      </c>
      <c r="E3380" t="inlineStr">
        <is>
          <t>rs2073512</t>
        </is>
      </c>
      <c r="F3380" t="n">
        <v>-0.0656973752</v>
      </c>
      <c r="G3380" t="n">
        <v>0.0403259028090304</v>
      </c>
      <c r="H3380" t="n">
        <v>0.0234881542054396</v>
      </c>
      <c r="I3380" t="n">
        <v>0.0334920730314248</v>
      </c>
      <c r="J3380" t="n">
        <v>0.3091025998242492</v>
      </c>
      <c r="K3380" t="n">
        <v>0.2596510569458204</v>
      </c>
      <c r="L3380" t="b">
        <v>0</v>
      </c>
      <c r="M3380" t="b">
        <v>0</v>
      </c>
      <c r="N3380" t="inlineStr">
        <is>
          <t>ref</t>
        </is>
      </c>
      <c r="O3380" t="n">
        <v>55</v>
      </c>
      <c r="P3380" t="n">
        <v>0.00525</v>
      </c>
      <c r="Q3380" t="n">
        <v>-25</v>
      </c>
      <c r="R3380" t="n">
        <v>0.04572</v>
      </c>
      <c r="S3380">
        <f>IMAGE("https://mitra.stanford.edu/kundaje/oak/projects/neuro-variants/variant_position/credible/roussos_2024/variant_figures/roussos_2024.adolescence.GLU/rs2073512_count_position.png",4,220,900)</f>
        <v/>
      </c>
      <c r="T3380">
        <f>IMAGE("https://mitra.stanford.edu/kundaje/oak/projects/neuro-variants/variant_position/credible/roussos_2024/variant_figures/roussos_2024.adolescence.GLU/rs2073512_profile_position.png",4,220,900)</f>
        <v/>
      </c>
    </row>
    <row r="3381">
      <c r="A3381" t="inlineStr">
        <is>
          <t>chr5</t>
        </is>
      </c>
      <c r="B3381" t="n">
        <v>140729085</v>
      </c>
      <c r="C3381" t="inlineStr">
        <is>
          <t>G</t>
        </is>
      </c>
      <c r="D3381" t="inlineStr">
        <is>
          <t>T</t>
        </is>
      </c>
      <c r="E3381" t="inlineStr">
        <is>
          <t>rs12186884</t>
        </is>
      </c>
      <c r="F3381" t="n">
        <v>-0.0080700122599999</v>
      </c>
      <c r="G3381" t="n">
        <v>0.605527148210407</v>
      </c>
      <c r="H3381" t="n">
        <v>0.0143092350191318</v>
      </c>
      <c r="I3381" t="n">
        <v>0.197520739892104</v>
      </c>
      <c r="J3381" t="n">
        <v>0.0312793364339755</v>
      </c>
      <c r="K3381" t="n">
        <v>0.7672070778568753</v>
      </c>
      <c r="L3381" t="b">
        <v>0</v>
      </c>
      <c r="M3381" t="b">
        <v>0</v>
      </c>
      <c r="N3381" t="inlineStr">
        <is>
          <t>ref</t>
        </is>
      </c>
      <c r="O3381" t="n">
        <v>15</v>
      </c>
      <c r="P3381" t="n">
        <v>0.001216</v>
      </c>
      <c r="Q3381" t="n">
        <v>-100</v>
      </c>
      <c r="R3381" t="n">
        <v>0.02435</v>
      </c>
      <c r="S3381">
        <f>IMAGE("https://mitra.stanford.edu/kundaje/oak/projects/neuro-variants/variant_position/credible/roussos_2024/variant_figures/roussos_2024.adolescence.GLU/rs12186884_count_position.png",4,220,900)</f>
        <v/>
      </c>
      <c r="T3381">
        <f>IMAGE("https://mitra.stanford.edu/kundaje/oak/projects/neuro-variants/variant_position/credible/roussos_2024/variant_figures/roussos_2024.adolescence.GLU/rs12186884_profile_position.png",4,220,900)</f>
        <v/>
      </c>
    </row>
    <row r="3382">
      <c r="A3382" t="inlineStr">
        <is>
          <t>chr5</t>
        </is>
      </c>
      <c r="B3382" t="n">
        <v>140733127</v>
      </c>
      <c r="C3382" t="inlineStr">
        <is>
          <t>C</t>
        </is>
      </c>
      <c r="D3382" t="inlineStr">
        <is>
          <t>T</t>
        </is>
      </c>
      <c r="E3382" t="inlineStr">
        <is>
          <t>rs801174</t>
        </is>
      </c>
      <c r="F3382" t="n">
        <v>-0.0248614158</v>
      </c>
      <c r="G3382" t="n">
        <v>0.23371127485105</v>
      </c>
      <c r="H3382" t="n">
        <v>0.0126513597048946</v>
      </c>
      <c r="I3382" t="n">
        <v>0.2836549813224198</v>
      </c>
      <c r="J3382" t="n">
        <v>0.1891806159847396</v>
      </c>
      <c r="K3382" t="n">
        <v>0.4210747530455652</v>
      </c>
      <c r="L3382" t="b">
        <v>0</v>
      </c>
      <c r="M3382" t="b">
        <v>0</v>
      </c>
      <c r="N3382" t="inlineStr">
        <is>
          <t>ref</t>
        </is>
      </c>
      <c r="O3382" t="n">
        <v>60</v>
      </c>
      <c r="P3382" t="n">
        <v>0.01086</v>
      </c>
      <c r="Q3382" t="n">
        <v>100</v>
      </c>
      <c r="R3382" t="n">
        <v>0.1832</v>
      </c>
      <c r="S3382">
        <f>IMAGE("https://mitra.stanford.edu/kundaje/oak/projects/neuro-variants/variant_position/credible/roussos_2024/variant_figures/roussos_2024.adolescence.GLU/rs801174_count_position.png",4,220,900)</f>
        <v/>
      </c>
      <c r="T3382">
        <f>IMAGE("https://mitra.stanford.edu/kundaje/oak/projects/neuro-variants/variant_position/credible/roussos_2024/variant_figures/roussos_2024.adolescence.GLU/rs801174_profile_position.png",4,220,900)</f>
        <v/>
      </c>
    </row>
    <row r="3383">
      <c r="A3383" t="inlineStr">
        <is>
          <t>chr5</t>
        </is>
      </c>
      <c r="B3383" t="n">
        <v>140767663</v>
      </c>
      <c r="C3383" t="inlineStr">
        <is>
          <t>T</t>
        </is>
      </c>
      <c r="D3383" t="inlineStr">
        <is>
          <t>C</t>
        </is>
      </c>
      <c r="E3383" t="inlineStr">
        <is>
          <t>rs12659129</t>
        </is>
      </c>
      <c r="F3383" t="n">
        <v>0.00585287218</v>
      </c>
      <c r="G3383" t="n">
        <v>0.6697827567104272</v>
      </c>
      <c r="H3383" t="n">
        <v>0.0084997472514755</v>
      </c>
      <c r="I3383" t="n">
        <v>0.7164718456474396</v>
      </c>
      <c r="J3383" t="n">
        <v>0.0026205428267283</v>
      </c>
      <c r="K3383" t="n">
        <v>0.9460185886789418</v>
      </c>
      <c r="L3383" t="b">
        <v>0</v>
      </c>
      <c r="M3383" t="b">
        <v>0</v>
      </c>
      <c r="N3383" t="inlineStr">
        <is>
          <t>alt</t>
        </is>
      </c>
      <c r="O3383" t="n">
        <v>100</v>
      </c>
      <c r="P3383" t="n">
        <v>0.007607</v>
      </c>
      <c r="Q3383" t="n">
        <v>40</v>
      </c>
      <c r="R3383" t="n">
        <v>0.04282</v>
      </c>
      <c r="S3383">
        <f>IMAGE("https://mitra.stanford.edu/kundaje/oak/projects/neuro-variants/variant_position/credible/roussos_2024/variant_figures/roussos_2024.adolescence.GLU/rs12659129_count_position.png",4,220,900)</f>
        <v/>
      </c>
      <c r="T3383">
        <f>IMAGE("https://mitra.stanford.edu/kundaje/oak/projects/neuro-variants/variant_position/credible/roussos_2024/variant_figures/roussos_2024.adolescence.GLU/rs12659129_profile_position.png",4,220,900)</f>
        <v/>
      </c>
    </row>
    <row r="3384">
      <c r="A3384" t="inlineStr">
        <is>
          <t>chr5</t>
        </is>
      </c>
      <c r="B3384" t="n">
        <v>140776679</v>
      </c>
      <c r="C3384" t="inlineStr">
        <is>
          <t>T</t>
        </is>
      </c>
      <c r="D3384" t="inlineStr">
        <is>
          <t>C</t>
        </is>
      </c>
      <c r="E3384" t="inlineStr">
        <is>
          <t>rs7710380</t>
        </is>
      </c>
      <c r="F3384" t="n">
        <v>0.07833357220000001</v>
      </c>
      <c r="G3384" t="n">
        <v>0.0168810240336052</v>
      </c>
      <c r="H3384" t="n">
        <v>0.0185109506355633</v>
      </c>
      <c r="I3384" t="n">
        <v>0.08822287841753659</v>
      </c>
      <c r="J3384" t="n">
        <v>0.392742782433504</v>
      </c>
      <c r="K3384" t="n">
        <v>0.1740313514136286</v>
      </c>
      <c r="L3384" t="b">
        <v>1</v>
      </c>
      <c r="M3384" t="b">
        <v>0</v>
      </c>
      <c r="N3384" t="inlineStr">
        <is>
          <t>alt</t>
        </is>
      </c>
      <c r="O3384" t="n">
        <v>-70</v>
      </c>
      <c r="P3384" t="n">
        <v>0.011475</v>
      </c>
      <c r="Q3384" t="n">
        <v>-60</v>
      </c>
      <c r="R3384" t="n">
        <v>0.1276</v>
      </c>
      <c r="S3384">
        <f>IMAGE("https://mitra.stanford.edu/kundaje/oak/projects/neuro-variants/variant_position/credible/roussos_2024/variant_figures/roussos_2024.adolescence.GLU/rs7710380_count_position.png",4,220,900)</f>
        <v/>
      </c>
      <c r="T3384">
        <f>IMAGE("https://mitra.stanford.edu/kundaje/oak/projects/neuro-variants/variant_position/credible/roussos_2024/variant_figures/roussos_2024.adolescence.GLU/rs7710380_profile_position.png",4,220,900)</f>
        <v/>
      </c>
    </row>
    <row r="3385">
      <c r="A3385" t="inlineStr">
        <is>
          <t>chr5</t>
        </is>
      </c>
      <c r="B3385" t="n">
        <v>140785333</v>
      </c>
      <c r="C3385" t="inlineStr">
        <is>
          <t>T</t>
        </is>
      </c>
      <c r="D3385" t="inlineStr">
        <is>
          <t>C</t>
        </is>
      </c>
      <c r="E3385" t="inlineStr">
        <is>
          <t>rs1548699</t>
        </is>
      </c>
      <c r="F3385" t="n">
        <v>-0.0102456312999999</v>
      </c>
      <c r="G3385" t="n">
        <v>0.5469308991214203</v>
      </c>
      <c r="H3385" t="n">
        <v>0.0174836360399225</v>
      </c>
      <c r="I3385" t="n">
        <v>0.09399115387422841</v>
      </c>
      <c r="J3385" t="n">
        <v>0.0059498038879481</v>
      </c>
      <c r="K3385" t="n">
        <v>0.914117388515816</v>
      </c>
      <c r="L3385" t="b">
        <v>0</v>
      </c>
      <c r="M3385" t="b">
        <v>0</v>
      </c>
      <c r="N3385" t="inlineStr">
        <is>
          <t>ref</t>
        </is>
      </c>
      <c r="O3385" t="n">
        <v>-100</v>
      </c>
      <c r="P3385" t="n">
        <v>0.00428</v>
      </c>
      <c r="Q3385" t="n">
        <v>100</v>
      </c>
      <c r="R3385" t="n">
        <v>0.02786</v>
      </c>
      <c r="S3385">
        <f>IMAGE("https://mitra.stanford.edu/kundaje/oak/projects/neuro-variants/variant_position/credible/roussos_2024/variant_figures/roussos_2024.adolescence.GLU/rs1548699_count_position.png",4,220,900)</f>
        <v/>
      </c>
      <c r="T3385">
        <f>IMAGE("https://mitra.stanford.edu/kundaje/oak/projects/neuro-variants/variant_position/credible/roussos_2024/variant_figures/roussos_2024.adolescence.GLU/rs1548699_profile_position.png",4,220,900)</f>
        <v/>
      </c>
    </row>
    <row r="3386">
      <c r="A3386" t="inlineStr">
        <is>
          <t>chr5</t>
        </is>
      </c>
      <c r="B3386" t="n">
        <v>140793333</v>
      </c>
      <c r="C3386" t="inlineStr">
        <is>
          <t>T</t>
        </is>
      </c>
      <c r="D3386" t="inlineStr">
        <is>
          <t>C</t>
        </is>
      </c>
      <c r="E3386" t="inlineStr">
        <is>
          <t>rs13184940</t>
        </is>
      </c>
      <c r="F3386" t="n">
        <v>-0.0588187978</v>
      </c>
      <c r="G3386" t="n">
        <v>0.0448971929311541</v>
      </c>
      <c r="H3386" t="n">
        <v>0.030559178053233</v>
      </c>
      <c r="I3386" t="n">
        <v>0.0363265997195141</v>
      </c>
      <c r="J3386" t="n">
        <v>0.104737409892049</v>
      </c>
      <c r="K3386" t="n">
        <v>0.5544256292974189</v>
      </c>
      <c r="L3386" t="b">
        <v>0</v>
      </c>
      <c r="M3386" t="b">
        <v>0</v>
      </c>
      <c r="N3386" t="inlineStr">
        <is>
          <t>ref</t>
        </is>
      </c>
      <c r="O3386" t="n">
        <v>95</v>
      </c>
      <c r="P3386" t="n">
        <v>0.01729</v>
      </c>
      <c r="Q3386" t="n">
        <v>-90</v>
      </c>
      <c r="R3386" t="n">
        <v>0.1057</v>
      </c>
      <c r="S3386">
        <f>IMAGE("https://mitra.stanford.edu/kundaje/oak/projects/neuro-variants/variant_position/credible/roussos_2024/variant_figures/roussos_2024.adolescence.GLU/rs13184940_count_position.png",4,220,900)</f>
        <v/>
      </c>
      <c r="T3386">
        <f>IMAGE("https://mitra.stanford.edu/kundaje/oak/projects/neuro-variants/variant_position/credible/roussos_2024/variant_figures/roussos_2024.adolescence.GLU/rs13184940_profile_position.png",4,220,900)</f>
        <v/>
      </c>
    </row>
    <row r="3387">
      <c r="A3387" t="inlineStr">
        <is>
          <t>chr5</t>
        </is>
      </c>
      <c r="B3387" t="n">
        <v>140800976</v>
      </c>
      <c r="C3387" t="inlineStr">
        <is>
          <t>A</t>
        </is>
      </c>
      <c r="D3387" t="inlineStr">
        <is>
          <t>G</t>
        </is>
      </c>
      <c r="E3387" t="inlineStr">
        <is>
          <t>rs3756338</t>
        </is>
      </c>
      <c r="F3387" t="n">
        <v>0.0759101806</v>
      </c>
      <c r="G3387" t="n">
        <v>0.0166874676621797</v>
      </c>
      <c r="H3387" t="n">
        <v>0.0164075870902196</v>
      </c>
      <c r="I3387" t="n">
        <v>0.1179290232442248</v>
      </c>
      <c r="J3387" t="n">
        <v>0.5474691186031393</v>
      </c>
      <c r="K3387" t="n">
        <v>0.0619452585729492</v>
      </c>
      <c r="L3387" t="b">
        <v>1</v>
      </c>
      <c r="M3387" t="b">
        <v>0</v>
      </c>
      <c r="N3387" t="inlineStr">
        <is>
          <t>alt</t>
        </is>
      </c>
      <c r="O3387" t="n">
        <v>-10</v>
      </c>
      <c r="P3387" t="n">
        <v>0.001892</v>
      </c>
      <c r="Q3387" t="n">
        <v>50</v>
      </c>
      <c r="R3387" t="n">
        <v>0.01904</v>
      </c>
      <c r="S3387">
        <f>IMAGE("https://mitra.stanford.edu/kundaje/oak/projects/neuro-variants/variant_position/credible/roussos_2024/variant_figures/roussos_2024.adolescence.GLU/rs3756338_count_position.png",4,220,900)</f>
        <v/>
      </c>
      <c r="T3387">
        <f>IMAGE("https://mitra.stanford.edu/kundaje/oak/projects/neuro-variants/variant_position/credible/roussos_2024/variant_figures/roussos_2024.adolescence.GLU/rs3756338_profile_position.png",4,220,900)</f>
        <v/>
      </c>
    </row>
    <row r="3388">
      <c r="A3388" t="inlineStr">
        <is>
          <t>chr5</t>
        </is>
      </c>
      <c r="B3388" t="n">
        <v>140801152</v>
      </c>
      <c r="C3388" t="inlineStr">
        <is>
          <t>C</t>
        </is>
      </c>
      <c r="D3388" t="inlineStr">
        <is>
          <t>T</t>
        </is>
      </c>
      <c r="E3388" t="inlineStr">
        <is>
          <t>rs3806845</t>
        </is>
      </c>
      <c r="F3388" t="n">
        <v>0.00112698909</v>
      </c>
      <c r="G3388" t="n">
        <v>0.8002715264024326</v>
      </c>
      <c r="H3388" t="n">
        <v>0.0265588756598214</v>
      </c>
      <c r="I3388" t="n">
        <v>0.0163310376129978</v>
      </c>
      <c r="J3388" t="n">
        <v>0.6187738888769816</v>
      </c>
      <c r="K3388" t="n">
        <v>0.0326509341590672</v>
      </c>
      <c r="L3388" t="b">
        <v>1</v>
      </c>
      <c r="M3388" t="b">
        <v>0</v>
      </c>
      <c r="N3388" t="inlineStr">
        <is>
          <t>alt</t>
        </is>
      </c>
      <c r="O3388" t="n">
        <v>-90</v>
      </c>
      <c r="P3388" t="n">
        <v>0.04175</v>
      </c>
      <c r="Q3388" t="n">
        <v>-25</v>
      </c>
      <c r="R3388" t="n">
        <v>0.328</v>
      </c>
      <c r="S3388">
        <f>IMAGE("https://mitra.stanford.edu/kundaje/oak/projects/neuro-variants/variant_position/credible/roussos_2024/variant_figures/roussos_2024.adolescence.GLU/rs3806845_count_position.png",4,220,900)</f>
        <v/>
      </c>
      <c r="T3388">
        <f>IMAGE("https://mitra.stanford.edu/kundaje/oak/projects/neuro-variants/variant_position/credible/roussos_2024/variant_figures/roussos_2024.adolescence.GLU/rs3806845_profile_position.png",4,220,900)</f>
        <v/>
      </c>
    </row>
    <row r="3389">
      <c r="A3389" t="inlineStr">
        <is>
          <t>chr5</t>
        </is>
      </c>
      <c r="B3389" t="n">
        <v>140821679</v>
      </c>
      <c r="C3389" t="inlineStr">
        <is>
          <t>C</t>
        </is>
      </c>
      <c r="D3389" t="inlineStr">
        <is>
          <t>T</t>
        </is>
      </c>
      <c r="E3389" t="inlineStr">
        <is>
          <t>rs4151682</t>
        </is>
      </c>
      <c r="F3389" t="n">
        <v>-0.045348412</v>
      </c>
      <c r="G3389" t="n">
        <v>0.0830589090544939</v>
      </c>
      <c r="H3389" t="n">
        <v>0.0188396933434591</v>
      </c>
      <c r="I3389" t="n">
        <v>0.075975743561535</v>
      </c>
      <c r="J3389" t="n">
        <v>0.6133127576426546</v>
      </c>
      <c r="K3389" t="n">
        <v>0.0344823210061701</v>
      </c>
      <c r="L3389" t="b">
        <v>0</v>
      </c>
      <c r="M3389" t="b">
        <v>0</v>
      </c>
      <c r="N3389" t="inlineStr">
        <is>
          <t>ref</t>
        </is>
      </c>
      <c r="O3389" t="n">
        <v>-35</v>
      </c>
      <c r="P3389" t="n">
        <v>0.0003967</v>
      </c>
      <c r="Q3389" t="n">
        <v>0</v>
      </c>
      <c r="R3389" t="n">
        <v>0</v>
      </c>
      <c r="S3389">
        <f>IMAGE("https://mitra.stanford.edu/kundaje/oak/projects/neuro-variants/variant_position/credible/roussos_2024/variant_figures/roussos_2024.adolescence.GLU/rs4151682_count_position.png",4,220,900)</f>
        <v/>
      </c>
      <c r="T3389">
        <f>IMAGE("https://mitra.stanford.edu/kundaje/oak/projects/neuro-variants/variant_position/credible/roussos_2024/variant_figures/roussos_2024.adolescence.GLU/rs4151682_profile_position.png",4,220,900)</f>
        <v/>
      </c>
    </row>
    <row r="3390">
      <c r="A3390" t="inlineStr">
        <is>
          <t>chr5</t>
        </is>
      </c>
      <c r="B3390" t="n">
        <v>140821835</v>
      </c>
      <c r="C3390" t="inlineStr">
        <is>
          <t>T</t>
        </is>
      </c>
      <c r="D3390" t="inlineStr">
        <is>
          <t>C</t>
        </is>
      </c>
      <c r="E3390" t="inlineStr">
        <is>
          <t>rs11958868</t>
        </is>
      </c>
      <c r="F3390" t="n">
        <v>0.0371705918</v>
      </c>
      <c r="G3390" t="n">
        <v>0.1207702291584541</v>
      </c>
      <c r="H3390" t="n">
        <v>0.0080604997271045</v>
      </c>
      <c r="I3390" t="n">
        <v>0.7869652698796636</v>
      </c>
      <c r="J3390" t="n">
        <v>0.660116738467254</v>
      </c>
      <c r="K3390" t="n">
        <v>0.02215031059456</v>
      </c>
      <c r="L3390" t="b">
        <v>0</v>
      </c>
      <c r="M3390" t="b">
        <v>0</v>
      </c>
      <c r="N3390" t="inlineStr">
        <is>
          <t>alt</t>
        </is>
      </c>
      <c r="O3390" t="n">
        <v>-90</v>
      </c>
      <c r="P3390" t="n">
        <v>0.0076</v>
      </c>
      <c r="Q3390" t="n">
        <v>85</v>
      </c>
      <c r="R3390" t="n">
        <v>0.0718</v>
      </c>
      <c r="S3390">
        <f>IMAGE("https://mitra.stanford.edu/kundaje/oak/projects/neuro-variants/variant_position/credible/roussos_2024/variant_figures/roussos_2024.adolescence.GLU/rs11958868_count_position.png",4,220,900)</f>
        <v/>
      </c>
      <c r="T3390">
        <f>IMAGE("https://mitra.stanford.edu/kundaje/oak/projects/neuro-variants/variant_position/credible/roussos_2024/variant_figures/roussos_2024.adolescence.GLU/rs11958868_profile_position.png",4,220,900)</f>
        <v/>
      </c>
    </row>
    <row r="3391">
      <c r="A3391" t="inlineStr">
        <is>
          <t>chr5</t>
        </is>
      </c>
      <c r="B3391" t="n">
        <v>140831031</v>
      </c>
      <c r="C3391" t="inlineStr">
        <is>
          <t>G</t>
        </is>
      </c>
      <c r="D3391" t="inlineStr">
        <is>
          <t>A</t>
        </is>
      </c>
      <c r="E3391" t="inlineStr">
        <is>
          <t>rs10038174</t>
        </is>
      </c>
      <c r="F3391" t="n">
        <v>-0.0598589684</v>
      </c>
      <c r="G3391" t="n">
        <v>0.0384716242490541</v>
      </c>
      <c r="H3391" t="n">
        <v>0.0132239111337703</v>
      </c>
      <c r="I3391" t="n">
        <v>0.2331013609933385</v>
      </c>
      <c r="J3391" t="n">
        <v>0.0314036478984932</v>
      </c>
      <c r="K3391" t="n">
        <v>0.7692853832270141</v>
      </c>
      <c r="L3391" t="b">
        <v>0</v>
      </c>
      <c r="M3391" t="b">
        <v>0</v>
      </c>
      <c r="N3391" t="inlineStr">
        <is>
          <t>ref</t>
        </is>
      </c>
      <c r="O3391" t="n">
        <v>50</v>
      </c>
      <c r="P3391" t="n">
        <v>0.01207</v>
      </c>
      <c r="Q3391" t="n">
        <v>-15</v>
      </c>
      <c r="R3391" t="n">
        <v>0.003052</v>
      </c>
      <c r="S3391">
        <f>IMAGE("https://mitra.stanford.edu/kundaje/oak/projects/neuro-variants/variant_position/credible/roussos_2024/variant_figures/roussos_2024.adolescence.GLU/rs10038174_count_position.png",4,220,900)</f>
        <v/>
      </c>
      <c r="T3391">
        <f>IMAGE("https://mitra.stanford.edu/kundaje/oak/projects/neuro-variants/variant_position/credible/roussos_2024/variant_figures/roussos_2024.adolescence.GLU/rs10038174_profile_position.png",4,220,900)</f>
        <v/>
      </c>
    </row>
    <row r="3392">
      <c r="A3392" t="inlineStr">
        <is>
          <t>chr5</t>
        </is>
      </c>
      <c r="B3392" t="n">
        <v>141038323</v>
      </c>
      <c r="C3392" t="inlineStr">
        <is>
          <t>T</t>
        </is>
      </c>
      <c r="D3392" t="inlineStr">
        <is>
          <t>C</t>
        </is>
      </c>
      <c r="E3392" t="inlineStr">
        <is>
          <t>rs35123355</t>
        </is>
      </c>
      <c r="F3392" t="n">
        <v>0.00325144404</v>
      </c>
      <c r="G3392" t="n">
        <v>0.7949754572098376</v>
      </c>
      <c r="H3392" t="n">
        <v>0.021965935294712</v>
      </c>
      <c r="I3392" t="n">
        <v>0.0367029332321644</v>
      </c>
      <c r="J3392" t="n">
        <v>0.0319337577069535</v>
      </c>
      <c r="K3392" t="n">
        <v>0.7661802838344709</v>
      </c>
      <c r="L3392" t="b">
        <v>0</v>
      </c>
      <c r="M3392" t="b">
        <v>0</v>
      </c>
      <c r="N3392" t="inlineStr">
        <is>
          <t>alt</t>
        </is>
      </c>
      <c r="O3392" t="n">
        <v>100</v>
      </c>
      <c r="P3392" t="n">
        <v>0.01239</v>
      </c>
      <c r="Q3392" t="n">
        <v>25</v>
      </c>
      <c r="R3392" t="n">
        <v>0.009310000000000001</v>
      </c>
      <c r="S3392">
        <f>IMAGE("https://mitra.stanford.edu/kundaje/oak/projects/neuro-variants/variant_position/credible/roussos_2024/variant_figures/roussos_2024.adolescence.GLU/rs35123355_count_position.png",4,220,900)</f>
        <v/>
      </c>
      <c r="T3392">
        <f>IMAGE("https://mitra.stanford.edu/kundaje/oak/projects/neuro-variants/variant_position/credible/roussos_2024/variant_figures/roussos_2024.adolescence.GLU/rs35123355_profile_position.png",4,220,900)</f>
        <v/>
      </c>
    </row>
    <row r="3393">
      <c r="A3393" t="inlineStr">
        <is>
          <t>chr5</t>
        </is>
      </c>
      <c r="B3393" t="n">
        <v>141040639</v>
      </c>
      <c r="C3393" t="inlineStr">
        <is>
          <t>C</t>
        </is>
      </c>
      <c r="D3393" t="inlineStr">
        <is>
          <t>T</t>
        </is>
      </c>
      <c r="E3393" t="inlineStr">
        <is>
          <t>rs31745</t>
        </is>
      </c>
      <c r="F3393" t="n">
        <v>6.669191999999994e-05</v>
      </c>
      <c r="G3393" t="n">
        <v>0.6676889871102409</v>
      </c>
      <c r="H3393" t="n">
        <v>0.0146083591333128</v>
      </c>
      <c r="I3393" t="n">
        <v>0.1831060406327734</v>
      </c>
      <c r="J3393" t="n">
        <v>0.7376556572432861</v>
      </c>
      <c r="K3393" t="n">
        <v>0.0116657322424222</v>
      </c>
      <c r="L3393" t="b">
        <v>0</v>
      </c>
      <c r="M3393" t="b">
        <v>0</v>
      </c>
      <c r="N3393" t="inlineStr">
        <is>
          <t>alt</t>
        </is>
      </c>
      <c r="O3393" t="n">
        <v>50</v>
      </c>
      <c r="P3393" t="n">
        <v>0.00829</v>
      </c>
      <c r="Q3393" t="n">
        <v>-100</v>
      </c>
      <c r="R3393" t="n">
        <v>0.06383999999999999</v>
      </c>
      <c r="S3393">
        <f>IMAGE("https://mitra.stanford.edu/kundaje/oak/projects/neuro-variants/variant_position/credible/roussos_2024/variant_figures/roussos_2024.adolescence.GLU/rs31745_count_position.png",4,220,900)</f>
        <v/>
      </c>
      <c r="T3393">
        <f>IMAGE("https://mitra.stanford.edu/kundaje/oak/projects/neuro-variants/variant_position/credible/roussos_2024/variant_figures/roussos_2024.adolescence.GLU/rs31745_profile_position.png",4,220,900)</f>
        <v/>
      </c>
    </row>
    <row r="3394">
      <c r="A3394" t="inlineStr">
        <is>
          <t>chr5</t>
        </is>
      </c>
      <c r="B3394" t="n">
        <v>141049461</v>
      </c>
      <c r="C3394" t="inlineStr">
        <is>
          <t>A</t>
        </is>
      </c>
      <c r="D3394" t="inlineStr">
        <is>
          <t>G</t>
        </is>
      </c>
      <c r="E3394" t="inlineStr">
        <is>
          <t>rs34907800</t>
        </is>
      </c>
      <c r="F3394" t="n">
        <v>0.07146505359999999</v>
      </c>
      <c r="G3394" t="n">
        <v>0.0201632909541661</v>
      </c>
      <c r="H3394" t="n">
        <v>0.012866658979726</v>
      </c>
      <c r="I3394" t="n">
        <v>0.262586175884576</v>
      </c>
      <c r="J3394" t="n">
        <v>0.1224067842624543</v>
      </c>
      <c r="K3394" t="n">
        <v>0.5285769261138483</v>
      </c>
      <c r="L3394" t="b">
        <v>0</v>
      </c>
      <c r="M3394" t="b">
        <v>0</v>
      </c>
      <c r="N3394" t="inlineStr">
        <is>
          <t>alt</t>
        </is>
      </c>
      <c r="O3394" t="n">
        <v>-100</v>
      </c>
      <c r="P3394" t="n">
        <v>0.006325</v>
      </c>
      <c r="Q3394" t="n">
        <v>5</v>
      </c>
      <c r="R3394" t="n">
        <v>0.003296</v>
      </c>
      <c r="S3394">
        <f>IMAGE("https://mitra.stanford.edu/kundaje/oak/projects/neuro-variants/variant_position/credible/roussos_2024/variant_figures/roussos_2024.adolescence.GLU/rs34907800_count_position.png",4,220,900)</f>
        <v/>
      </c>
      <c r="T3394">
        <f>IMAGE("https://mitra.stanford.edu/kundaje/oak/projects/neuro-variants/variant_position/credible/roussos_2024/variant_figures/roussos_2024.adolescence.GLU/rs34907800_profile_position.png",4,220,900)</f>
        <v/>
      </c>
    </row>
    <row r="3395">
      <c r="A3395" t="inlineStr">
        <is>
          <t>chr5</t>
        </is>
      </c>
      <c r="B3395" t="n">
        <v>141086238</v>
      </c>
      <c r="C3395" t="inlineStr">
        <is>
          <t>A</t>
        </is>
      </c>
      <c r="D3395" t="inlineStr">
        <is>
          <t>G</t>
        </is>
      </c>
      <c r="E3395" t="inlineStr">
        <is>
          <t>rs31860</t>
        </is>
      </c>
      <c r="F3395" t="n">
        <v>0.00931091786</v>
      </c>
      <c r="G3395" t="n">
        <v>0.5193323510488403</v>
      </c>
      <c r="H3395" t="n">
        <v>0.0089455702290422</v>
      </c>
      <c r="I3395" t="n">
        <v>0.6653132393108266</v>
      </c>
      <c r="J3395" t="n">
        <v>0.0560158890055796</v>
      </c>
      <c r="K3395" t="n">
        <v>0.6848344507073795</v>
      </c>
      <c r="L3395" t="b">
        <v>0</v>
      </c>
      <c r="M3395" t="b">
        <v>0</v>
      </c>
      <c r="N3395" t="inlineStr">
        <is>
          <t>alt</t>
        </is>
      </c>
      <c r="O3395" t="n">
        <v>-100</v>
      </c>
      <c r="P3395" t="n">
        <v>0.00406</v>
      </c>
      <c r="Q3395" t="n">
        <v>-40</v>
      </c>
      <c r="R3395" t="n">
        <v>0.0631</v>
      </c>
      <c r="S3395">
        <f>IMAGE("https://mitra.stanford.edu/kundaje/oak/projects/neuro-variants/variant_position/credible/roussos_2024/variant_figures/roussos_2024.adolescence.GLU/rs31860_count_position.png",4,220,900)</f>
        <v/>
      </c>
      <c r="T3395">
        <f>IMAGE("https://mitra.stanford.edu/kundaje/oak/projects/neuro-variants/variant_position/credible/roussos_2024/variant_figures/roussos_2024.adolescence.GLU/rs31860_profile_position.png",4,220,900)</f>
        <v/>
      </c>
    </row>
    <row r="3396">
      <c r="A3396" t="inlineStr">
        <is>
          <t>chr5</t>
        </is>
      </c>
      <c r="B3396" t="n">
        <v>141086467</v>
      </c>
      <c r="C3396" t="inlineStr">
        <is>
          <t>G</t>
        </is>
      </c>
      <c r="D3396" t="inlineStr">
        <is>
          <t>A</t>
        </is>
      </c>
      <c r="E3396" t="inlineStr">
        <is>
          <t>rs31859</t>
        </is>
      </c>
      <c r="F3396" t="n">
        <v>0.0232298875</v>
      </c>
      <c r="G3396" t="n">
        <v>0.246225081788257</v>
      </c>
      <c r="H3396" t="n">
        <v>0.0276807961241396</v>
      </c>
      <c r="I3396" t="n">
        <v>0.0130997152163825</v>
      </c>
      <c r="J3396" t="n">
        <v>0.0342213744275599</v>
      </c>
      <c r="K3396" t="n">
        <v>0.7596703237662645</v>
      </c>
      <c r="L3396" t="b">
        <v>1</v>
      </c>
      <c r="M3396" t="b">
        <v>0</v>
      </c>
      <c r="N3396" t="inlineStr">
        <is>
          <t>alt</t>
        </is>
      </c>
      <c r="O3396" t="n">
        <v>100</v>
      </c>
      <c r="P3396" t="n">
        <v>0.002827</v>
      </c>
      <c r="Q3396" t="n">
        <v>-40</v>
      </c>
      <c r="R3396" t="n">
        <v>0.11487</v>
      </c>
      <c r="S3396">
        <f>IMAGE("https://mitra.stanford.edu/kundaje/oak/projects/neuro-variants/variant_position/credible/roussos_2024/variant_figures/roussos_2024.adolescence.GLU/rs31859_count_position.png",4,220,900)</f>
        <v/>
      </c>
      <c r="T3396">
        <f>IMAGE("https://mitra.stanford.edu/kundaje/oak/projects/neuro-variants/variant_position/credible/roussos_2024/variant_figures/roussos_2024.adolescence.GLU/rs31859_profile_position.png",4,220,900)</f>
        <v/>
      </c>
    </row>
    <row r="3397">
      <c r="A3397" t="inlineStr">
        <is>
          <t>chr5</t>
        </is>
      </c>
      <c r="B3397" t="n">
        <v>141087672</v>
      </c>
      <c r="C3397" t="inlineStr">
        <is>
          <t>T</t>
        </is>
      </c>
      <c r="D3397" t="inlineStr">
        <is>
          <t>A</t>
        </is>
      </c>
      <c r="E3397" t="inlineStr">
        <is>
          <t>rs35110655</t>
        </is>
      </c>
      <c r="F3397" t="n">
        <v>0.01324732664</v>
      </c>
      <c r="G3397" t="n">
        <v>0.4150200813225509</v>
      </c>
      <c r="H3397" t="n">
        <v>0.0122717842497133</v>
      </c>
      <c r="I3397" t="n">
        <v>0.3313243640403133</v>
      </c>
      <c r="J3397" t="n">
        <v>0.0815740403369269</v>
      </c>
      <c r="K3397" t="n">
        <v>0.6124025574570885</v>
      </c>
      <c r="L3397" t="b">
        <v>0</v>
      </c>
      <c r="M3397" t="b">
        <v>0</v>
      </c>
      <c r="N3397" t="inlineStr">
        <is>
          <t>alt</t>
        </is>
      </c>
      <c r="O3397" t="n">
        <v>50</v>
      </c>
      <c r="P3397" t="n">
        <v>0.00206</v>
      </c>
      <c r="Q3397" t="n">
        <v>-75</v>
      </c>
      <c r="R3397" t="n">
        <v>0.039</v>
      </c>
      <c r="S3397">
        <f>IMAGE("https://mitra.stanford.edu/kundaje/oak/projects/neuro-variants/variant_position/credible/roussos_2024/variant_figures/roussos_2024.adolescence.GLU/rs35110655_count_position.png",4,220,900)</f>
        <v/>
      </c>
      <c r="T3397">
        <f>IMAGE("https://mitra.stanford.edu/kundaje/oak/projects/neuro-variants/variant_position/credible/roussos_2024/variant_figures/roussos_2024.adolescence.GLU/rs35110655_profile_position.png",4,220,900)</f>
        <v/>
      </c>
    </row>
    <row r="3398">
      <c r="A3398" t="inlineStr">
        <is>
          <t>chr5</t>
        </is>
      </c>
      <c r="B3398" t="n">
        <v>141092802</v>
      </c>
      <c r="C3398" t="inlineStr">
        <is>
          <t>A</t>
        </is>
      </c>
      <c r="D3398" t="inlineStr">
        <is>
          <t>G</t>
        </is>
      </c>
      <c r="E3398" t="inlineStr">
        <is>
          <t>rs34580312</t>
        </is>
      </c>
      <c r="F3398" t="n">
        <v>0.156489974</v>
      </c>
      <c r="G3398" t="n">
        <v>0.0098332987363569</v>
      </c>
      <c r="H3398" t="n">
        <v>0.0481538644623395</v>
      </c>
      <c r="I3398" t="n">
        <v>0.009895973856229499</v>
      </c>
      <c r="J3398" t="n">
        <v>0.009083310114237899</v>
      </c>
      <c r="K3398" t="n">
        <v>0.8916410584985198</v>
      </c>
      <c r="L3398" t="b">
        <v>1</v>
      </c>
      <c r="M3398" t="b">
        <v>0</v>
      </c>
      <c r="N3398" t="inlineStr">
        <is>
          <t>alt</t>
        </is>
      </c>
      <c r="O3398" t="n">
        <v>-95</v>
      </c>
      <c r="P3398" t="n">
        <v>0.006626</v>
      </c>
      <c r="Q3398" t="n">
        <v>-100</v>
      </c>
      <c r="R3398" t="n">
        <v>0.076</v>
      </c>
      <c r="S3398">
        <f>IMAGE("https://mitra.stanford.edu/kundaje/oak/projects/neuro-variants/variant_position/credible/roussos_2024/variant_figures/roussos_2024.adolescence.GLU/rs34580312_count_position.png",4,220,900)</f>
        <v/>
      </c>
      <c r="T3398">
        <f>IMAGE("https://mitra.stanford.edu/kundaje/oak/projects/neuro-variants/variant_position/credible/roussos_2024/variant_figures/roussos_2024.adolescence.GLU/rs34580312_profile_position.png",4,220,900)</f>
        <v/>
      </c>
    </row>
    <row r="3399">
      <c r="A3399" t="inlineStr">
        <is>
          <t>chr5</t>
        </is>
      </c>
      <c r="B3399" t="n">
        <v>141095172</v>
      </c>
      <c r="C3399" t="inlineStr">
        <is>
          <t>G</t>
        </is>
      </c>
      <c r="D3399" t="inlineStr">
        <is>
          <t>A</t>
        </is>
      </c>
      <c r="E3399" t="inlineStr">
        <is>
          <t>rs31853</t>
        </is>
      </c>
      <c r="F3399" t="n">
        <v>-0.08818092199999999</v>
      </c>
      <c r="G3399" t="n">
        <v>0.0114381882145252</v>
      </c>
      <c r="H3399" t="n">
        <v>0.0125454808130985</v>
      </c>
      <c r="I3399" t="n">
        <v>0.2919777890343702</v>
      </c>
      <c r="J3399" t="n">
        <v>0.6527423537732816</v>
      </c>
      <c r="K3399" t="n">
        <v>0.0229762520157338</v>
      </c>
      <c r="L3399" t="b">
        <v>1</v>
      </c>
      <c r="M3399" t="b">
        <v>0</v>
      </c>
      <c r="N3399" t="inlineStr">
        <is>
          <t>ref</t>
        </is>
      </c>
      <c r="O3399" t="n">
        <v>-45</v>
      </c>
      <c r="P3399" t="n">
        <v>0.01495</v>
      </c>
      <c r="Q3399" t="n">
        <v>-40</v>
      </c>
      <c r="R3399" t="n">
        <v>0.06046</v>
      </c>
      <c r="S3399">
        <f>IMAGE("https://mitra.stanford.edu/kundaje/oak/projects/neuro-variants/variant_position/credible/roussos_2024/variant_figures/roussos_2024.adolescence.GLU/rs31853_count_position.png",4,220,900)</f>
        <v/>
      </c>
      <c r="T3399">
        <f>IMAGE("https://mitra.stanford.edu/kundaje/oak/projects/neuro-variants/variant_position/credible/roussos_2024/variant_figures/roussos_2024.adolescence.GLU/rs31853_profile_position.png",4,220,900)</f>
        <v/>
      </c>
    </row>
    <row r="3400">
      <c r="A3400" t="inlineStr">
        <is>
          <t>chr5</t>
        </is>
      </c>
      <c r="B3400" t="n">
        <v>141099537</v>
      </c>
      <c r="C3400" t="inlineStr">
        <is>
          <t>A</t>
        </is>
      </c>
      <c r="D3400" t="inlineStr">
        <is>
          <t>C</t>
        </is>
      </c>
      <c r="E3400" t="inlineStr">
        <is>
          <t>rs13183611</t>
        </is>
      </c>
      <c r="F3400" t="n">
        <v>0.009723794060000001</v>
      </c>
      <c r="G3400" t="n">
        <v>0.519465414531642</v>
      </c>
      <c r="H3400" t="n">
        <v>0.0070220488531589</v>
      </c>
      <c r="I3400" t="n">
        <v>0.9134973353525748</v>
      </c>
      <c r="J3400" t="n">
        <v>0.1019196833629823</v>
      </c>
      <c r="K3400" t="n">
        <v>0.5596618552193144</v>
      </c>
      <c r="L3400" t="b">
        <v>0</v>
      </c>
      <c r="M3400" t="b">
        <v>0</v>
      </c>
      <c r="N3400" t="inlineStr">
        <is>
          <t>alt</t>
        </is>
      </c>
      <c r="O3400" t="n">
        <v>45</v>
      </c>
      <c r="P3400" t="n">
        <v>0.007774</v>
      </c>
      <c r="Q3400" t="n">
        <v>100</v>
      </c>
      <c r="R3400" t="n">
        <v>0.05212</v>
      </c>
      <c r="S3400">
        <f>IMAGE("https://mitra.stanford.edu/kundaje/oak/projects/neuro-variants/variant_position/credible/roussos_2024/variant_figures/roussos_2024.adolescence.GLU/rs13183611_count_position.png",4,220,900)</f>
        <v/>
      </c>
      <c r="T3400">
        <f>IMAGE("https://mitra.stanford.edu/kundaje/oak/projects/neuro-variants/variant_position/credible/roussos_2024/variant_figures/roussos_2024.adolescence.GLU/rs13183611_profile_position.png",4,220,900)</f>
        <v/>
      </c>
    </row>
    <row r="3401">
      <c r="A3401" t="inlineStr">
        <is>
          <t>chr5</t>
        </is>
      </c>
      <c r="B3401" t="n">
        <v>141100595</v>
      </c>
      <c r="C3401" t="inlineStr">
        <is>
          <t>T</t>
        </is>
      </c>
      <c r="D3401" t="inlineStr">
        <is>
          <t>G</t>
        </is>
      </c>
      <c r="E3401" t="inlineStr">
        <is>
          <t>rs1055410</t>
        </is>
      </c>
      <c r="F3401" t="n">
        <v>0.040182771</v>
      </c>
      <c r="G3401" t="n">
        <v>0.1012474908396115</v>
      </c>
      <c r="H3401" t="n">
        <v>0.0093659117099238</v>
      </c>
      <c r="I3401" t="n">
        <v>0.6214114505851607</v>
      </c>
      <c r="J3401" t="n">
        <v>0.7373413064134713</v>
      </c>
      <c r="K3401" t="n">
        <v>0.0116444144682551</v>
      </c>
      <c r="L3401" t="b">
        <v>0</v>
      </c>
      <c r="M3401" t="b">
        <v>0</v>
      </c>
      <c r="N3401" t="inlineStr">
        <is>
          <t>alt</t>
        </is>
      </c>
      <c r="O3401" t="n">
        <v>-100</v>
      </c>
      <c r="P3401" t="n">
        <v>0.1284</v>
      </c>
      <c r="Q3401" t="n">
        <v>-70</v>
      </c>
      <c r="R3401" t="n">
        <v>0.4155</v>
      </c>
      <c r="S3401">
        <f>IMAGE("https://mitra.stanford.edu/kundaje/oak/projects/neuro-variants/variant_position/credible/roussos_2024/variant_figures/roussos_2024.adolescence.GLU/rs1055410_count_position.png",4,220,900)</f>
        <v/>
      </c>
      <c r="T3401">
        <f>IMAGE("https://mitra.stanford.edu/kundaje/oak/projects/neuro-variants/variant_position/credible/roussos_2024/variant_figures/roussos_2024.adolescence.GLU/rs1055410_profile_position.png",4,220,900)</f>
        <v/>
      </c>
    </row>
    <row r="3402">
      <c r="A3402" t="inlineStr">
        <is>
          <t>chr5</t>
        </is>
      </c>
      <c r="B3402" t="n">
        <v>141107252</v>
      </c>
      <c r="C3402" t="inlineStr">
        <is>
          <t>G</t>
        </is>
      </c>
      <c r="D3402" t="inlineStr">
        <is>
          <t>A</t>
        </is>
      </c>
      <c r="E3402" t="inlineStr">
        <is>
          <t>rs34535102</t>
        </is>
      </c>
      <c r="F3402" t="n">
        <v>0.009507933499999999</v>
      </c>
      <c r="G3402" t="n">
        <v>0.5515704011131872</v>
      </c>
      <c r="H3402" t="n">
        <v>0.0074165622153343</v>
      </c>
      <c r="I3402" t="n">
        <v>0.8308254929665407</v>
      </c>
      <c r="J3402" t="n">
        <v>0.0430217687949646</v>
      </c>
      <c r="K3402" t="n">
        <v>0.7284641409044647</v>
      </c>
      <c r="L3402" t="b">
        <v>0</v>
      </c>
      <c r="M3402" t="b">
        <v>0</v>
      </c>
      <c r="N3402" t="inlineStr">
        <is>
          <t>alt</t>
        </is>
      </c>
      <c r="O3402" t="n">
        <v>55</v>
      </c>
      <c r="P3402" t="n">
        <v>0.001373</v>
      </c>
      <c r="Q3402" t="n">
        <v>20</v>
      </c>
      <c r="R3402" t="n">
        <v>0.01775</v>
      </c>
      <c r="S3402">
        <f>IMAGE("https://mitra.stanford.edu/kundaje/oak/projects/neuro-variants/variant_position/credible/roussos_2024/variant_figures/roussos_2024.adolescence.GLU/rs34535102_count_position.png",4,220,900)</f>
        <v/>
      </c>
      <c r="T3402">
        <f>IMAGE("https://mitra.stanford.edu/kundaje/oak/projects/neuro-variants/variant_position/credible/roussos_2024/variant_figures/roussos_2024.adolescence.GLU/rs34535102_profile_position.png",4,220,900)</f>
        <v/>
      </c>
    </row>
    <row r="3403">
      <c r="A3403" t="inlineStr">
        <is>
          <t>chr5</t>
        </is>
      </c>
      <c r="B3403" t="n">
        <v>141123949</v>
      </c>
      <c r="C3403" t="inlineStr">
        <is>
          <t>C</t>
        </is>
      </c>
      <c r="D3403" t="inlineStr">
        <is>
          <t>T</t>
        </is>
      </c>
      <c r="E3403" t="inlineStr">
        <is>
          <t>rs17844417</t>
        </is>
      </c>
      <c r="F3403" t="n">
        <v>-0.0297434162</v>
      </c>
      <c r="G3403" t="n">
        <v>0.1820110841086594</v>
      </c>
      <c r="H3403" t="n">
        <v>0.013873656532144</v>
      </c>
      <c r="I3403" t="n">
        <v>0.2023054830518425</v>
      </c>
      <c r="J3403" t="n">
        <v>0.6786048538625858</v>
      </c>
      <c r="K3403" t="n">
        <v>0.0181786376662767</v>
      </c>
      <c r="L3403" t="b">
        <v>0</v>
      </c>
      <c r="M3403" t="b">
        <v>0</v>
      </c>
      <c r="N3403" t="inlineStr">
        <is>
          <t>ref</t>
        </is>
      </c>
      <c r="O3403" t="n">
        <v>-100</v>
      </c>
      <c r="P3403" t="n">
        <v>0.004585</v>
      </c>
      <c r="Q3403" t="n">
        <v>10</v>
      </c>
      <c r="R3403" t="n">
        <v>0.03168</v>
      </c>
      <c r="S3403">
        <f>IMAGE("https://mitra.stanford.edu/kundaje/oak/projects/neuro-variants/variant_position/credible/roussos_2024/variant_figures/roussos_2024.adolescence.GLU/rs17844417_count_position.png",4,220,900)</f>
        <v/>
      </c>
      <c r="T3403">
        <f>IMAGE("https://mitra.stanford.edu/kundaje/oak/projects/neuro-variants/variant_position/credible/roussos_2024/variant_figures/roussos_2024.adolescence.GLU/rs17844417_profile_position.png",4,220,900)</f>
        <v/>
      </c>
    </row>
    <row r="3404">
      <c r="A3404" t="inlineStr">
        <is>
          <t>chr5</t>
        </is>
      </c>
      <c r="B3404" t="n">
        <v>141128290</v>
      </c>
      <c r="C3404" t="inlineStr">
        <is>
          <t>A</t>
        </is>
      </c>
      <c r="D3404" t="inlineStr">
        <is>
          <t>G</t>
        </is>
      </c>
      <c r="E3404" t="inlineStr">
        <is>
          <t>rs74601574</t>
        </is>
      </c>
      <c r="F3404" t="n">
        <v>0.00288253778</v>
      </c>
      <c r="G3404" t="n">
        <v>0.7064048533491469</v>
      </c>
      <c r="H3404" t="n">
        <v>0.0166799999628103</v>
      </c>
      <c r="I3404" t="n">
        <v>0.1097545585264036</v>
      </c>
      <c r="J3404" t="n">
        <v>0.0010730794235948</v>
      </c>
      <c r="K3404" t="n">
        <v>0.9677576058819288</v>
      </c>
      <c r="L3404" t="b">
        <v>0</v>
      </c>
      <c r="M3404" t="b">
        <v>0</v>
      </c>
      <c r="N3404" t="inlineStr">
        <is>
          <t>alt</t>
        </is>
      </c>
      <c r="O3404" t="n">
        <v>-100</v>
      </c>
      <c r="P3404" t="n">
        <v>0.0014</v>
      </c>
      <c r="Q3404" t="n">
        <v>80</v>
      </c>
      <c r="R3404" t="n">
        <v>0.047</v>
      </c>
      <c r="S3404">
        <f>IMAGE("https://mitra.stanford.edu/kundaje/oak/projects/neuro-variants/variant_position/credible/roussos_2024/variant_figures/roussos_2024.adolescence.GLU/rs74601574_count_position.png",4,220,900)</f>
        <v/>
      </c>
      <c r="T3404">
        <f>IMAGE("https://mitra.stanford.edu/kundaje/oak/projects/neuro-variants/variant_position/credible/roussos_2024/variant_figures/roussos_2024.adolescence.GLU/rs74601574_profile_position.png",4,220,900)</f>
        <v/>
      </c>
    </row>
    <row r="3405">
      <c r="A3405" t="inlineStr">
        <is>
          <t>chr5</t>
        </is>
      </c>
      <c r="B3405" t="n">
        <v>141129143</v>
      </c>
      <c r="C3405" t="inlineStr">
        <is>
          <t>A</t>
        </is>
      </c>
      <c r="D3405" t="inlineStr">
        <is>
          <t>C</t>
        </is>
      </c>
      <c r="E3405" t="inlineStr">
        <is>
          <t>rs35737105</t>
        </is>
      </c>
      <c r="F3405" t="n">
        <v>0.0476540587999999</v>
      </c>
      <c r="G3405" t="n">
        <v>0.0686829675104126</v>
      </c>
      <c r="H3405" t="n">
        <v>0.0110536268908335</v>
      </c>
      <c r="I3405" t="n">
        <v>0.3959785930850721</v>
      </c>
      <c r="J3405" t="n">
        <v>0.003939387444542</v>
      </c>
      <c r="K3405" t="n">
        <v>0.9316718564861528</v>
      </c>
      <c r="L3405" t="b">
        <v>0</v>
      </c>
      <c r="M3405" t="b">
        <v>0</v>
      </c>
      <c r="N3405" t="inlineStr">
        <is>
          <t>alt</t>
        </is>
      </c>
      <c r="O3405" t="n">
        <v>60</v>
      </c>
      <c r="P3405" t="n">
        <v>0.006615</v>
      </c>
      <c r="Q3405" t="n">
        <v>-100</v>
      </c>
      <c r="R3405" t="n">
        <v>0.07580000000000001</v>
      </c>
      <c r="S3405">
        <f>IMAGE("https://mitra.stanford.edu/kundaje/oak/projects/neuro-variants/variant_position/credible/roussos_2024/variant_figures/roussos_2024.adolescence.GLU/rs35737105_count_position.png",4,220,900)</f>
        <v/>
      </c>
      <c r="T3405">
        <f>IMAGE("https://mitra.stanford.edu/kundaje/oak/projects/neuro-variants/variant_position/credible/roussos_2024/variant_figures/roussos_2024.adolescence.GLU/rs35737105_profile_position.png",4,220,900)</f>
        <v/>
      </c>
    </row>
    <row r="3406">
      <c r="A3406" t="inlineStr">
        <is>
          <t>chr5</t>
        </is>
      </c>
      <c r="B3406" t="n">
        <v>152478563</v>
      </c>
      <c r="C3406" t="inlineStr">
        <is>
          <t>A</t>
        </is>
      </c>
      <c r="D3406" t="inlineStr">
        <is>
          <t>G</t>
        </is>
      </c>
      <c r="E3406" t="inlineStr">
        <is>
          <t>rs3864272</t>
        </is>
      </c>
      <c r="F3406" t="n">
        <v>0.0776234616</v>
      </c>
      <c r="G3406" t="n">
        <v>0.0289731110443496</v>
      </c>
      <c r="H3406" t="n">
        <v>0.0243837175501224</v>
      </c>
      <c r="I3406" t="n">
        <v>0.0403298098182199</v>
      </c>
      <c r="J3406" t="n">
        <v>0.0334254952811653</v>
      </c>
      <c r="K3406" t="n">
        <v>0.756092485784143</v>
      </c>
      <c r="L3406" t="b">
        <v>0</v>
      </c>
      <c r="M3406" t="b">
        <v>0</v>
      </c>
      <c r="N3406" t="inlineStr">
        <is>
          <t>alt</t>
        </is>
      </c>
      <c r="O3406" t="n">
        <v>85</v>
      </c>
      <c r="P3406" t="n">
        <v>0.01567</v>
      </c>
      <c r="Q3406" t="n">
        <v>-100</v>
      </c>
      <c r="R3406" t="n">
        <v>0.0455</v>
      </c>
      <c r="S3406">
        <f>IMAGE("https://mitra.stanford.edu/kundaje/oak/projects/neuro-variants/variant_position/credible/roussos_2024/variant_figures/roussos_2024.adolescence.GLU/rs3864272_count_position.png",4,220,900)</f>
        <v/>
      </c>
      <c r="T3406">
        <f>IMAGE("https://mitra.stanford.edu/kundaje/oak/projects/neuro-variants/variant_position/credible/roussos_2024/variant_figures/roussos_2024.adolescence.GLU/rs3864272_profile_position.png",4,220,900)</f>
        <v/>
      </c>
    </row>
    <row r="3407">
      <c r="A3407" t="inlineStr">
        <is>
          <t>chr5</t>
        </is>
      </c>
      <c r="B3407" t="n">
        <v>152593173</v>
      </c>
      <c r="C3407" t="inlineStr">
        <is>
          <t>T</t>
        </is>
      </c>
      <c r="D3407" t="inlineStr">
        <is>
          <t>C</t>
        </is>
      </c>
      <c r="E3407" t="inlineStr">
        <is>
          <t>rs12657267</t>
        </is>
      </c>
      <c r="F3407" t="n">
        <v>0.07421411579999999</v>
      </c>
      <c r="G3407" t="n">
        <v>0.0469892150489948</v>
      </c>
      <c r="H3407" t="n">
        <v>0.0255936479852376</v>
      </c>
      <c r="I3407" t="n">
        <v>0.0513139550086548</v>
      </c>
      <c r="J3407" t="n">
        <v>0.1946288874123925</v>
      </c>
      <c r="K3407" t="n">
        <v>0.3833983026786903</v>
      </c>
      <c r="L3407" t="b">
        <v>0</v>
      </c>
      <c r="M3407" t="b">
        <v>0</v>
      </c>
      <c r="N3407" t="inlineStr">
        <is>
          <t>alt</t>
        </is>
      </c>
      <c r="O3407" t="n">
        <v>100</v>
      </c>
      <c r="P3407" t="n">
        <v>0.01123</v>
      </c>
      <c r="Q3407" t="n">
        <v>-75</v>
      </c>
      <c r="R3407" t="n">
        <v>0.0882</v>
      </c>
      <c r="S3407">
        <f>IMAGE("https://mitra.stanford.edu/kundaje/oak/projects/neuro-variants/variant_position/credible/roussos_2024/variant_figures/roussos_2024.adolescence.GLU/rs12657267_count_position.png",4,220,900)</f>
        <v/>
      </c>
      <c r="T3407">
        <f>IMAGE("https://mitra.stanford.edu/kundaje/oak/projects/neuro-variants/variant_position/credible/roussos_2024/variant_figures/roussos_2024.adolescence.GLU/rs12657267_profile_position.png",4,220,900)</f>
        <v/>
      </c>
    </row>
    <row r="3408">
      <c r="A3408" t="inlineStr">
        <is>
          <t>chr5</t>
        </is>
      </c>
      <c r="B3408" t="n">
        <v>152642535</v>
      </c>
      <c r="C3408" t="inlineStr">
        <is>
          <t>G</t>
        </is>
      </c>
      <c r="D3408" t="inlineStr">
        <is>
          <t>A</t>
        </is>
      </c>
      <c r="E3408" t="inlineStr">
        <is>
          <t>rs17454953</t>
        </is>
      </c>
      <c r="F3408" t="n">
        <v>-0.0299867354</v>
      </c>
      <c r="G3408" t="n">
        <v>0.1820258906722788</v>
      </c>
      <c r="H3408" t="n">
        <v>0.0084195855805264</v>
      </c>
      <c r="I3408" t="n">
        <v>0.7386960117315502</v>
      </c>
      <c r="J3408" t="n">
        <v>0.341393574383265</v>
      </c>
      <c r="K3408" t="n">
        <v>0.2243900531487224</v>
      </c>
      <c r="L3408" t="b">
        <v>0</v>
      </c>
      <c r="M3408" t="b">
        <v>0</v>
      </c>
      <c r="N3408" t="inlineStr">
        <is>
          <t>ref</t>
        </is>
      </c>
      <c r="O3408" t="n">
        <v>100</v>
      </c>
      <c r="P3408" t="n">
        <v>0.0324</v>
      </c>
      <c r="Q3408" t="n">
        <v>-100</v>
      </c>
      <c r="R3408" t="n">
        <v>0.09607</v>
      </c>
      <c r="S3408">
        <f>IMAGE("https://mitra.stanford.edu/kundaje/oak/projects/neuro-variants/variant_position/credible/roussos_2024/variant_figures/roussos_2024.adolescence.GLU/rs17454953_count_position.png",4,220,900)</f>
        <v/>
      </c>
      <c r="T3408">
        <f>IMAGE("https://mitra.stanford.edu/kundaje/oak/projects/neuro-variants/variant_position/credible/roussos_2024/variant_figures/roussos_2024.adolescence.GLU/rs17454953_profile_position.png",4,220,900)</f>
        <v/>
      </c>
    </row>
    <row r="3409">
      <c r="A3409" t="inlineStr">
        <is>
          <t>chr5</t>
        </is>
      </c>
      <c r="B3409" t="n">
        <v>152676834</v>
      </c>
      <c r="C3409" t="inlineStr">
        <is>
          <t>T</t>
        </is>
      </c>
      <c r="D3409" t="inlineStr">
        <is>
          <t>C</t>
        </is>
      </c>
      <c r="E3409" t="inlineStr">
        <is>
          <t>rs17455625</t>
        </is>
      </c>
      <c r="F3409" t="n">
        <v>-0.00884174414</v>
      </c>
      <c r="G3409" t="n">
        <v>0.5652522689453242</v>
      </c>
      <c r="H3409" t="n">
        <v>0.021600264336988</v>
      </c>
      <c r="I3409" t="n">
        <v>0.0408768216002329</v>
      </c>
      <c r="J3409" t="n">
        <v>0.2576390823813503</v>
      </c>
      <c r="K3409" t="n">
        <v>0.3231489612070023</v>
      </c>
      <c r="L3409" t="b">
        <v>0</v>
      </c>
      <c r="M3409" t="b">
        <v>0</v>
      </c>
      <c r="N3409" t="inlineStr">
        <is>
          <t>ref</t>
        </is>
      </c>
      <c r="O3409" t="n">
        <v>-95</v>
      </c>
      <c r="P3409" t="n">
        <v>0.007137</v>
      </c>
      <c r="Q3409" t="n">
        <v>-100</v>
      </c>
      <c r="R3409" t="n">
        <v>0.02654</v>
      </c>
      <c r="S3409">
        <f>IMAGE("https://mitra.stanford.edu/kundaje/oak/projects/neuro-variants/variant_position/credible/roussos_2024/variant_figures/roussos_2024.adolescence.GLU/rs17455625_count_position.png",4,220,900)</f>
        <v/>
      </c>
      <c r="T3409">
        <f>IMAGE("https://mitra.stanford.edu/kundaje/oak/projects/neuro-variants/variant_position/credible/roussos_2024/variant_figures/roussos_2024.adolescence.GLU/rs17455625_profile_position.png",4,220,900)</f>
        <v/>
      </c>
    </row>
    <row r="3410">
      <c r="A3410" t="inlineStr">
        <is>
          <t>chr5</t>
        </is>
      </c>
      <c r="B3410" t="n">
        <v>152678555</v>
      </c>
      <c r="C3410" t="inlineStr">
        <is>
          <t>C</t>
        </is>
      </c>
      <c r="D3410" t="inlineStr">
        <is>
          <t>G</t>
        </is>
      </c>
      <c r="E3410" t="inlineStr">
        <is>
          <t>rs12657990</t>
        </is>
      </c>
      <c r="F3410" t="n">
        <v>-0.0062280644399999</v>
      </c>
      <c r="G3410" t="n">
        <v>0.6575268470386029</v>
      </c>
      <c r="H3410" t="n">
        <v>0.010040661840929</v>
      </c>
      <c r="I3410" t="n">
        <v>0.5335786681570578</v>
      </c>
      <c r="J3410" t="n">
        <v>0.06792549885333379</v>
      </c>
      <c r="K3410" t="n">
        <v>0.6542245633075303</v>
      </c>
      <c r="L3410" t="b">
        <v>0</v>
      </c>
      <c r="M3410" t="b">
        <v>0</v>
      </c>
      <c r="N3410" t="inlineStr">
        <is>
          <t>ref</t>
        </is>
      </c>
      <c r="O3410" t="n">
        <v>80</v>
      </c>
      <c r="P3410" t="n">
        <v>0.0056</v>
      </c>
      <c r="Q3410" t="n">
        <v>-15</v>
      </c>
      <c r="R3410" t="n">
        <v>0.01137</v>
      </c>
      <c r="S3410">
        <f>IMAGE("https://mitra.stanford.edu/kundaje/oak/projects/neuro-variants/variant_position/credible/roussos_2024/variant_figures/roussos_2024.adolescence.GLU/rs12657990_count_position.png",4,220,900)</f>
        <v/>
      </c>
      <c r="T3410">
        <f>IMAGE("https://mitra.stanford.edu/kundaje/oak/projects/neuro-variants/variant_position/credible/roussos_2024/variant_figures/roussos_2024.adolescence.GLU/rs12657990_profile_position.png",4,220,900)</f>
        <v/>
      </c>
    </row>
    <row r="3411">
      <c r="A3411" t="inlineStr">
        <is>
          <t>chr5</t>
        </is>
      </c>
      <c r="B3411" t="n">
        <v>152699630</v>
      </c>
      <c r="C3411" t="inlineStr">
        <is>
          <t>G</t>
        </is>
      </c>
      <c r="D3411" t="inlineStr">
        <is>
          <t>C</t>
        </is>
      </c>
      <c r="E3411" t="inlineStr">
        <is>
          <t>rs77257050</t>
        </is>
      </c>
      <c r="F3411" t="n">
        <v>0.0489389098</v>
      </c>
      <c r="G3411" t="n">
        <v>0.0613490923690481</v>
      </c>
      <c r="H3411" t="n">
        <v>0.0114355548209294</v>
      </c>
      <c r="I3411" t="n">
        <v>0.3640867171688409</v>
      </c>
      <c r="J3411" t="n">
        <v>0.0648505761907823</v>
      </c>
      <c r="K3411" t="n">
        <v>0.6548387308210132</v>
      </c>
      <c r="L3411" t="b">
        <v>0</v>
      </c>
      <c r="M3411" t="b">
        <v>0</v>
      </c>
      <c r="N3411" t="inlineStr">
        <is>
          <t>alt</t>
        </is>
      </c>
      <c r="O3411" t="n">
        <v>-70</v>
      </c>
      <c r="P3411" t="n">
        <v>0.00804</v>
      </c>
      <c r="Q3411" t="n">
        <v>90</v>
      </c>
      <c r="R3411" t="n">
        <v>0.03363</v>
      </c>
      <c r="S3411">
        <f>IMAGE("https://mitra.stanford.edu/kundaje/oak/projects/neuro-variants/variant_position/credible/roussos_2024/variant_figures/roussos_2024.adolescence.GLU/rs77257050_count_position.png",4,220,900)</f>
        <v/>
      </c>
      <c r="T3411">
        <f>IMAGE("https://mitra.stanford.edu/kundaje/oak/projects/neuro-variants/variant_position/credible/roussos_2024/variant_figures/roussos_2024.adolescence.GLU/rs77257050_profile_position.png",4,220,900)</f>
        <v/>
      </c>
    </row>
    <row r="3412">
      <c r="A3412" t="inlineStr">
        <is>
          <t>chr5</t>
        </is>
      </c>
      <c r="B3412" t="n">
        <v>152706014</v>
      </c>
      <c r="C3412" t="inlineStr">
        <is>
          <t>A</t>
        </is>
      </c>
      <c r="D3412" t="inlineStr">
        <is>
          <t>C</t>
        </is>
      </c>
      <c r="E3412" t="inlineStr">
        <is>
          <t>rs4133347</t>
        </is>
      </c>
      <c r="F3412" t="n">
        <v>-0.0022491447</v>
      </c>
      <c r="G3412" t="n">
        <v>0.7906506772095361</v>
      </c>
      <c r="H3412" t="n">
        <v>0.0189486216139388</v>
      </c>
      <c r="I3412" t="n">
        <v>0.0678370182725201</v>
      </c>
      <c r="J3412" t="n">
        <v>0.0212001057361881</v>
      </c>
      <c r="K3412" t="n">
        <v>0.8144778346593453</v>
      </c>
      <c r="L3412" t="b">
        <v>0</v>
      </c>
      <c r="M3412" t="b">
        <v>0</v>
      </c>
      <c r="N3412" t="inlineStr">
        <is>
          <t>ref</t>
        </is>
      </c>
      <c r="O3412" t="n">
        <v>10</v>
      </c>
      <c r="P3412" t="n">
        <v>0.003035</v>
      </c>
      <c r="Q3412" t="n">
        <v>85</v>
      </c>
      <c r="R3412" t="n">
        <v>0.04245</v>
      </c>
      <c r="S3412">
        <f>IMAGE("https://mitra.stanford.edu/kundaje/oak/projects/neuro-variants/variant_position/credible/roussos_2024/variant_figures/roussos_2024.adolescence.GLU/rs4133347_count_position.png",4,220,900)</f>
        <v/>
      </c>
      <c r="T3412">
        <f>IMAGE("https://mitra.stanford.edu/kundaje/oak/projects/neuro-variants/variant_position/credible/roussos_2024/variant_figures/roussos_2024.adolescence.GLU/rs4133347_profile_position.png",4,220,900)</f>
        <v/>
      </c>
    </row>
    <row r="3413">
      <c r="A3413" t="inlineStr">
        <is>
          <t>chr5</t>
        </is>
      </c>
      <c r="B3413" t="n">
        <v>152718002</v>
      </c>
      <c r="C3413" t="inlineStr">
        <is>
          <t>T</t>
        </is>
      </c>
      <c r="D3413" t="inlineStr">
        <is>
          <t>C</t>
        </is>
      </c>
      <c r="E3413" t="inlineStr">
        <is>
          <t>rs55737372</t>
        </is>
      </c>
      <c r="F3413" t="n">
        <v>0.07208604320000001</v>
      </c>
      <c r="G3413" t="n">
        <v>0.0233692322871333</v>
      </c>
      <c r="H3413" t="n">
        <v>0.021294878565097</v>
      </c>
      <c r="I3413" t="n">
        <v>0.0440938244813629</v>
      </c>
      <c r="J3413" t="n">
        <v>0.2481799801387429</v>
      </c>
      <c r="K3413" t="n">
        <v>0.3306671808044705</v>
      </c>
      <c r="L3413" t="b">
        <v>0</v>
      </c>
      <c r="M3413" t="b">
        <v>0</v>
      </c>
      <c r="N3413" t="inlineStr">
        <is>
          <t>alt</t>
        </is>
      </c>
      <c r="O3413" t="n">
        <v>10</v>
      </c>
      <c r="P3413" t="n">
        <v>0.0058</v>
      </c>
      <c r="Q3413" t="n">
        <v>20</v>
      </c>
      <c r="R3413" t="n">
        <v>0.014404</v>
      </c>
      <c r="S3413">
        <f>IMAGE("https://mitra.stanford.edu/kundaje/oak/projects/neuro-variants/variant_position/credible/roussos_2024/variant_figures/roussos_2024.adolescence.GLU/rs55737372_count_position.png",4,220,900)</f>
        <v/>
      </c>
      <c r="T3413">
        <f>IMAGE("https://mitra.stanford.edu/kundaje/oak/projects/neuro-variants/variant_position/credible/roussos_2024/variant_figures/roussos_2024.adolescence.GLU/rs55737372_profile_position.png",4,220,900)</f>
        <v/>
      </c>
    </row>
    <row r="3414">
      <c r="A3414" t="inlineStr">
        <is>
          <t>chr5</t>
        </is>
      </c>
      <c r="B3414" t="n">
        <v>152719145</v>
      </c>
      <c r="C3414" t="inlineStr">
        <is>
          <t>C</t>
        </is>
      </c>
      <c r="D3414" t="inlineStr">
        <is>
          <t>G</t>
        </is>
      </c>
      <c r="E3414" t="inlineStr">
        <is>
          <t>rs11167589</t>
        </is>
      </c>
      <c r="F3414" t="n">
        <v>0.0037736929999999</v>
      </c>
      <c r="G3414" t="n">
        <v>0.6293193768682105</v>
      </c>
      <c r="H3414" t="n">
        <v>0.0102625787998903</v>
      </c>
      <c r="I3414" t="n">
        <v>0.5107713324465708</v>
      </c>
      <c r="J3414" t="n">
        <v>0.0595294739624636</v>
      </c>
      <c r="K3414" t="n">
        <v>0.6665457672441889</v>
      </c>
      <c r="L3414" t="b">
        <v>0</v>
      </c>
      <c r="M3414" t="b">
        <v>0</v>
      </c>
      <c r="N3414" t="inlineStr">
        <is>
          <t>alt</t>
        </is>
      </c>
      <c r="O3414" t="n">
        <v>-50</v>
      </c>
      <c r="P3414" t="n">
        <v>0.00476</v>
      </c>
      <c r="Q3414" t="n">
        <v>10</v>
      </c>
      <c r="R3414" t="n">
        <v>0.005493</v>
      </c>
      <c r="S3414">
        <f>IMAGE("https://mitra.stanford.edu/kundaje/oak/projects/neuro-variants/variant_position/credible/roussos_2024/variant_figures/roussos_2024.adolescence.GLU/rs11167589_count_position.png",4,220,900)</f>
        <v/>
      </c>
      <c r="T3414">
        <f>IMAGE("https://mitra.stanford.edu/kundaje/oak/projects/neuro-variants/variant_position/credible/roussos_2024/variant_figures/roussos_2024.adolescence.GLU/rs11167589_profile_position.png",4,220,900)</f>
        <v/>
      </c>
    </row>
    <row r="3415">
      <c r="A3415" t="inlineStr">
        <is>
          <t>chr5</t>
        </is>
      </c>
      <c r="B3415" t="n">
        <v>152721189</v>
      </c>
      <c r="C3415" t="inlineStr">
        <is>
          <t>A</t>
        </is>
      </c>
      <c r="D3415" t="inlineStr">
        <is>
          <t>G</t>
        </is>
      </c>
      <c r="E3415" t="inlineStr">
        <is>
          <t>rs72799143</t>
        </is>
      </c>
      <c r="F3415" t="n">
        <v>0.0635105728</v>
      </c>
      <c r="G3415" t="n">
        <v>0.0307248214158515</v>
      </c>
      <c r="H3415" t="n">
        <v>0.0120255963056792</v>
      </c>
      <c r="I3415" t="n">
        <v>0.3224387427045077</v>
      </c>
      <c r="J3415" t="n">
        <v>0.155116416972087</v>
      </c>
      <c r="K3415" t="n">
        <v>0.4799756890875354</v>
      </c>
      <c r="L3415" t="b">
        <v>0</v>
      </c>
      <c r="M3415" t="b">
        <v>0</v>
      </c>
      <c r="N3415" t="inlineStr">
        <is>
          <t>alt</t>
        </is>
      </c>
      <c r="O3415" t="n">
        <v>-100</v>
      </c>
      <c r="P3415" t="n">
        <v>0.00657</v>
      </c>
      <c r="Q3415" t="n">
        <v>85</v>
      </c>
      <c r="R3415" t="n">
        <v>0.04562</v>
      </c>
      <c r="S3415">
        <f>IMAGE("https://mitra.stanford.edu/kundaje/oak/projects/neuro-variants/variant_position/credible/roussos_2024/variant_figures/roussos_2024.adolescence.GLU/rs72799143_count_position.png",4,220,900)</f>
        <v/>
      </c>
      <c r="T3415">
        <f>IMAGE("https://mitra.stanford.edu/kundaje/oak/projects/neuro-variants/variant_position/credible/roussos_2024/variant_figures/roussos_2024.adolescence.GLU/rs72799143_profile_position.png",4,220,900)</f>
        <v/>
      </c>
    </row>
    <row r="3416">
      <c r="A3416" t="inlineStr">
        <is>
          <t>chr5</t>
        </is>
      </c>
      <c r="B3416" t="n">
        <v>152731277</v>
      </c>
      <c r="C3416" t="inlineStr">
        <is>
          <t>C</t>
        </is>
      </c>
      <c r="D3416" t="inlineStr">
        <is>
          <t>A</t>
        </is>
      </c>
      <c r="E3416" t="inlineStr">
        <is>
          <t>rs72799151</t>
        </is>
      </c>
      <c r="F3416" t="n">
        <v>0.0124725929999999</v>
      </c>
      <c r="G3416" t="n">
        <v>0.4469421036559102</v>
      </c>
      <c r="H3416" t="n">
        <v>0.0120966979218757</v>
      </c>
      <c r="I3416" t="n">
        <v>0.334628317630264</v>
      </c>
      <c r="J3416" t="n">
        <v>0.0042294475284165</v>
      </c>
      <c r="K3416" t="n">
        <v>0.9254595441594732</v>
      </c>
      <c r="L3416" t="b">
        <v>0</v>
      </c>
      <c r="M3416" t="b">
        <v>0</v>
      </c>
      <c r="N3416" t="inlineStr">
        <is>
          <t>alt</t>
        </is>
      </c>
      <c r="O3416" t="n">
        <v>-100</v>
      </c>
      <c r="P3416" t="n">
        <v>0.00216</v>
      </c>
      <c r="Q3416" t="n">
        <v>-65</v>
      </c>
      <c r="R3416" t="n">
        <v>0.05176</v>
      </c>
      <c r="S3416">
        <f>IMAGE("https://mitra.stanford.edu/kundaje/oak/projects/neuro-variants/variant_position/credible/roussos_2024/variant_figures/roussos_2024.adolescence.GLU/rs72799151_count_position.png",4,220,900)</f>
        <v/>
      </c>
      <c r="T3416">
        <f>IMAGE("https://mitra.stanford.edu/kundaje/oak/projects/neuro-variants/variant_position/credible/roussos_2024/variant_figures/roussos_2024.adolescence.GLU/rs72799151_profile_position.png",4,220,900)</f>
        <v/>
      </c>
    </row>
    <row r="3417">
      <c r="A3417" t="inlineStr">
        <is>
          <t>chr5</t>
        </is>
      </c>
      <c r="B3417" t="n">
        <v>152749963</v>
      </c>
      <c r="C3417" t="inlineStr">
        <is>
          <t>C</t>
        </is>
      </c>
      <c r="D3417" t="inlineStr">
        <is>
          <t>T</t>
        </is>
      </c>
      <c r="E3417" t="inlineStr">
        <is>
          <t>rs72799160</t>
        </is>
      </c>
      <c r="F3417" t="n">
        <v>0.003946125015</v>
      </c>
      <c r="G3417" t="n">
        <v>0.7800265053620398</v>
      </c>
      <c r="H3417" t="n">
        <v>0.023308835223885</v>
      </c>
      <c r="I3417" t="n">
        <v>0.0278796904008899</v>
      </c>
      <c r="J3417" t="n">
        <v>0.004186581506169</v>
      </c>
      <c r="K3417" t="n">
        <v>0.9310497879723076</v>
      </c>
      <c r="L3417" t="b">
        <v>0</v>
      </c>
      <c r="M3417" t="b">
        <v>0</v>
      </c>
      <c r="N3417" t="inlineStr">
        <is>
          <t>alt</t>
        </is>
      </c>
      <c r="O3417" t="n">
        <v>80</v>
      </c>
      <c r="P3417" t="n">
        <v>0.01685</v>
      </c>
      <c r="Q3417" t="n">
        <v>-30</v>
      </c>
      <c r="R3417" t="n">
        <v>0.006695</v>
      </c>
      <c r="S3417">
        <f>IMAGE("https://mitra.stanford.edu/kundaje/oak/projects/neuro-variants/variant_position/credible/roussos_2024/variant_figures/roussos_2024.adolescence.GLU/rs72799160_count_position.png",4,220,900)</f>
        <v/>
      </c>
      <c r="T3417">
        <f>IMAGE("https://mitra.stanford.edu/kundaje/oak/projects/neuro-variants/variant_position/credible/roussos_2024/variant_figures/roussos_2024.adolescence.GLU/rs72799160_profile_position.png",4,220,900)</f>
        <v/>
      </c>
    </row>
    <row r="3418">
      <c r="A3418" t="inlineStr">
        <is>
          <t>chr5</t>
        </is>
      </c>
      <c r="B3418" t="n">
        <v>152759038</v>
      </c>
      <c r="C3418" t="inlineStr">
        <is>
          <t>A</t>
        </is>
      </c>
      <c r="D3418" t="inlineStr">
        <is>
          <t>G</t>
        </is>
      </c>
      <c r="E3418" t="inlineStr">
        <is>
          <t>rs56208248</t>
        </is>
      </c>
      <c r="F3418" t="n">
        <v>-0.01576448694</v>
      </c>
      <c r="G3418" t="n">
        <v>0.3860585102334024</v>
      </c>
      <c r="H3418" t="n">
        <v>0.0221427350016384</v>
      </c>
      <c r="I3418" t="n">
        <v>0.0376263643626659</v>
      </c>
      <c r="J3418" t="n">
        <v>0.0063141650770516</v>
      </c>
      <c r="K3418" t="n">
        <v>0.913300659012288</v>
      </c>
      <c r="L3418" t="b">
        <v>0</v>
      </c>
      <c r="M3418" t="b">
        <v>0</v>
      </c>
      <c r="N3418" t="inlineStr">
        <is>
          <t>ref</t>
        </is>
      </c>
      <c r="O3418" t="n">
        <v>10</v>
      </c>
      <c r="P3418" t="n">
        <v>0.00086</v>
      </c>
      <c r="Q3418" t="n">
        <v>-60</v>
      </c>
      <c r="R3418" t="n">
        <v>0.02719</v>
      </c>
      <c r="S3418">
        <f>IMAGE("https://mitra.stanford.edu/kundaje/oak/projects/neuro-variants/variant_position/credible/roussos_2024/variant_figures/roussos_2024.adolescence.GLU/rs56208248_count_position.png",4,220,900)</f>
        <v/>
      </c>
      <c r="T3418">
        <f>IMAGE("https://mitra.stanford.edu/kundaje/oak/projects/neuro-variants/variant_position/credible/roussos_2024/variant_figures/roussos_2024.adolescence.GLU/rs56208248_profile_position.png",4,220,900)</f>
        <v/>
      </c>
    </row>
    <row r="3419">
      <c r="A3419" t="inlineStr">
        <is>
          <t>chr5</t>
        </is>
      </c>
      <c r="B3419" t="n">
        <v>152770806</v>
      </c>
      <c r="C3419" t="inlineStr">
        <is>
          <t>G</t>
        </is>
      </c>
      <c r="D3419" t="inlineStr">
        <is>
          <t>A</t>
        </is>
      </c>
      <c r="E3419" t="inlineStr">
        <is>
          <t>rs56286804</t>
        </is>
      </c>
      <c r="F3419" t="n">
        <v>0.01661231276</v>
      </c>
      <c r="G3419" t="n">
        <v>0.363275922142133</v>
      </c>
      <c r="H3419" t="n">
        <v>0.0119523161386641</v>
      </c>
      <c r="I3419" t="n">
        <v>0.364780366698693</v>
      </c>
      <c r="J3419" t="n">
        <v>0.0193940173321616</v>
      </c>
      <c r="K3419" t="n">
        <v>0.8320712629592111</v>
      </c>
      <c r="L3419" t="b">
        <v>0</v>
      </c>
      <c r="M3419" t="b">
        <v>0</v>
      </c>
      <c r="N3419" t="inlineStr">
        <is>
          <t>alt</t>
        </is>
      </c>
      <c r="O3419" t="n">
        <v>-100</v>
      </c>
      <c r="P3419" t="n">
        <v>0.02307</v>
      </c>
      <c r="Q3419" t="n">
        <v>-5</v>
      </c>
      <c r="R3419" t="n">
        <v>0.004364</v>
      </c>
      <c r="S3419">
        <f>IMAGE("https://mitra.stanford.edu/kundaje/oak/projects/neuro-variants/variant_position/credible/roussos_2024/variant_figures/roussos_2024.adolescence.GLU/rs56286804_count_position.png",4,220,900)</f>
        <v/>
      </c>
      <c r="T3419">
        <f>IMAGE("https://mitra.stanford.edu/kundaje/oak/projects/neuro-variants/variant_position/credible/roussos_2024/variant_figures/roussos_2024.adolescence.GLU/rs56286804_profile_position.png",4,220,900)</f>
        <v/>
      </c>
    </row>
    <row r="3420">
      <c r="A3420" t="inlineStr">
        <is>
          <t>chr5</t>
        </is>
      </c>
      <c r="B3420" t="n">
        <v>152777929</v>
      </c>
      <c r="C3420" t="inlineStr">
        <is>
          <t>A</t>
        </is>
      </c>
      <c r="D3420" t="inlineStr">
        <is>
          <t>G</t>
        </is>
      </c>
      <c r="E3420" t="inlineStr">
        <is>
          <t>rs72799178</t>
        </is>
      </c>
      <c r="F3420" t="n">
        <v>0.061112032</v>
      </c>
      <c r="G3420" t="n">
        <v>0.0369034927449845</v>
      </c>
      <c r="H3420" t="n">
        <v>0.0183455467660145</v>
      </c>
      <c r="I3420" t="n">
        <v>0.08144882047338289</v>
      </c>
      <c r="J3420" t="n">
        <v>0.0401526030392009</v>
      </c>
      <c r="K3420" t="n">
        <v>0.7464830775133732</v>
      </c>
      <c r="L3420" t="b">
        <v>0</v>
      </c>
      <c r="M3420" t="b">
        <v>0</v>
      </c>
      <c r="N3420" t="inlineStr">
        <is>
          <t>alt</t>
        </is>
      </c>
      <c r="O3420" t="n">
        <v>10</v>
      </c>
      <c r="P3420" t="n">
        <v>0.001419</v>
      </c>
      <c r="Q3420" t="n">
        <v>85</v>
      </c>
      <c r="R3420" t="n">
        <v>0.0885</v>
      </c>
      <c r="S3420">
        <f>IMAGE("https://mitra.stanford.edu/kundaje/oak/projects/neuro-variants/variant_position/credible/roussos_2024/variant_figures/roussos_2024.adolescence.GLU/rs72799178_count_position.png",4,220,900)</f>
        <v/>
      </c>
      <c r="T3420">
        <f>IMAGE("https://mitra.stanford.edu/kundaje/oak/projects/neuro-variants/variant_position/credible/roussos_2024/variant_figures/roussos_2024.adolescence.GLU/rs72799178_profile_position.png",4,220,900)</f>
        <v/>
      </c>
    </row>
    <row r="3421">
      <c r="A3421" t="inlineStr">
        <is>
          <t>chr5</t>
        </is>
      </c>
      <c r="B3421" t="n">
        <v>152797561</v>
      </c>
      <c r="C3421" t="inlineStr">
        <is>
          <t>A</t>
        </is>
      </c>
      <c r="D3421" t="inlineStr">
        <is>
          <t>G</t>
        </is>
      </c>
      <c r="E3421" t="inlineStr">
        <is>
          <t>rs111294930</t>
        </is>
      </c>
      <c r="F3421" t="n">
        <v>-0.0017392925859999</v>
      </c>
      <c r="G3421" t="n">
        <v>0.8641080652817942</v>
      </c>
      <c r="H3421" t="n">
        <v>0.0215296292235472</v>
      </c>
      <c r="I3421" t="n">
        <v>0.0419166072361979</v>
      </c>
      <c r="J3421" t="n">
        <v>0.1614520150602624</v>
      </c>
      <c r="K3421" t="n">
        <v>0.4632609525070277</v>
      </c>
      <c r="L3421" t="b">
        <v>0</v>
      </c>
      <c r="M3421" t="b">
        <v>0</v>
      </c>
      <c r="N3421" t="inlineStr">
        <is>
          <t>ref</t>
        </is>
      </c>
      <c r="O3421" t="n">
        <v>40</v>
      </c>
      <c r="P3421" t="n">
        <v>0.01233</v>
      </c>
      <c r="Q3421" t="n">
        <v>100</v>
      </c>
      <c r="R3421" t="n">
        <v>0.1456</v>
      </c>
      <c r="S3421">
        <f>IMAGE("https://mitra.stanford.edu/kundaje/oak/projects/neuro-variants/variant_position/credible/roussos_2024/variant_figures/roussos_2024.adolescence.GLU/rs111294930_count_position.png",4,220,900)</f>
        <v/>
      </c>
      <c r="T3421">
        <f>IMAGE("https://mitra.stanford.edu/kundaje/oak/projects/neuro-variants/variant_position/credible/roussos_2024/variant_figures/roussos_2024.adolescence.GLU/rs111294930_profile_position.png",4,220,900)</f>
        <v/>
      </c>
    </row>
    <row r="3422">
      <c r="A3422" t="inlineStr">
        <is>
          <t>chr5</t>
        </is>
      </c>
      <c r="B3422" t="n">
        <v>152808222</v>
      </c>
      <c r="C3422" t="inlineStr">
        <is>
          <t>C</t>
        </is>
      </c>
      <c r="D3422" t="inlineStr">
        <is>
          <t>T</t>
        </is>
      </c>
      <c r="E3422" t="inlineStr">
        <is>
          <t>rs55918828</t>
        </is>
      </c>
      <c r="F3422" t="n">
        <v>-0.0286328846</v>
      </c>
      <c r="G3422" t="n">
        <v>0.1970185146585763</v>
      </c>
      <c r="H3422" t="n">
        <v>0.0081614237672377</v>
      </c>
      <c r="I3422" t="n">
        <v>0.7474966093911697</v>
      </c>
      <c r="J3422" t="n">
        <v>0.0738395810560758</v>
      </c>
      <c r="K3422" t="n">
        <v>0.6323721023271547</v>
      </c>
      <c r="L3422" t="b">
        <v>0</v>
      </c>
      <c r="M3422" t="b">
        <v>0</v>
      </c>
      <c r="N3422" t="inlineStr">
        <is>
          <t>ref</t>
        </is>
      </c>
      <c r="O3422" t="n">
        <v>-65</v>
      </c>
      <c r="P3422" t="n">
        <v>0.004665</v>
      </c>
      <c r="Q3422" t="n">
        <v>-100</v>
      </c>
      <c r="R3422" t="n">
        <v>0.05106</v>
      </c>
      <c r="S3422">
        <f>IMAGE("https://mitra.stanford.edu/kundaje/oak/projects/neuro-variants/variant_position/credible/roussos_2024/variant_figures/roussos_2024.adolescence.GLU/rs55918828_count_position.png",4,220,900)</f>
        <v/>
      </c>
      <c r="T3422">
        <f>IMAGE("https://mitra.stanford.edu/kundaje/oak/projects/neuro-variants/variant_position/credible/roussos_2024/variant_figures/roussos_2024.adolescence.GLU/rs55918828_profile_position.png",4,220,900)</f>
        <v/>
      </c>
    </row>
    <row r="3423">
      <c r="A3423" t="inlineStr">
        <is>
          <t>chr5</t>
        </is>
      </c>
      <c r="B3423" t="n">
        <v>152808566</v>
      </c>
      <c r="C3423" t="inlineStr">
        <is>
          <t>C</t>
        </is>
      </c>
      <c r="D3423" t="inlineStr">
        <is>
          <t>T</t>
        </is>
      </c>
      <c r="E3423" t="inlineStr">
        <is>
          <t>rs55830548</t>
        </is>
      </c>
      <c r="F3423" t="n">
        <v>-0.07841056719999991</v>
      </c>
      <c r="G3423" t="n">
        <v>0.017135976425398</v>
      </c>
      <c r="H3423" t="n">
        <v>0.0137043133635873</v>
      </c>
      <c r="I3423" t="n">
        <v>0.2112983425499012</v>
      </c>
      <c r="J3423" t="n">
        <v>0.1015696108479613</v>
      </c>
      <c r="K3423" t="n">
        <v>0.5638771871946947</v>
      </c>
      <c r="L3423" t="b">
        <v>1</v>
      </c>
      <c r="M3423" t="b">
        <v>0</v>
      </c>
      <c r="N3423" t="inlineStr">
        <is>
          <t>ref</t>
        </is>
      </c>
      <c r="O3423" t="n">
        <v>35</v>
      </c>
      <c r="P3423" t="n">
        <v>0.01344</v>
      </c>
      <c r="Q3423" t="n">
        <v>0</v>
      </c>
      <c r="R3423" t="n">
        <v>0</v>
      </c>
      <c r="S3423">
        <f>IMAGE("https://mitra.stanford.edu/kundaje/oak/projects/neuro-variants/variant_position/credible/roussos_2024/variant_figures/roussos_2024.adolescence.GLU/rs55830548_count_position.png",4,220,900)</f>
        <v/>
      </c>
      <c r="T3423">
        <f>IMAGE("https://mitra.stanford.edu/kundaje/oak/projects/neuro-variants/variant_position/credible/roussos_2024/variant_figures/roussos_2024.adolescence.GLU/rs55830548_profile_position.png",4,220,900)</f>
        <v/>
      </c>
    </row>
    <row r="3424">
      <c r="A3424" t="inlineStr">
        <is>
          <t>chr5</t>
        </is>
      </c>
      <c r="B3424" t="n">
        <v>152810407</v>
      </c>
      <c r="C3424" t="inlineStr">
        <is>
          <t>T</t>
        </is>
      </c>
      <c r="D3424" t="inlineStr">
        <is>
          <t>G</t>
        </is>
      </c>
      <c r="E3424" t="inlineStr">
        <is>
          <t>rs55829928</t>
        </is>
      </c>
      <c r="F3424" t="n">
        <v>-0.0023203417258</v>
      </c>
      <c r="G3424" t="n">
        <v>0.7663379221112633</v>
      </c>
      <c r="H3424" t="n">
        <v>0.0241789526150835</v>
      </c>
      <c r="I3424" t="n">
        <v>0.0244727803254086</v>
      </c>
      <c r="J3424" t="n">
        <v>0.2859478034735766</v>
      </c>
      <c r="K3424" t="n">
        <v>0.2862126016700128</v>
      </c>
      <c r="L3424" t="b">
        <v>0</v>
      </c>
      <c r="M3424" t="b">
        <v>0</v>
      </c>
      <c r="N3424" t="inlineStr">
        <is>
          <t>ref</t>
        </is>
      </c>
      <c r="O3424" t="n">
        <v>30</v>
      </c>
      <c r="P3424" t="n">
        <v>0.005554</v>
      </c>
      <c r="Q3424" t="n">
        <v>100</v>
      </c>
      <c r="R3424" t="n">
        <v>0.1807</v>
      </c>
      <c r="S3424">
        <f>IMAGE("https://mitra.stanford.edu/kundaje/oak/projects/neuro-variants/variant_position/credible/roussos_2024/variant_figures/roussos_2024.adolescence.GLU/rs55829928_count_position.png",4,220,900)</f>
        <v/>
      </c>
      <c r="T3424">
        <f>IMAGE("https://mitra.stanford.edu/kundaje/oak/projects/neuro-variants/variant_position/credible/roussos_2024/variant_figures/roussos_2024.adolescence.GLU/rs55829928_profile_position.png",4,220,900)</f>
        <v/>
      </c>
    </row>
    <row r="3425">
      <c r="A3425" t="inlineStr">
        <is>
          <t>chr5</t>
        </is>
      </c>
      <c r="B3425" t="n">
        <v>152811145</v>
      </c>
      <c r="C3425" t="inlineStr">
        <is>
          <t>A</t>
        </is>
      </c>
      <c r="D3425" t="inlineStr">
        <is>
          <t>G</t>
        </is>
      </c>
      <c r="E3425" t="inlineStr">
        <is>
          <t>rs72799198</t>
        </is>
      </c>
      <c r="F3425" t="n">
        <v>0.007556108636</v>
      </c>
      <c r="G3425" t="n">
        <v>0.5827836380383402</v>
      </c>
      <c r="H3425" t="n">
        <v>0.007828619531318999</v>
      </c>
      <c r="I3425" t="n">
        <v>0.8129915371615795</v>
      </c>
      <c r="J3425" t="n">
        <v>0.1207364382622114</v>
      </c>
      <c r="K3425" t="n">
        <v>0.5344558866754262</v>
      </c>
      <c r="L3425" t="b">
        <v>0</v>
      </c>
      <c r="M3425" t="b">
        <v>0</v>
      </c>
      <c r="N3425" t="inlineStr">
        <is>
          <t>alt</t>
        </is>
      </c>
      <c r="O3425" t="n">
        <v>65</v>
      </c>
      <c r="P3425" t="n">
        <v>0.00557</v>
      </c>
      <c r="Q3425" t="n">
        <v>0</v>
      </c>
      <c r="R3425" t="n">
        <v>0</v>
      </c>
      <c r="S3425">
        <f>IMAGE("https://mitra.stanford.edu/kundaje/oak/projects/neuro-variants/variant_position/credible/roussos_2024/variant_figures/roussos_2024.adolescence.GLU/rs72799198_count_position.png",4,220,900)</f>
        <v/>
      </c>
      <c r="T3425">
        <f>IMAGE("https://mitra.stanford.edu/kundaje/oak/projects/neuro-variants/variant_position/credible/roussos_2024/variant_figures/roussos_2024.adolescence.GLU/rs72799198_profile_position.png",4,220,900)</f>
        <v/>
      </c>
    </row>
    <row r="3426">
      <c r="A3426" t="inlineStr">
        <is>
          <t>chr5</t>
        </is>
      </c>
      <c r="B3426" t="n">
        <v>152812435</v>
      </c>
      <c r="C3426" t="inlineStr">
        <is>
          <t>C</t>
        </is>
      </c>
      <c r="D3426" t="inlineStr">
        <is>
          <t>T</t>
        </is>
      </c>
      <c r="E3426" t="inlineStr">
        <is>
          <t>rs72799201</t>
        </is>
      </c>
      <c r="F3426" t="n">
        <v>-0.0238202935</v>
      </c>
      <c r="G3426" t="n">
        <v>0.2443794441208789</v>
      </c>
      <c r="H3426" t="n">
        <v>0.0145562465032998</v>
      </c>
      <c r="I3426" t="n">
        <v>0.1842000244996426</v>
      </c>
      <c r="J3426" t="n">
        <v>0.0961756363818219</v>
      </c>
      <c r="K3426" t="n">
        <v>0.5787744635671321</v>
      </c>
      <c r="L3426" t="b">
        <v>0</v>
      </c>
      <c r="M3426" t="b">
        <v>0</v>
      </c>
      <c r="N3426" t="inlineStr">
        <is>
          <t>ref</t>
        </is>
      </c>
      <c r="O3426" t="n">
        <v>35</v>
      </c>
      <c r="P3426" t="n">
        <v>0.003311</v>
      </c>
      <c r="Q3426" t="n">
        <v>-95</v>
      </c>
      <c r="R3426" t="n">
        <v>0.1659</v>
      </c>
      <c r="S3426">
        <f>IMAGE("https://mitra.stanford.edu/kundaje/oak/projects/neuro-variants/variant_position/credible/roussos_2024/variant_figures/roussos_2024.adolescence.GLU/rs72799201_count_position.png",4,220,900)</f>
        <v/>
      </c>
      <c r="T3426">
        <f>IMAGE("https://mitra.stanford.edu/kundaje/oak/projects/neuro-variants/variant_position/credible/roussos_2024/variant_figures/roussos_2024.adolescence.GLU/rs72799201_profile_position.png",4,220,900)</f>
        <v/>
      </c>
    </row>
    <row r="3427">
      <c r="A3427" t="inlineStr">
        <is>
          <t>chr5</t>
        </is>
      </c>
      <c r="B3427" t="n">
        <v>152840904</v>
      </c>
      <c r="C3427" t="inlineStr">
        <is>
          <t>T</t>
        </is>
      </c>
      <c r="D3427" t="inlineStr">
        <is>
          <t>G</t>
        </is>
      </c>
      <c r="E3427" t="inlineStr">
        <is>
          <t>rs115283145</t>
        </is>
      </c>
      <c r="F3427" t="n">
        <v>0.005715955862</v>
      </c>
      <c r="G3427" t="n">
        <v>0.6582540833243793</v>
      </c>
      <c r="H3427" t="n">
        <v>0.0178122255444031</v>
      </c>
      <c r="I3427" t="n">
        <v>0.0881871600610331</v>
      </c>
      <c r="J3427" t="n">
        <v>0.2457509055447199</v>
      </c>
      <c r="K3427" t="n">
        <v>0.3304687707456544</v>
      </c>
      <c r="L3427" t="b">
        <v>0</v>
      </c>
      <c r="M3427" t="b">
        <v>0</v>
      </c>
      <c r="N3427" t="inlineStr">
        <is>
          <t>alt</t>
        </is>
      </c>
      <c r="O3427" t="n">
        <v>-5</v>
      </c>
      <c r="P3427" t="n">
        <v>0.0003686</v>
      </c>
      <c r="Q3427" t="n">
        <v>-80</v>
      </c>
      <c r="R3427" t="n">
        <v>0.0788</v>
      </c>
      <c r="S3427">
        <f>IMAGE("https://mitra.stanford.edu/kundaje/oak/projects/neuro-variants/variant_position/credible/roussos_2024/variant_figures/roussos_2024.adolescence.GLU/rs115283145_count_position.png",4,220,900)</f>
        <v/>
      </c>
      <c r="T3427">
        <f>IMAGE("https://mitra.stanford.edu/kundaje/oak/projects/neuro-variants/variant_position/credible/roussos_2024/variant_figures/roussos_2024.adolescence.GLU/rs115283145_profile_position.png",4,220,900)</f>
        <v/>
      </c>
    </row>
    <row r="3428">
      <c r="A3428" t="inlineStr">
        <is>
          <t>chr5</t>
        </is>
      </c>
      <c r="B3428" t="n">
        <v>152867047</v>
      </c>
      <c r="C3428" t="inlineStr">
        <is>
          <t>A</t>
        </is>
      </c>
      <c r="D3428" t="inlineStr">
        <is>
          <t>C</t>
        </is>
      </c>
      <c r="E3428" t="inlineStr">
        <is>
          <t>rs72802883</t>
        </is>
      </c>
      <c r="F3428" t="n">
        <v>0.08534327765999999</v>
      </c>
      <c r="G3428" t="n">
        <v>0.0370592751524702</v>
      </c>
      <c r="H3428" t="n">
        <v>0.0288144947781324</v>
      </c>
      <c r="I3428" t="n">
        <v>0.0305111641053535</v>
      </c>
      <c r="J3428" t="n">
        <v>0.0334012045352251</v>
      </c>
      <c r="K3428" t="n">
        <v>0.7610461726229319</v>
      </c>
      <c r="L3428" t="b">
        <v>0</v>
      </c>
      <c r="M3428" t="b">
        <v>0</v>
      </c>
      <c r="N3428" t="inlineStr">
        <is>
          <t>alt</t>
        </is>
      </c>
      <c r="O3428" t="n">
        <v>-100</v>
      </c>
      <c r="P3428" t="n">
        <v>0.01796</v>
      </c>
      <c r="Q3428" t="n">
        <v>-100</v>
      </c>
      <c r="R3428" t="n">
        <v>0.0574</v>
      </c>
      <c r="S3428">
        <f>IMAGE("https://mitra.stanford.edu/kundaje/oak/projects/neuro-variants/variant_position/credible/roussos_2024/variant_figures/roussos_2024.adolescence.GLU/rs72802883_count_position.png",4,220,900)</f>
        <v/>
      </c>
      <c r="T3428">
        <f>IMAGE("https://mitra.stanford.edu/kundaje/oak/projects/neuro-variants/variant_position/credible/roussos_2024/variant_figures/roussos_2024.adolescence.GLU/rs72802883_profile_position.png",4,220,900)</f>
        <v/>
      </c>
    </row>
    <row r="3429">
      <c r="A3429" t="inlineStr">
        <is>
          <t>chr5</t>
        </is>
      </c>
      <c r="B3429" t="n">
        <v>152868292</v>
      </c>
      <c r="C3429" t="inlineStr">
        <is>
          <t>C</t>
        </is>
      </c>
      <c r="D3429" t="inlineStr">
        <is>
          <t>A</t>
        </is>
      </c>
      <c r="E3429" t="inlineStr">
        <is>
          <t>rs12153071</t>
        </is>
      </c>
      <c r="F3429" t="n">
        <v>-0.0153434869</v>
      </c>
      <c r="G3429" t="n">
        <v>0.3856536399603779</v>
      </c>
      <c r="H3429" t="n">
        <v>0.0109752806774023</v>
      </c>
      <c r="I3429" t="n">
        <v>0.4253373326664871</v>
      </c>
      <c r="J3429" t="n">
        <v>0.0696872923677047</v>
      </c>
      <c r="K3429" t="n">
        <v>0.6451306319076756</v>
      </c>
      <c r="L3429" t="b">
        <v>0</v>
      </c>
      <c r="M3429" t="b">
        <v>0</v>
      </c>
      <c r="N3429" t="inlineStr">
        <is>
          <t>ref</t>
        </is>
      </c>
      <c r="O3429" t="n">
        <v>-30</v>
      </c>
      <c r="P3429" t="n">
        <v>0.006737</v>
      </c>
      <c r="Q3429" t="n">
        <v>-90</v>
      </c>
      <c r="R3429" t="n">
        <v>0.0683</v>
      </c>
      <c r="S3429">
        <f>IMAGE("https://mitra.stanford.edu/kundaje/oak/projects/neuro-variants/variant_position/credible/roussos_2024/variant_figures/roussos_2024.adolescence.GLU/rs12153071_count_position.png",4,220,900)</f>
        <v/>
      </c>
      <c r="T3429">
        <f>IMAGE("https://mitra.stanford.edu/kundaje/oak/projects/neuro-variants/variant_position/credible/roussos_2024/variant_figures/roussos_2024.adolescence.GLU/rs12153071_profile_position.png",4,220,900)</f>
        <v/>
      </c>
    </row>
    <row r="3430">
      <c r="A3430" t="inlineStr">
        <is>
          <t>chr5</t>
        </is>
      </c>
      <c r="B3430" t="n">
        <v>152871641</v>
      </c>
      <c r="C3430" t="inlineStr">
        <is>
          <t>T</t>
        </is>
      </c>
      <c r="D3430" t="inlineStr">
        <is>
          <t>C</t>
        </is>
      </c>
      <c r="E3430" t="inlineStr">
        <is>
          <t>rs4958587</t>
        </is>
      </c>
      <c r="F3430" t="n">
        <v>0.0034263457999999</v>
      </c>
      <c r="G3430" t="n">
        <v>0.6704863069213293</v>
      </c>
      <c r="H3430" t="n">
        <v>0.0167319480306323</v>
      </c>
      <c r="I3430" t="n">
        <v>0.1073251904729018</v>
      </c>
      <c r="J3430" t="n">
        <v>0.0018418100892327</v>
      </c>
      <c r="K3430" t="n">
        <v>0.9604235398677056</v>
      </c>
      <c r="L3430" t="b">
        <v>0</v>
      </c>
      <c r="M3430" t="b">
        <v>0</v>
      </c>
      <c r="N3430" t="inlineStr">
        <is>
          <t>alt</t>
        </is>
      </c>
      <c r="O3430" t="n">
        <v>-85</v>
      </c>
      <c r="P3430" t="n">
        <v>0.02145</v>
      </c>
      <c r="Q3430" t="n">
        <v>-70</v>
      </c>
      <c r="R3430" t="n">
        <v>0.01347</v>
      </c>
      <c r="S3430">
        <f>IMAGE("https://mitra.stanford.edu/kundaje/oak/projects/neuro-variants/variant_position/credible/roussos_2024/variant_figures/roussos_2024.adolescence.GLU/rs4958587_count_position.png",4,220,900)</f>
        <v/>
      </c>
      <c r="T3430">
        <f>IMAGE("https://mitra.stanford.edu/kundaje/oak/projects/neuro-variants/variant_position/credible/roussos_2024/variant_figures/roussos_2024.adolescence.GLU/rs4958587_profile_position.png",4,220,900)</f>
        <v/>
      </c>
    </row>
    <row r="3431">
      <c r="A3431" t="inlineStr">
        <is>
          <t>chr5</t>
        </is>
      </c>
      <c r="B3431" t="n">
        <v>152875585</v>
      </c>
      <c r="C3431" t="inlineStr">
        <is>
          <t>G</t>
        </is>
      </c>
      <c r="D3431" t="inlineStr">
        <is>
          <t>T</t>
        </is>
      </c>
      <c r="E3431" t="inlineStr">
        <is>
          <t>rs72802890</t>
        </is>
      </c>
      <c r="F3431" t="n">
        <v>-0.0234619168</v>
      </c>
      <c r="G3431" t="n">
        <v>0.259375879577101</v>
      </c>
      <c r="H3431" t="n">
        <v>0.0219032248479139</v>
      </c>
      <c r="I3431" t="n">
        <v>0.0388047683963249</v>
      </c>
      <c r="J3431" t="n">
        <v>0.0352973115859713</v>
      </c>
      <c r="K3431" t="n">
        <v>0.7502117234479142</v>
      </c>
      <c r="L3431" t="b">
        <v>0</v>
      </c>
      <c r="M3431" t="b">
        <v>0</v>
      </c>
      <c r="N3431" t="inlineStr">
        <is>
          <t>ref</t>
        </is>
      </c>
      <c r="O3431" t="n">
        <v>85</v>
      </c>
      <c r="P3431" t="n">
        <v>0.007860000000000001</v>
      </c>
      <c r="Q3431" t="n">
        <v>-25</v>
      </c>
      <c r="R3431" t="n">
        <v>0.00894</v>
      </c>
      <c r="S3431">
        <f>IMAGE("https://mitra.stanford.edu/kundaje/oak/projects/neuro-variants/variant_position/credible/roussos_2024/variant_figures/roussos_2024.adolescence.GLU/rs72802890_count_position.png",4,220,900)</f>
        <v/>
      </c>
      <c r="T3431">
        <f>IMAGE("https://mitra.stanford.edu/kundaje/oak/projects/neuro-variants/variant_position/credible/roussos_2024/variant_figures/roussos_2024.adolescence.GLU/rs72802890_profile_position.png",4,220,900)</f>
        <v/>
      </c>
    </row>
    <row r="3432">
      <c r="A3432" t="inlineStr">
        <is>
          <t>chr5</t>
        </is>
      </c>
      <c r="B3432" t="n">
        <v>152876625</v>
      </c>
      <c r="C3432" t="inlineStr">
        <is>
          <t>A</t>
        </is>
      </c>
      <c r="D3432" t="inlineStr">
        <is>
          <t>G</t>
        </is>
      </c>
      <c r="E3432" t="inlineStr">
        <is>
          <t>rs72802893</t>
        </is>
      </c>
      <c r="F3432" t="n">
        <v>0.01214732726</v>
      </c>
      <c r="G3432" t="n">
        <v>0.4380387421184725</v>
      </c>
      <c r="H3432" t="n">
        <v>0.0079885400512572</v>
      </c>
      <c r="I3432" t="n">
        <v>0.7847575418616819</v>
      </c>
      <c r="J3432" t="n">
        <v>0.0343442570246693</v>
      </c>
      <c r="K3432" t="n">
        <v>0.7537634955395854</v>
      </c>
      <c r="L3432" t="b">
        <v>0</v>
      </c>
      <c r="M3432" t="b">
        <v>0</v>
      </c>
      <c r="N3432" t="inlineStr">
        <is>
          <t>alt</t>
        </is>
      </c>
      <c r="O3432" t="n">
        <v>-100</v>
      </c>
      <c r="P3432" t="n">
        <v>0.001526</v>
      </c>
      <c r="Q3432" t="n">
        <v>100</v>
      </c>
      <c r="R3432" t="n">
        <v>0.06335</v>
      </c>
      <c r="S3432">
        <f>IMAGE("https://mitra.stanford.edu/kundaje/oak/projects/neuro-variants/variant_position/credible/roussos_2024/variant_figures/roussos_2024.adolescence.GLU/rs72802893_count_position.png",4,220,900)</f>
        <v/>
      </c>
      <c r="T3432">
        <f>IMAGE("https://mitra.stanford.edu/kundaje/oak/projects/neuro-variants/variant_position/credible/roussos_2024/variant_figures/roussos_2024.adolescence.GLU/rs72802893_profile_position.png",4,220,900)</f>
        <v/>
      </c>
    </row>
    <row r="3433">
      <c r="A3433" t="inlineStr">
        <is>
          <t>chr5</t>
        </is>
      </c>
      <c r="B3433" t="n">
        <v>152900050</v>
      </c>
      <c r="C3433" t="inlineStr">
        <is>
          <t>C</t>
        </is>
      </c>
      <c r="D3433" t="inlineStr">
        <is>
          <t>G</t>
        </is>
      </c>
      <c r="E3433" t="inlineStr">
        <is>
          <t>rs9324737</t>
        </is>
      </c>
      <c r="F3433" t="n">
        <v>0.0056668121</v>
      </c>
      <c r="G3433" t="n">
        <v>0.6738093984070456</v>
      </c>
      <c r="H3433" t="n">
        <v>0.008133549248266699</v>
      </c>
      <c r="I3433" t="n">
        <v>0.7855443482731761</v>
      </c>
      <c r="J3433" t="n">
        <v>0.0531038572275685</v>
      </c>
      <c r="K3433" t="n">
        <v>0.6931667286454919</v>
      </c>
      <c r="L3433" t="b">
        <v>0</v>
      </c>
      <c r="M3433" t="b">
        <v>0</v>
      </c>
      <c r="N3433" t="inlineStr">
        <is>
          <t>alt</t>
        </is>
      </c>
      <c r="O3433" t="n">
        <v>90</v>
      </c>
      <c r="P3433" t="n">
        <v>0.001928</v>
      </c>
      <c r="Q3433" t="n">
        <v>35</v>
      </c>
      <c r="R3433" t="n">
        <v>0.05618</v>
      </c>
      <c r="S3433">
        <f>IMAGE("https://mitra.stanford.edu/kundaje/oak/projects/neuro-variants/variant_position/credible/roussos_2024/variant_figures/roussos_2024.adolescence.GLU/rs9324737_count_position.png",4,220,900)</f>
        <v/>
      </c>
      <c r="T3433">
        <f>IMAGE("https://mitra.stanford.edu/kundaje/oak/projects/neuro-variants/variant_position/credible/roussos_2024/variant_figures/roussos_2024.adolescence.GLU/rs9324737_profile_position.png",4,220,900)</f>
        <v/>
      </c>
    </row>
    <row r="3434">
      <c r="A3434" t="inlineStr">
        <is>
          <t>chr5</t>
        </is>
      </c>
      <c r="B3434" t="n">
        <v>152902870</v>
      </c>
      <c r="C3434" t="inlineStr">
        <is>
          <t>A</t>
        </is>
      </c>
      <c r="D3434" t="inlineStr">
        <is>
          <t>C</t>
        </is>
      </c>
      <c r="E3434" t="inlineStr">
        <is>
          <t>rs11167604</t>
        </is>
      </c>
      <c r="F3434" t="n">
        <v>-0.00231650426</v>
      </c>
      <c r="G3434" t="n">
        <v>0.8847243234647891</v>
      </c>
      <c r="H3434" t="n">
        <v>0.0203136623055589</v>
      </c>
      <c r="I3434" t="n">
        <v>0.0512812610546297</v>
      </c>
      <c r="J3434" t="n">
        <v>0.0031692279114959</v>
      </c>
      <c r="K3434" t="n">
        <v>0.9393829488063627</v>
      </c>
      <c r="L3434" t="b">
        <v>0</v>
      </c>
      <c r="M3434" t="b">
        <v>0</v>
      </c>
      <c r="N3434" t="inlineStr">
        <is>
          <t>ref</t>
        </is>
      </c>
      <c r="O3434" t="n">
        <v>100</v>
      </c>
      <c r="P3434" t="n">
        <v>0.00718</v>
      </c>
      <c r="Q3434" t="n">
        <v>-85</v>
      </c>
      <c r="R3434" t="n">
        <v>0.0578</v>
      </c>
      <c r="S3434">
        <f>IMAGE("https://mitra.stanford.edu/kundaje/oak/projects/neuro-variants/variant_position/credible/roussos_2024/variant_figures/roussos_2024.adolescence.GLU/rs11167604_count_position.png",4,220,900)</f>
        <v/>
      </c>
      <c r="T3434">
        <f>IMAGE("https://mitra.stanford.edu/kundaje/oak/projects/neuro-variants/variant_position/credible/roussos_2024/variant_figures/roussos_2024.adolescence.GLU/rs11167604_profile_position.png",4,220,900)</f>
        <v/>
      </c>
    </row>
    <row r="3435">
      <c r="A3435" t="inlineStr">
        <is>
          <t>chr5</t>
        </is>
      </c>
      <c r="B3435" t="n">
        <v>152908997</v>
      </c>
      <c r="C3435" t="inlineStr">
        <is>
          <t>G</t>
        </is>
      </c>
      <c r="D3435" t="inlineStr">
        <is>
          <t>T</t>
        </is>
      </c>
      <c r="E3435" t="inlineStr">
        <is>
          <t>rs4463219</t>
        </is>
      </c>
      <c r="F3435" t="n">
        <v>-0.0387544314</v>
      </c>
      <c r="G3435" t="n">
        <v>0.119020512308799</v>
      </c>
      <c r="H3435" t="n">
        <v>0.0214740584616899</v>
      </c>
      <c r="I3435" t="n">
        <v>0.041270410577155</v>
      </c>
      <c r="J3435" t="n">
        <v>0.2523365554293389</v>
      </c>
      <c r="K3435" t="n">
        <v>0.3291011544221927</v>
      </c>
      <c r="L3435" t="b">
        <v>0</v>
      </c>
      <c r="M3435" t="b">
        <v>0</v>
      </c>
      <c r="N3435" t="inlineStr">
        <is>
          <t>ref</t>
        </is>
      </c>
      <c r="O3435" t="n">
        <v>-5</v>
      </c>
      <c r="P3435" t="n">
        <v>3.05e-05</v>
      </c>
      <c r="Q3435" t="n">
        <v>-25</v>
      </c>
      <c r="R3435" t="n">
        <v>0.0396</v>
      </c>
      <c r="S3435">
        <f>IMAGE("https://mitra.stanford.edu/kundaje/oak/projects/neuro-variants/variant_position/credible/roussos_2024/variant_figures/roussos_2024.adolescence.GLU/rs4463219_count_position.png",4,220,900)</f>
        <v/>
      </c>
      <c r="T3435">
        <f>IMAGE("https://mitra.stanford.edu/kundaje/oak/projects/neuro-variants/variant_position/credible/roussos_2024/variant_figures/roussos_2024.adolescence.GLU/rs4463219_profile_position.png",4,220,900)</f>
        <v/>
      </c>
    </row>
    <row r="3436">
      <c r="A3436" t="inlineStr">
        <is>
          <t>chr5</t>
        </is>
      </c>
      <c r="B3436" t="n">
        <v>152930047</v>
      </c>
      <c r="C3436" t="inlineStr">
        <is>
          <t>G</t>
        </is>
      </c>
      <c r="D3436" t="inlineStr">
        <is>
          <t>A</t>
        </is>
      </c>
      <c r="E3436" t="inlineStr">
        <is>
          <t>rs72804778</t>
        </is>
      </c>
      <c r="F3436" t="n">
        <v>0.0013791919399999</v>
      </c>
      <c r="G3436" t="n">
        <v>0.5575858894024525</v>
      </c>
      <c r="H3436" t="n">
        <v>0.008769832703983601</v>
      </c>
      <c r="I3436" t="n">
        <v>0.6844805430057535</v>
      </c>
      <c r="J3436" t="n">
        <v>0.2919290424445064</v>
      </c>
      <c r="K3436" t="n">
        <v>0.2790554028809551</v>
      </c>
      <c r="L3436" t="b">
        <v>0</v>
      </c>
      <c r="M3436" t="b">
        <v>0</v>
      </c>
      <c r="N3436" t="inlineStr">
        <is>
          <t>alt</t>
        </is>
      </c>
      <c r="O3436" t="n">
        <v>60</v>
      </c>
      <c r="P3436" t="n">
        <v>0.01047</v>
      </c>
      <c r="Q3436" t="n">
        <v>-65</v>
      </c>
      <c r="R3436" t="n">
        <v>0.05713</v>
      </c>
      <c r="S3436">
        <f>IMAGE("https://mitra.stanford.edu/kundaje/oak/projects/neuro-variants/variant_position/credible/roussos_2024/variant_figures/roussos_2024.adolescence.GLU/rs72804778_count_position.png",4,220,900)</f>
        <v/>
      </c>
      <c r="T3436">
        <f>IMAGE("https://mitra.stanford.edu/kundaje/oak/projects/neuro-variants/variant_position/credible/roussos_2024/variant_figures/roussos_2024.adolescence.GLU/rs72804778_profile_position.png",4,220,900)</f>
        <v/>
      </c>
    </row>
    <row r="3437">
      <c r="A3437" t="inlineStr">
        <is>
          <t>chr5</t>
        </is>
      </c>
      <c r="B3437" t="n">
        <v>152934890</v>
      </c>
      <c r="C3437" t="inlineStr">
        <is>
          <t>T</t>
        </is>
      </c>
      <c r="D3437" t="inlineStr">
        <is>
          <t>C</t>
        </is>
      </c>
      <c r="E3437" t="inlineStr">
        <is>
          <t>rs72804781</t>
        </is>
      </c>
      <c r="F3437" t="n">
        <v>0.0055513777</v>
      </c>
      <c r="G3437" t="n">
        <v>0.6812064743547053</v>
      </c>
      <c r="H3437" t="n">
        <v>0.0182963048133707</v>
      </c>
      <c r="I3437" t="n">
        <v>0.07576991642790409</v>
      </c>
      <c r="J3437" t="n">
        <v>0.0549199477034528</v>
      </c>
      <c r="K3437" t="n">
        <v>0.682596286435205</v>
      </c>
      <c r="L3437" t="b">
        <v>0</v>
      </c>
      <c r="M3437" t="b">
        <v>0</v>
      </c>
      <c r="N3437" t="inlineStr">
        <is>
          <t>alt</t>
        </is>
      </c>
      <c r="O3437" t="n">
        <v>-40</v>
      </c>
      <c r="P3437" t="n">
        <v>0.003483</v>
      </c>
      <c r="Q3437" t="n">
        <v>-55</v>
      </c>
      <c r="R3437" t="n">
        <v>0.0867</v>
      </c>
      <c r="S3437">
        <f>IMAGE("https://mitra.stanford.edu/kundaje/oak/projects/neuro-variants/variant_position/credible/roussos_2024/variant_figures/roussos_2024.adolescence.GLU/rs72804781_count_position.png",4,220,900)</f>
        <v/>
      </c>
      <c r="T3437">
        <f>IMAGE("https://mitra.stanford.edu/kundaje/oak/projects/neuro-variants/variant_position/credible/roussos_2024/variant_figures/roussos_2024.adolescence.GLU/rs72804781_profile_position.png",4,220,900)</f>
        <v/>
      </c>
    </row>
    <row r="3438">
      <c r="A3438" t="inlineStr">
        <is>
          <t>chr5</t>
        </is>
      </c>
      <c r="B3438" t="n">
        <v>152937432</v>
      </c>
      <c r="C3438" t="inlineStr">
        <is>
          <t>T</t>
        </is>
      </c>
      <c r="D3438" t="inlineStr">
        <is>
          <t>A</t>
        </is>
      </c>
      <c r="E3438" t="inlineStr">
        <is>
          <t>rs116618941</t>
        </is>
      </c>
      <c r="F3438" t="n">
        <v>-0.00222110038</v>
      </c>
      <c r="G3438" t="n">
        <v>0.811241454794023</v>
      </c>
      <c r="H3438" t="n">
        <v>0.0065096726157755</v>
      </c>
      <c r="I3438" t="n">
        <v>0.9426905138388008</v>
      </c>
      <c r="J3438" t="n">
        <v>0.0595223296254223</v>
      </c>
      <c r="K3438" t="n">
        <v>0.6769318311796262</v>
      </c>
      <c r="L3438" t="b">
        <v>0</v>
      </c>
      <c r="M3438" t="b">
        <v>0</v>
      </c>
      <c r="N3438" t="inlineStr">
        <is>
          <t>ref</t>
        </is>
      </c>
      <c r="O3438" t="n">
        <v>100</v>
      </c>
      <c r="P3438" t="n">
        <v>0.0117</v>
      </c>
      <c r="Q3438" t="n">
        <v>65</v>
      </c>
      <c r="R3438" t="n">
        <v>0.07806</v>
      </c>
      <c r="S3438">
        <f>IMAGE("https://mitra.stanford.edu/kundaje/oak/projects/neuro-variants/variant_position/credible/roussos_2024/variant_figures/roussos_2024.adolescence.GLU/rs116618941_count_position.png",4,220,900)</f>
        <v/>
      </c>
      <c r="T3438">
        <f>IMAGE("https://mitra.stanford.edu/kundaje/oak/projects/neuro-variants/variant_position/credible/roussos_2024/variant_figures/roussos_2024.adolescence.GLU/rs116618941_profile_position.png",4,220,900)</f>
        <v/>
      </c>
    </row>
    <row r="3439">
      <c r="A3439" t="inlineStr">
        <is>
          <t>chr5</t>
        </is>
      </c>
      <c r="B3439" t="n">
        <v>152943061</v>
      </c>
      <c r="C3439" t="inlineStr">
        <is>
          <t>C</t>
        </is>
      </c>
      <c r="D3439" t="inlineStr">
        <is>
          <t>T</t>
        </is>
      </c>
      <c r="E3439" t="inlineStr">
        <is>
          <t>rs72804789</t>
        </is>
      </c>
      <c r="F3439" t="n">
        <v>-0.0511630654</v>
      </c>
      <c r="G3439" t="n">
        <v>0.0602162260598479</v>
      </c>
      <c r="H3439" t="n">
        <v>0.0140268437735215</v>
      </c>
      <c r="I3439" t="n">
        <v>0.2016315747299666</v>
      </c>
      <c r="J3439" t="n">
        <v>0.3539861828521622</v>
      </c>
      <c r="K3439" t="n">
        <v>0.2125675231824381</v>
      </c>
      <c r="L3439" t="b">
        <v>0</v>
      </c>
      <c r="M3439" t="b">
        <v>0</v>
      </c>
      <c r="N3439" t="inlineStr">
        <is>
          <t>ref</t>
        </is>
      </c>
      <c r="O3439" t="n">
        <v>0</v>
      </c>
      <c r="P3439" t="n">
        <v>0</v>
      </c>
      <c r="Q3439" t="n">
        <v>0</v>
      </c>
      <c r="R3439" t="n">
        <v>0</v>
      </c>
      <c r="S3439">
        <f>IMAGE("https://mitra.stanford.edu/kundaje/oak/projects/neuro-variants/variant_position/credible/roussos_2024/variant_figures/roussos_2024.adolescence.GLU/rs72804789_count_position.png",4,220,900)</f>
        <v/>
      </c>
      <c r="T3439">
        <f>IMAGE("https://mitra.stanford.edu/kundaje/oak/projects/neuro-variants/variant_position/credible/roussos_2024/variant_figures/roussos_2024.adolescence.GLU/rs72804789_profile_position.png",4,220,900)</f>
        <v/>
      </c>
    </row>
    <row r="3440">
      <c r="A3440" t="inlineStr">
        <is>
          <t>chr5</t>
        </is>
      </c>
      <c r="B3440" t="n">
        <v>153036592</v>
      </c>
      <c r="C3440" t="inlineStr">
        <is>
          <t>G</t>
        </is>
      </c>
      <c r="D3440" t="inlineStr">
        <is>
          <t>A</t>
        </is>
      </c>
      <c r="E3440" t="inlineStr">
        <is>
          <t>rs184754715</t>
        </is>
      </c>
      <c r="F3440" t="n">
        <v>-0.0134264003199999</v>
      </c>
      <c r="G3440" t="n">
        <v>0.4382774364523629</v>
      </c>
      <c r="H3440" t="n">
        <v>0.0166578424832532</v>
      </c>
      <c r="I3440" t="n">
        <v>0.1109309520340296</v>
      </c>
      <c r="J3440" t="n">
        <v>0.4759614491573254</v>
      </c>
      <c r="K3440" t="n">
        <v>0.1058513626648965</v>
      </c>
      <c r="L3440" t="b">
        <v>0</v>
      </c>
      <c r="M3440" t="b">
        <v>0</v>
      </c>
      <c r="N3440" t="inlineStr">
        <is>
          <t>ref</t>
        </is>
      </c>
      <c r="O3440" t="n">
        <v>55</v>
      </c>
      <c r="P3440" t="n">
        <v>0.01416</v>
      </c>
      <c r="Q3440" t="n">
        <v>55</v>
      </c>
      <c r="R3440" t="n">
        <v>0.06555</v>
      </c>
      <c r="S3440">
        <f>IMAGE("https://mitra.stanford.edu/kundaje/oak/projects/neuro-variants/variant_position/credible/roussos_2024/variant_figures/roussos_2024.adolescence.GLU/rs184754715_count_position.png",4,220,900)</f>
        <v/>
      </c>
      <c r="T3440">
        <f>IMAGE("https://mitra.stanford.edu/kundaje/oak/projects/neuro-variants/variant_position/credible/roussos_2024/variant_figures/roussos_2024.adolescence.GLU/rs184754715_profile_position.png",4,220,900)</f>
        <v/>
      </c>
    </row>
    <row r="3441">
      <c r="A3441" t="inlineStr">
        <is>
          <t>chr5</t>
        </is>
      </c>
      <c r="B3441" t="n">
        <v>153078038</v>
      </c>
      <c r="C3441" t="inlineStr">
        <is>
          <t>A</t>
        </is>
      </c>
      <c r="D3441" t="inlineStr">
        <is>
          <t>G</t>
        </is>
      </c>
      <c r="E3441" t="inlineStr">
        <is>
          <t>rs75040818</t>
        </is>
      </c>
      <c r="F3441" t="n">
        <v>0.00642733098</v>
      </c>
      <c r="G3441" t="n">
        <v>0.6049150847787352</v>
      </c>
      <c r="H3441" t="n">
        <v>0.0118741248523279</v>
      </c>
      <c r="I3441" t="n">
        <v>0.3471210134870657</v>
      </c>
      <c r="J3441" t="n">
        <v>0.0514092204813853</v>
      </c>
      <c r="K3441" t="n">
        <v>0.6910243347154706</v>
      </c>
      <c r="L3441" t="b">
        <v>0</v>
      </c>
      <c r="M3441" t="b">
        <v>0</v>
      </c>
      <c r="N3441" t="inlineStr">
        <is>
          <t>alt</t>
        </is>
      </c>
      <c r="O3441" t="n">
        <v>-35</v>
      </c>
      <c r="P3441" t="n">
        <v>0.00527</v>
      </c>
      <c r="Q3441" t="n">
        <v>95</v>
      </c>
      <c r="R3441" t="n">
        <v>0.03836</v>
      </c>
      <c r="S3441">
        <f>IMAGE("https://mitra.stanford.edu/kundaje/oak/projects/neuro-variants/variant_position/credible/roussos_2024/variant_figures/roussos_2024.adolescence.GLU/rs75040818_count_position.png",4,220,900)</f>
        <v/>
      </c>
      <c r="T3441">
        <f>IMAGE("https://mitra.stanford.edu/kundaje/oak/projects/neuro-variants/variant_position/credible/roussos_2024/variant_figures/roussos_2024.adolescence.GLU/rs75040818_profile_position.png",4,220,900)</f>
        <v/>
      </c>
    </row>
    <row r="3442">
      <c r="A3442" t="inlineStr">
        <is>
          <t>chr5</t>
        </is>
      </c>
      <c r="B3442" t="n">
        <v>153081063</v>
      </c>
      <c r="C3442" t="inlineStr">
        <is>
          <t>G</t>
        </is>
      </c>
      <c r="D3442" t="inlineStr">
        <is>
          <t>A</t>
        </is>
      </c>
      <c r="E3442" t="inlineStr">
        <is>
          <t>rs73802032</t>
        </is>
      </c>
      <c r="F3442" t="n">
        <v>-0.10616478</v>
      </c>
      <c r="G3442" t="n">
        <v>0.0059833038252401</v>
      </c>
      <c r="H3442" t="n">
        <v>0.0157498603585073</v>
      </c>
      <c r="I3442" t="n">
        <v>0.1306015598790129</v>
      </c>
      <c r="J3442" t="n">
        <v>0.3445585156925362</v>
      </c>
      <c r="K3442" t="n">
        <v>0.2221509305627195</v>
      </c>
      <c r="L3442" t="b">
        <v>1</v>
      </c>
      <c r="M3442" t="b">
        <v>1</v>
      </c>
      <c r="N3442" t="inlineStr">
        <is>
          <t>ref</t>
        </is>
      </c>
      <c r="O3442" t="n">
        <v>-90</v>
      </c>
      <c r="P3442" t="n">
        <v>0.004883</v>
      </c>
      <c r="Q3442" t="n">
        <v>65</v>
      </c>
      <c r="R3442" t="n">
        <v>0.03516</v>
      </c>
      <c r="S3442">
        <f>IMAGE("https://mitra.stanford.edu/kundaje/oak/projects/neuro-variants/variant_position/credible/roussos_2024/variant_figures/roussos_2024.adolescence.GLU/rs73802032_count_position.png",4,220,900)</f>
        <v/>
      </c>
      <c r="T3442">
        <f>IMAGE("https://mitra.stanford.edu/kundaje/oak/projects/neuro-variants/variant_position/credible/roussos_2024/variant_figures/roussos_2024.adolescence.GLU/rs73802032_profile_position.png",4,220,900)</f>
        <v/>
      </c>
    </row>
    <row r="3443">
      <c r="A3443" t="inlineStr">
        <is>
          <t>chr5</t>
        </is>
      </c>
      <c r="B3443" t="n">
        <v>153115323</v>
      </c>
      <c r="C3443" t="inlineStr">
        <is>
          <t>A</t>
        </is>
      </c>
      <c r="D3443" t="inlineStr">
        <is>
          <t>C</t>
        </is>
      </c>
      <c r="E3443" t="inlineStr">
        <is>
          <t>rs6868545</t>
        </is>
      </c>
      <c r="F3443" t="n">
        <v>0.00133093635</v>
      </c>
      <c r="G3443" t="n">
        <v>0.8870279507579323</v>
      </c>
      <c r="H3443" t="n">
        <v>0.0249595901600181</v>
      </c>
      <c r="I3443" t="n">
        <v>0.0203480505490907</v>
      </c>
      <c r="J3443" t="n">
        <v>0.1980324495788413</v>
      </c>
      <c r="K3443" t="n">
        <v>0.4003287472535641</v>
      </c>
      <c r="L3443" t="b">
        <v>0</v>
      </c>
      <c r="M3443" t="b">
        <v>0</v>
      </c>
      <c r="N3443" t="inlineStr">
        <is>
          <t>alt</t>
        </is>
      </c>
      <c r="O3443" t="n">
        <v>15</v>
      </c>
      <c r="P3443" t="n">
        <v>0.006317</v>
      </c>
      <c r="Q3443" t="n">
        <v>90</v>
      </c>
      <c r="R3443" t="n">
        <v>0.07227</v>
      </c>
      <c r="S3443">
        <f>IMAGE("https://mitra.stanford.edu/kundaje/oak/projects/neuro-variants/variant_position/credible/roussos_2024/variant_figures/roussos_2024.adolescence.GLU/rs6868545_count_position.png",4,220,900)</f>
        <v/>
      </c>
      <c r="T3443">
        <f>IMAGE("https://mitra.stanford.edu/kundaje/oak/projects/neuro-variants/variant_position/credible/roussos_2024/variant_figures/roussos_2024.adolescence.GLU/rs6868545_profile_position.png",4,220,900)</f>
        <v/>
      </c>
    </row>
    <row r="3444">
      <c r="A3444" t="inlineStr">
        <is>
          <t>chr5</t>
        </is>
      </c>
      <c r="B3444" t="n">
        <v>153130559</v>
      </c>
      <c r="C3444" t="inlineStr">
        <is>
          <t>G</t>
        </is>
      </c>
      <c r="D3444" t="inlineStr">
        <is>
          <t>A</t>
        </is>
      </c>
      <c r="E3444" t="inlineStr">
        <is>
          <t>rs2118792</t>
        </is>
      </c>
      <c r="F3444" t="n">
        <v>-0.0158094501</v>
      </c>
      <c r="G3444" t="n">
        <v>0.3831470981446918</v>
      </c>
      <c r="H3444" t="n">
        <v>0.009834966704519801</v>
      </c>
      <c r="I3444" t="n">
        <v>0.5491950469769294</v>
      </c>
      <c r="J3444" t="n">
        <v>0.3256888926992019</v>
      </c>
      <c r="K3444" t="n">
        <v>0.2423543348471667</v>
      </c>
      <c r="L3444" t="b">
        <v>0</v>
      </c>
      <c r="M3444" t="b">
        <v>0</v>
      </c>
      <c r="N3444" t="inlineStr">
        <is>
          <t>ref</t>
        </is>
      </c>
      <c r="O3444" t="n">
        <v>0</v>
      </c>
      <c r="P3444" t="n">
        <v>0</v>
      </c>
      <c r="Q3444" t="n">
        <v>55</v>
      </c>
      <c r="R3444" t="n">
        <v>0.03284</v>
      </c>
      <c r="S3444">
        <f>IMAGE("https://mitra.stanford.edu/kundaje/oak/projects/neuro-variants/variant_position/credible/roussos_2024/variant_figures/roussos_2024.adolescence.GLU/rs2118792_count_position.png",4,220,900)</f>
        <v/>
      </c>
      <c r="T3444">
        <f>IMAGE("https://mitra.stanford.edu/kundaje/oak/projects/neuro-variants/variant_position/credible/roussos_2024/variant_figures/roussos_2024.adolescence.GLU/rs2118792_profile_position.png",4,220,900)</f>
        <v/>
      </c>
    </row>
    <row r="3445">
      <c r="A3445" t="inlineStr">
        <is>
          <t>chr5</t>
        </is>
      </c>
      <c r="B3445" t="n">
        <v>153148011</v>
      </c>
      <c r="C3445" t="inlineStr">
        <is>
          <t>A</t>
        </is>
      </c>
      <c r="D3445" t="inlineStr">
        <is>
          <t>G</t>
        </is>
      </c>
      <c r="E3445" t="inlineStr">
        <is>
          <t>rs2962809</t>
        </is>
      </c>
      <c r="F3445" t="n">
        <v>0.0611281021199999</v>
      </c>
      <c r="G3445" t="n">
        <v>0.06844367129060699</v>
      </c>
      <c r="H3445" t="n">
        <v>0.028778067905848</v>
      </c>
      <c r="I3445" t="n">
        <v>0.0306497171976911</v>
      </c>
      <c r="J3445" t="n">
        <v>0.2491973337334162</v>
      </c>
      <c r="K3445" t="n">
        <v>0.3323897965811147</v>
      </c>
      <c r="L3445" t="b">
        <v>0</v>
      </c>
      <c r="M3445" t="b">
        <v>0</v>
      </c>
      <c r="N3445" t="inlineStr">
        <is>
          <t>alt</t>
        </is>
      </c>
      <c r="O3445" t="n">
        <v>-20</v>
      </c>
      <c r="P3445" t="n">
        <v>0.002708</v>
      </c>
      <c r="Q3445" t="n">
        <v>90</v>
      </c>
      <c r="R3445" t="n">
        <v>0.0969</v>
      </c>
      <c r="S3445">
        <f>IMAGE("https://mitra.stanford.edu/kundaje/oak/projects/neuro-variants/variant_position/credible/roussos_2024/variant_figures/roussos_2024.adolescence.GLU/rs2962809_count_position.png",4,220,900)</f>
        <v/>
      </c>
      <c r="T3445">
        <f>IMAGE("https://mitra.stanford.edu/kundaje/oak/projects/neuro-variants/variant_position/credible/roussos_2024/variant_figures/roussos_2024.adolescence.GLU/rs2962809_profile_position.png",4,220,900)</f>
        <v/>
      </c>
    </row>
    <row r="3446">
      <c r="A3446" t="inlineStr">
        <is>
          <t>chr5</t>
        </is>
      </c>
      <c r="B3446" t="n">
        <v>153152663</v>
      </c>
      <c r="C3446" t="inlineStr">
        <is>
          <t>G</t>
        </is>
      </c>
      <c r="D3446" t="inlineStr">
        <is>
          <t>A</t>
        </is>
      </c>
      <c r="E3446" t="inlineStr">
        <is>
          <t>rs2973157</t>
        </is>
      </c>
      <c r="F3446" t="n">
        <v>-0.00459195208</v>
      </c>
      <c r="G3446" t="n">
        <v>0.7108925026628238</v>
      </c>
      <c r="H3446" t="n">
        <v>0.0078062710953015</v>
      </c>
      <c r="I3446" t="n">
        <v>0.8030635529879134</v>
      </c>
      <c r="J3446" t="n">
        <v>0.0050953411778153</v>
      </c>
      <c r="K3446" t="n">
        <v>0.9187662395721672</v>
      </c>
      <c r="L3446" t="b">
        <v>0</v>
      </c>
      <c r="M3446" t="b">
        <v>0</v>
      </c>
      <c r="N3446" t="inlineStr">
        <is>
          <t>ref</t>
        </is>
      </c>
      <c r="O3446" t="n">
        <v>-100</v>
      </c>
      <c r="P3446" t="n">
        <v>0.01159</v>
      </c>
      <c r="Q3446" t="n">
        <v>-50</v>
      </c>
      <c r="R3446" t="n">
        <v>0.0381</v>
      </c>
      <c r="S3446">
        <f>IMAGE("https://mitra.stanford.edu/kundaje/oak/projects/neuro-variants/variant_position/credible/roussos_2024/variant_figures/roussos_2024.adolescence.GLU/rs2973157_count_position.png",4,220,900)</f>
        <v/>
      </c>
      <c r="T3446">
        <f>IMAGE("https://mitra.stanford.edu/kundaje/oak/projects/neuro-variants/variant_position/credible/roussos_2024/variant_figures/roussos_2024.adolescence.GLU/rs2973157_profile_position.png",4,220,900)</f>
        <v/>
      </c>
    </row>
    <row r="3447">
      <c r="A3447" t="inlineStr">
        <is>
          <t>chr5</t>
        </is>
      </c>
      <c r="B3447" t="n">
        <v>153156462</v>
      </c>
      <c r="C3447" t="inlineStr">
        <is>
          <t>A</t>
        </is>
      </c>
      <c r="D3447" t="inlineStr">
        <is>
          <t>G</t>
        </is>
      </c>
      <c r="E3447" t="inlineStr">
        <is>
          <t>rs2910030</t>
        </is>
      </c>
      <c r="F3447" t="n">
        <v>0.0247530006</v>
      </c>
      <c r="G3447" t="n">
        <v>0.2202116117800379</v>
      </c>
      <c r="H3447" t="n">
        <v>0.0119536662759034</v>
      </c>
      <c r="I3447" t="n">
        <v>0.3453720944762104</v>
      </c>
      <c r="J3447" t="n">
        <v>0.1592401283122932</v>
      </c>
      <c r="K3447" t="n">
        <v>0.4678073889570245</v>
      </c>
      <c r="L3447" t="b">
        <v>0</v>
      </c>
      <c r="M3447" t="b">
        <v>0</v>
      </c>
      <c r="N3447" t="inlineStr">
        <is>
          <t>alt</t>
        </is>
      </c>
      <c r="O3447" t="n">
        <v>-75</v>
      </c>
      <c r="P3447" t="n">
        <v>0.004658</v>
      </c>
      <c r="Q3447" t="n">
        <v>100</v>
      </c>
      <c r="R3447" t="n">
        <v>0.04834</v>
      </c>
      <c r="S3447">
        <f>IMAGE("https://mitra.stanford.edu/kundaje/oak/projects/neuro-variants/variant_position/credible/roussos_2024/variant_figures/roussos_2024.adolescence.GLU/rs2910030_count_position.png",4,220,900)</f>
        <v/>
      </c>
      <c r="T3447">
        <f>IMAGE("https://mitra.stanford.edu/kundaje/oak/projects/neuro-variants/variant_position/credible/roussos_2024/variant_figures/roussos_2024.adolescence.GLU/rs2910030_profile_position.png",4,220,900)</f>
        <v/>
      </c>
    </row>
    <row r="3448">
      <c r="A3448" t="inlineStr">
        <is>
          <t>chr5</t>
        </is>
      </c>
      <c r="B3448" t="n">
        <v>153160794</v>
      </c>
      <c r="C3448" t="inlineStr">
        <is>
          <t>C</t>
        </is>
      </c>
      <c r="D3448" t="inlineStr">
        <is>
          <t>T</t>
        </is>
      </c>
      <c r="E3448" t="inlineStr">
        <is>
          <t>rs2910032</t>
        </is>
      </c>
      <c r="F3448" t="n">
        <v>-0.065122308</v>
      </c>
      <c r="G3448" t="n">
        <v>0.0342779797069459</v>
      </c>
      <c r="H3448" t="n">
        <v>0.0127840470112324</v>
      </c>
      <c r="I3448" t="n">
        <v>0.2729744975501221</v>
      </c>
      <c r="J3448" t="n">
        <v>0.1190432303834365</v>
      </c>
      <c r="K3448" t="n">
        <v>0.5305635519886919</v>
      </c>
      <c r="L3448" t="b">
        <v>0</v>
      </c>
      <c r="M3448" t="b">
        <v>0</v>
      </c>
      <c r="N3448" t="inlineStr">
        <is>
          <t>ref</t>
        </is>
      </c>
      <c r="O3448" t="n">
        <v>75</v>
      </c>
      <c r="P3448" t="n">
        <v>0.02643</v>
      </c>
      <c r="Q3448" t="n">
        <v>30</v>
      </c>
      <c r="R3448" t="n">
        <v>0.0592</v>
      </c>
      <c r="S3448">
        <f>IMAGE("https://mitra.stanford.edu/kundaje/oak/projects/neuro-variants/variant_position/credible/roussos_2024/variant_figures/roussos_2024.adolescence.GLU/rs2910032_count_position.png",4,220,900)</f>
        <v/>
      </c>
      <c r="T3448">
        <f>IMAGE("https://mitra.stanford.edu/kundaje/oak/projects/neuro-variants/variant_position/credible/roussos_2024/variant_figures/roussos_2024.adolescence.GLU/rs2910032_profile_position.png",4,220,900)</f>
        <v/>
      </c>
    </row>
    <row r="3449">
      <c r="A3449" t="inlineStr">
        <is>
          <t>chr5</t>
        </is>
      </c>
      <c r="B3449" t="n">
        <v>153171303</v>
      </c>
      <c r="C3449" t="inlineStr">
        <is>
          <t>T</t>
        </is>
      </c>
      <c r="D3449" t="inlineStr">
        <is>
          <t>C</t>
        </is>
      </c>
      <c r="E3449" t="inlineStr">
        <is>
          <t>rs2973138</t>
        </is>
      </c>
      <c r="F3449" t="n">
        <v>0.0236451324</v>
      </c>
      <c r="G3449" t="n">
        <v>0.2320979453543425</v>
      </c>
      <c r="H3449" t="n">
        <v>0.0141098418856813</v>
      </c>
      <c r="I3449" t="n">
        <v>0.1922485396210876</v>
      </c>
      <c r="J3449" t="n">
        <v>0.0656135913867872</v>
      </c>
      <c r="K3449" t="n">
        <v>0.658898238152089</v>
      </c>
      <c r="L3449" t="b">
        <v>0</v>
      </c>
      <c r="M3449" t="b">
        <v>0</v>
      </c>
      <c r="N3449" t="inlineStr">
        <is>
          <t>alt</t>
        </is>
      </c>
      <c r="O3449" t="n">
        <v>-60</v>
      </c>
      <c r="P3449" t="n">
        <v>0.003693</v>
      </c>
      <c r="Q3449" t="n">
        <v>-40</v>
      </c>
      <c r="R3449" t="n">
        <v>0.01312</v>
      </c>
      <c r="S3449">
        <f>IMAGE("https://mitra.stanford.edu/kundaje/oak/projects/neuro-variants/variant_position/credible/roussos_2024/variant_figures/roussos_2024.adolescence.GLU/rs2973138_count_position.png",4,220,900)</f>
        <v/>
      </c>
      <c r="T3449">
        <f>IMAGE("https://mitra.stanford.edu/kundaje/oak/projects/neuro-variants/variant_position/credible/roussos_2024/variant_figures/roussos_2024.adolescence.GLU/rs2973138_profile_position.png",4,220,900)</f>
        <v/>
      </c>
    </row>
    <row r="3450">
      <c r="A3450" t="inlineStr">
        <is>
          <t>chr5</t>
        </is>
      </c>
      <c r="B3450" t="n">
        <v>153171563</v>
      </c>
      <c r="C3450" t="inlineStr">
        <is>
          <t>A</t>
        </is>
      </c>
      <c r="D3450" t="inlineStr">
        <is>
          <t>C</t>
        </is>
      </c>
      <c r="E3450" t="inlineStr">
        <is>
          <t>rs2962826</t>
        </is>
      </c>
      <c r="F3450" t="n">
        <v>0.0639540166</v>
      </c>
      <c r="G3450" t="n">
        <v>0.0320554412250888</v>
      </c>
      <c r="H3450" t="n">
        <v>0.0166120976459041</v>
      </c>
      <c r="I3450" t="n">
        <v>0.1239127179441754</v>
      </c>
      <c r="J3450" t="n">
        <v>0.0470268841402861</v>
      </c>
      <c r="K3450" t="n">
        <v>0.7145920484637304</v>
      </c>
      <c r="L3450" t="b">
        <v>0</v>
      </c>
      <c r="M3450" t="b">
        <v>0</v>
      </c>
      <c r="N3450" t="inlineStr">
        <is>
          <t>alt</t>
        </is>
      </c>
      <c r="O3450" t="n">
        <v>80</v>
      </c>
      <c r="P3450" t="n">
        <v>0.001724</v>
      </c>
      <c r="Q3450" t="n">
        <v>-100</v>
      </c>
      <c r="R3450" t="n">
        <v>0.04413</v>
      </c>
      <c r="S3450">
        <f>IMAGE("https://mitra.stanford.edu/kundaje/oak/projects/neuro-variants/variant_position/credible/roussos_2024/variant_figures/roussos_2024.adolescence.GLU/rs2962826_count_position.png",4,220,900)</f>
        <v/>
      </c>
      <c r="T3450">
        <f>IMAGE("https://mitra.stanford.edu/kundaje/oak/projects/neuro-variants/variant_position/credible/roussos_2024/variant_figures/roussos_2024.adolescence.GLU/rs2962826_profile_position.png",4,220,900)</f>
        <v/>
      </c>
    </row>
    <row r="3451">
      <c r="A3451" t="inlineStr">
        <is>
          <t>chr5</t>
        </is>
      </c>
      <c r="B3451" t="n">
        <v>153176386</v>
      </c>
      <c r="C3451" t="inlineStr">
        <is>
          <t>C</t>
        </is>
      </c>
      <c r="D3451" t="inlineStr">
        <is>
          <t>T</t>
        </is>
      </c>
      <c r="E3451" t="inlineStr">
        <is>
          <t>rs55827458</t>
        </is>
      </c>
      <c r="F3451" t="n">
        <v>0.0001736235999999</v>
      </c>
      <c r="G3451" t="n">
        <v>0.6175734055791691</v>
      </c>
      <c r="H3451" t="n">
        <v>0.0313509733820223</v>
      </c>
      <c r="I3451" t="n">
        <v>0.0074406297199332</v>
      </c>
      <c r="J3451" t="n">
        <v>0.0010516464124711</v>
      </c>
      <c r="K3451" t="n">
        <v>0.9691887112467532</v>
      </c>
      <c r="L3451" t="b">
        <v>0</v>
      </c>
      <c r="M3451" t="b">
        <v>0</v>
      </c>
      <c r="N3451" t="inlineStr">
        <is>
          <t>alt</t>
        </is>
      </c>
      <c r="O3451" t="n">
        <v>-15</v>
      </c>
      <c r="P3451" t="n">
        <v>0.001236</v>
      </c>
      <c r="Q3451" t="n">
        <v>-25</v>
      </c>
      <c r="R3451" t="n">
        <v>0.0304</v>
      </c>
      <c r="S3451">
        <f>IMAGE("https://mitra.stanford.edu/kundaje/oak/projects/neuro-variants/variant_position/credible/roussos_2024/variant_figures/roussos_2024.adolescence.GLU/rs55827458_count_position.png",4,220,900)</f>
        <v/>
      </c>
      <c r="T3451">
        <f>IMAGE("https://mitra.stanford.edu/kundaje/oak/projects/neuro-variants/variant_position/credible/roussos_2024/variant_figures/roussos_2024.adolescence.GLU/rs55827458_profile_position.png",4,220,900)</f>
        <v/>
      </c>
    </row>
    <row r="3452">
      <c r="A3452" t="inlineStr">
        <is>
          <t>chr5</t>
        </is>
      </c>
      <c r="B3452" t="n">
        <v>153179839</v>
      </c>
      <c r="C3452" t="inlineStr">
        <is>
          <t>C</t>
        </is>
      </c>
      <c r="D3452" t="inlineStr">
        <is>
          <t>A</t>
        </is>
      </c>
      <c r="E3452" t="inlineStr">
        <is>
          <t>rs7717923</t>
        </is>
      </c>
      <c r="F3452" t="n">
        <v>-0.00553182436</v>
      </c>
      <c r="G3452" t="n">
        <v>0.7019900925975089</v>
      </c>
      <c r="H3452" t="n">
        <v>0.0151462396463215</v>
      </c>
      <c r="I3452" t="n">
        <v>0.1548768493596681</v>
      </c>
      <c r="J3452" t="n">
        <v>0.0002100435090125</v>
      </c>
      <c r="K3452" t="n">
        <v>0.9910162078138964</v>
      </c>
      <c r="L3452" t="b">
        <v>0</v>
      </c>
      <c r="M3452" t="b">
        <v>0</v>
      </c>
      <c r="N3452" t="inlineStr">
        <is>
          <t>ref</t>
        </is>
      </c>
      <c r="O3452" t="n">
        <v>45</v>
      </c>
      <c r="P3452" t="n">
        <v>0.007934999999999999</v>
      </c>
      <c r="Q3452" t="n">
        <v>100</v>
      </c>
      <c r="R3452" t="n">
        <v>0.0348</v>
      </c>
      <c r="S3452">
        <f>IMAGE("https://mitra.stanford.edu/kundaje/oak/projects/neuro-variants/variant_position/credible/roussos_2024/variant_figures/roussos_2024.adolescence.GLU/rs7717923_count_position.png",4,220,900)</f>
        <v/>
      </c>
      <c r="T3452">
        <f>IMAGE("https://mitra.stanford.edu/kundaje/oak/projects/neuro-variants/variant_position/credible/roussos_2024/variant_figures/roussos_2024.adolescence.GLU/rs7717923_profile_position.png",4,220,900)</f>
        <v/>
      </c>
    </row>
    <row r="3453">
      <c r="A3453" t="inlineStr">
        <is>
          <t>chr5</t>
        </is>
      </c>
      <c r="B3453" t="n">
        <v>153185089</v>
      </c>
      <c r="C3453" t="inlineStr">
        <is>
          <t>T</t>
        </is>
      </c>
      <c r="D3453" t="inlineStr">
        <is>
          <t>G</t>
        </is>
      </c>
      <c r="E3453" t="inlineStr">
        <is>
          <t>rs1870861</t>
        </is>
      </c>
      <c r="F3453" t="n">
        <v>0.00229978934</v>
      </c>
      <c r="G3453" t="n">
        <v>0.5794750317332927</v>
      </c>
      <c r="H3453" t="n">
        <v>0.0123352103333766</v>
      </c>
      <c r="I3453" t="n">
        <v>0.3424957270580383</v>
      </c>
      <c r="J3453" t="n">
        <v>0.1262504375906437</v>
      </c>
      <c r="K3453" t="n">
        <v>0.5228180599107823</v>
      </c>
      <c r="L3453" t="b">
        <v>0</v>
      </c>
      <c r="M3453" t="b">
        <v>0</v>
      </c>
      <c r="N3453" t="inlineStr">
        <is>
          <t>alt</t>
        </is>
      </c>
      <c r="O3453" t="n">
        <v>-15</v>
      </c>
      <c r="P3453" t="n">
        <v>0.00457</v>
      </c>
      <c r="Q3453" t="n">
        <v>-15</v>
      </c>
      <c r="R3453" t="n">
        <v>0.01262</v>
      </c>
      <c r="S3453">
        <f>IMAGE("https://mitra.stanford.edu/kundaje/oak/projects/neuro-variants/variant_position/credible/roussos_2024/variant_figures/roussos_2024.adolescence.GLU/rs1870861_count_position.png",4,220,900)</f>
        <v/>
      </c>
      <c r="T3453">
        <f>IMAGE("https://mitra.stanford.edu/kundaje/oak/projects/neuro-variants/variant_position/credible/roussos_2024/variant_figures/roussos_2024.adolescence.GLU/rs1870861_profile_position.png",4,220,900)</f>
        <v/>
      </c>
    </row>
    <row r="3454">
      <c r="A3454" t="inlineStr">
        <is>
          <t>chr5</t>
        </is>
      </c>
      <c r="B3454" t="n">
        <v>153209119</v>
      </c>
      <c r="C3454" t="inlineStr">
        <is>
          <t>C</t>
        </is>
      </c>
      <c r="D3454" t="inlineStr">
        <is>
          <t>T</t>
        </is>
      </c>
      <c r="E3454" t="inlineStr">
        <is>
          <t>rs1462120</t>
        </is>
      </c>
      <c r="F3454" t="n">
        <v>-0.015881489</v>
      </c>
      <c r="G3454" t="n">
        <v>0.3781779114306406</v>
      </c>
      <c r="H3454" t="n">
        <v>0.0116172786010812</v>
      </c>
      <c r="I3454" t="n">
        <v>0.3590061014536796</v>
      </c>
      <c r="J3454" t="n">
        <v>0.1093683691621835</v>
      </c>
      <c r="K3454" t="n">
        <v>0.5462109945365475</v>
      </c>
      <c r="L3454" t="b">
        <v>0</v>
      </c>
      <c r="M3454" t="b">
        <v>0</v>
      </c>
      <c r="N3454" t="inlineStr">
        <is>
          <t>ref</t>
        </is>
      </c>
      <c r="O3454" t="n">
        <v>-75</v>
      </c>
      <c r="P3454" t="n">
        <v>0.007603</v>
      </c>
      <c r="Q3454" t="n">
        <v>90</v>
      </c>
      <c r="R3454" t="n">
        <v>0.01413</v>
      </c>
      <c r="S3454">
        <f>IMAGE("https://mitra.stanford.edu/kundaje/oak/projects/neuro-variants/variant_position/credible/roussos_2024/variant_figures/roussos_2024.adolescence.GLU/rs1462120_count_position.png",4,220,900)</f>
        <v/>
      </c>
      <c r="T3454">
        <f>IMAGE("https://mitra.stanford.edu/kundaje/oak/projects/neuro-variants/variant_position/credible/roussos_2024/variant_figures/roussos_2024.adolescence.GLU/rs1462120_profile_position.png",4,220,900)</f>
        <v/>
      </c>
    </row>
    <row r="3455">
      <c r="A3455" t="inlineStr">
        <is>
          <t>chr5</t>
        </is>
      </c>
      <c r="B3455" t="n">
        <v>153227010</v>
      </c>
      <c r="C3455" t="inlineStr">
        <is>
          <t>A</t>
        </is>
      </c>
      <c r="D3455" t="inlineStr">
        <is>
          <t>G</t>
        </is>
      </c>
      <c r="E3455" t="inlineStr">
        <is>
          <t>rs3112532</t>
        </is>
      </c>
      <c r="F3455" t="n">
        <v>0.00547092034</v>
      </c>
      <c r="G3455" t="n">
        <v>0.6747509852889431</v>
      </c>
      <c r="H3455" t="n">
        <v>0.0084566583017963</v>
      </c>
      <c r="I3455" t="n">
        <v>0.7454640111106502</v>
      </c>
      <c r="J3455" t="n">
        <v>0.0024919447599859</v>
      </c>
      <c r="K3455" t="n">
        <v>0.950081189089386</v>
      </c>
      <c r="L3455" t="b">
        <v>0</v>
      </c>
      <c r="M3455" t="b">
        <v>0</v>
      </c>
      <c r="N3455" t="inlineStr">
        <is>
          <t>alt</t>
        </is>
      </c>
      <c r="O3455" t="n">
        <v>100</v>
      </c>
      <c r="P3455" t="n">
        <v>0.00997</v>
      </c>
      <c r="Q3455" t="n">
        <v>-100</v>
      </c>
      <c r="R3455" t="n">
        <v>0.06616</v>
      </c>
      <c r="S3455">
        <f>IMAGE("https://mitra.stanford.edu/kundaje/oak/projects/neuro-variants/variant_position/credible/roussos_2024/variant_figures/roussos_2024.adolescence.GLU/rs3112532_count_position.png",4,220,900)</f>
        <v/>
      </c>
      <c r="T3455">
        <f>IMAGE("https://mitra.stanford.edu/kundaje/oak/projects/neuro-variants/variant_position/credible/roussos_2024/variant_figures/roussos_2024.adolescence.GLU/rs3112532_profile_position.png",4,220,900)</f>
        <v/>
      </c>
    </row>
    <row r="3456">
      <c r="A3456" t="inlineStr">
        <is>
          <t>chr5</t>
        </is>
      </c>
      <c r="B3456" t="n">
        <v>153235946</v>
      </c>
      <c r="C3456" t="inlineStr">
        <is>
          <t>G</t>
        </is>
      </c>
      <c r="D3456" t="inlineStr">
        <is>
          <t>A</t>
        </is>
      </c>
      <c r="E3456" t="inlineStr">
        <is>
          <t>rs296175</t>
        </is>
      </c>
      <c r="F3456" t="n">
        <v>-0.1083536059999999</v>
      </c>
      <c r="G3456" t="n">
        <v>0.0062012153063852</v>
      </c>
      <c r="H3456" t="n">
        <v>0.019040371493798</v>
      </c>
      <c r="I3456" t="n">
        <v>0.0732968405800194</v>
      </c>
      <c r="J3456" t="n">
        <v>0.1872173521658057</v>
      </c>
      <c r="K3456" t="n">
        <v>0.4156668604413538</v>
      </c>
      <c r="L3456" t="b">
        <v>1</v>
      </c>
      <c r="M3456" t="b">
        <v>1</v>
      </c>
      <c r="N3456" t="inlineStr">
        <is>
          <t>ref</t>
        </is>
      </c>
      <c r="O3456" t="n">
        <v>70</v>
      </c>
      <c r="P3456" t="n">
        <v>0.004166</v>
      </c>
      <c r="Q3456" t="n">
        <v>45</v>
      </c>
      <c r="R3456" t="n">
        <v>0.01563</v>
      </c>
      <c r="S3456">
        <f>IMAGE("https://mitra.stanford.edu/kundaje/oak/projects/neuro-variants/variant_position/credible/roussos_2024/variant_figures/roussos_2024.adolescence.GLU/rs296175_count_position.png",4,220,900)</f>
        <v/>
      </c>
      <c r="T3456">
        <f>IMAGE("https://mitra.stanford.edu/kundaje/oak/projects/neuro-variants/variant_position/credible/roussos_2024/variant_figures/roussos_2024.adolescence.GLU/rs296175_profile_position.png",4,220,900)</f>
        <v/>
      </c>
    </row>
    <row r="3457">
      <c r="A3457" t="inlineStr">
        <is>
          <t>chr5</t>
        </is>
      </c>
      <c r="B3457" t="n">
        <v>153239904</v>
      </c>
      <c r="C3457" t="inlineStr">
        <is>
          <t>T</t>
        </is>
      </c>
      <c r="D3457" t="inlineStr">
        <is>
          <t>G</t>
        </is>
      </c>
      <c r="E3457" t="inlineStr">
        <is>
          <t>rs2546328</t>
        </is>
      </c>
      <c r="F3457" t="n">
        <v>0.0315079687999999</v>
      </c>
      <c r="G3457" t="n">
        <v>0.1599206269381757</v>
      </c>
      <c r="H3457" t="n">
        <v>0.0121294486117282</v>
      </c>
      <c r="I3457" t="n">
        <v>0.3370179196976626</v>
      </c>
      <c r="J3457" t="n">
        <v>0.0410956555286451</v>
      </c>
      <c r="K3457" t="n">
        <v>0.7258594052307217</v>
      </c>
      <c r="L3457" t="b">
        <v>0</v>
      </c>
      <c r="M3457" t="b">
        <v>0</v>
      </c>
      <c r="N3457" t="inlineStr">
        <is>
          <t>alt</t>
        </is>
      </c>
      <c r="O3457" t="n">
        <v>80</v>
      </c>
      <c r="P3457" t="n">
        <v>0.009445</v>
      </c>
      <c r="Q3457" t="n">
        <v>20</v>
      </c>
      <c r="R3457" t="n">
        <v>0.00842</v>
      </c>
      <c r="S3457">
        <f>IMAGE("https://mitra.stanford.edu/kundaje/oak/projects/neuro-variants/variant_position/credible/roussos_2024/variant_figures/roussos_2024.adolescence.GLU/rs2546328_count_position.png",4,220,900)</f>
        <v/>
      </c>
      <c r="T3457">
        <f>IMAGE("https://mitra.stanford.edu/kundaje/oak/projects/neuro-variants/variant_position/credible/roussos_2024/variant_figures/roussos_2024.adolescence.GLU/rs2546328_profile_position.png",4,220,900)</f>
        <v/>
      </c>
    </row>
    <row r="3458">
      <c r="A3458" t="inlineStr">
        <is>
          <t>chr5</t>
        </is>
      </c>
      <c r="B3458" t="n">
        <v>153258478</v>
      </c>
      <c r="C3458" t="inlineStr">
        <is>
          <t>C</t>
        </is>
      </c>
      <c r="D3458" t="inlineStr">
        <is>
          <t>A</t>
        </is>
      </c>
      <c r="E3458" t="inlineStr">
        <is>
          <t>rs2349576</t>
        </is>
      </c>
      <c r="F3458" t="n">
        <v>0.0045210532599999</v>
      </c>
      <c r="G3458" t="n">
        <v>0.710549680383158</v>
      </c>
      <c r="H3458" t="n">
        <v>0.009145912064133999</v>
      </c>
      <c r="I3458" t="n">
        <v>0.6025805611418903</v>
      </c>
      <c r="J3458" t="n">
        <v>0.0084989033442641</v>
      </c>
      <c r="K3458" t="n">
        <v>0.8897390133160142</v>
      </c>
      <c r="L3458" t="b">
        <v>0</v>
      </c>
      <c r="M3458" t="b">
        <v>0</v>
      </c>
      <c r="N3458" t="inlineStr">
        <is>
          <t>alt</t>
        </is>
      </c>
      <c r="O3458" t="n">
        <v>-45</v>
      </c>
      <c r="P3458" t="n">
        <v>0.003426</v>
      </c>
      <c r="Q3458" t="n">
        <v>95</v>
      </c>
      <c r="R3458" t="n">
        <v>0.0349</v>
      </c>
      <c r="S3458">
        <f>IMAGE("https://mitra.stanford.edu/kundaje/oak/projects/neuro-variants/variant_position/credible/roussos_2024/variant_figures/roussos_2024.adolescence.GLU/rs2349576_count_position.png",4,220,900)</f>
        <v/>
      </c>
      <c r="T3458">
        <f>IMAGE("https://mitra.stanford.edu/kundaje/oak/projects/neuro-variants/variant_position/credible/roussos_2024/variant_figures/roussos_2024.adolescence.GLU/rs2349576_profile_position.png",4,220,900)</f>
        <v/>
      </c>
    </row>
    <row r="3459">
      <c r="A3459" t="inlineStr">
        <is>
          <t>chr5</t>
        </is>
      </c>
      <c r="B3459" t="n">
        <v>153264409</v>
      </c>
      <c r="C3459" t="inlineStr">
        <is>
          <t>G</t>
        </is>
      </c>
      <c r="D3459" t="inlineStr">
        <is>
          <t>T</t>
        </is>
      </c>
      <c r="E3459" t="inlineStr">
        <is>
          <t>rs2926288</t>
        </is>
      </c>
      <c r="F3459" t="n">
        <v>0.0217824630199999</v>
      </c>
      <c r="G3459" t="n">
        <v>0.2826567978244376</v>
      </c>
      <c r="H3459" t="n">
        <v>0.0233514558822196</v>
      </c>
      <c r="I3459" t="n">
        <v>0.0335016268816659</v>
      </c>
      <c r="J3459" t="n">
        <v>0.1425666745254374</v>
      </c>
      <c r="K3459" t="n">
        <v>0.4943444335426404</v>
      </c>
      <c r="L3459" t="b">
        <v>0</v>
      </c>
      <c r="M3459" t="b">
        <v>0</v>
      </c>
      <c r="N3459" t="inlineStr">
        <is>
          <t>alt</t>
        </is>
      </c>
      <c r="O3459" t="n">
        <v>-95</v>
      </c>
      <c r="P3459" t="n">
        <v>0.0191</v>
      </c>
      <c r="Q3459" t="n">
        <v>-70</v>
      </c>
      <c r="R3459" t="n">
        <v>0.08484</v>
      </c>
      <c r="S3459">
        <f>IMAGE("https://mitra.stanford.edu/kundaje/oak/projects/neuro-variants/variant_position/credible/roussos_2024/variant_figures/roussos_2024.adolescence.GLU/rs2926288_count_position.png",4,220,900)</f>
        <v/>
      </c>
      <c r="T3459">
        <f>IMAGE("https://mitra.stanford.edu/kundaje/oak/projects/neuro-variants/variant_position/credible/roussos_2024/variant_figures/roussos_2024.adolescence.GLU/rs2926288_profile_position.png",4,220,900)</f>
        <v/>
      </c>
    </row>
    <row r="3460">
      <c r="A3460" t="inlineStr">
        <is>
          <t>chr5</t>
        </is>
      </c>
      <c r="B3460" t="n">
        <v>153266205</v>
      </c>
      <c r="C3460" t="inlineStr">
        <is>
          <t>C</t>
        </is>
      </c>
      <c r="D3460" t="inlineStr">
        <is>
          <t>T</t>
        </is>
      </c>
      <c r="E3460" t="inlineStr">
        <is>
          <t>rs2964817</t>
        </is>
      </c>
      <c r="F3460" t="n">
        <v>-0.0585624766</v>
      </c>
      <c r="G3460" t="n">
        <v>0.0400567693219834</v>
      </c>
      <c r="H3460" t="n">
        <v>0.0108999166252354</v>
      </c>
      <c r="I3460" t="n">
        <v>0.4325424946830294</v>
      </c>
      <c r="J3460" t="n">
        <v>0.0828914560873323</v>
      </c>
      <c r="K3460" t="n">
        <v>0.6148297527934924</v>
      </c>
      <c r="L3460" t="b">
        <v>0</v>
      </c>
      <c r="M3460" t="b">
        <v>0</v>
      </c>
      <c r="N3460" t="inlineStr">
        <is>
          <t>ref</t>
        </is>
      </c>
      <c r="O3460" t="n">
        <v>-100</v>
      </c>
      <c r="P3460" t="n">
        <v>0.00404</v>
      </c>
      <c r="Q3460" t="n">
        <v>-100</v>
      </c>
      <c r="R3460" t="n">
        <v>0.01837</v>
      </c>
      <c r="S3460">
        <f>IMAGE("https://mitra.stanford.edu/kundaje/oak/projects/neuro-variants/variant_position/credible/roussos_2024/variant_figures/roussos_2024.adolescence.GLU/rs2964817_count_position.png",4,220,900)</f>
        <v/>
      </c>
      <c r="T3460">
        <f>IMAGE("https://mitra.stanford.edu/kundaje/oak/projects/neuro-variants/variant_position/credible/roussos_2024/variant_figures/roussos_2024.adolescence.GLU/rs2964817_profile_position.png",4,220,900)</f>
        <v/>
      </c>
    </row>
    <row r="3461">
      <c r="A3461" t="inlineStr">
        <is>
          <t>chr5</t>
        </is>
      </c>
      <c r="B3461" t="n">
        <v>153272205</v>
      </c>
      <c r="C3461" t="inlineStr">
        <is>
          <t>A</t>
        </is>
      </c>
      <c r="D3461" t="inlineStr">
        <is>
          <t>G</t>
        </is>
      </c>
      <c r="E3461" t="inlineStr">
        <is>
          <t>rs2199123</t>
        </is>
      </c>
      <c r="F3461" t="n">
        <v>0.0186522924</v>
      </c>
      <c r="G3461" t="n">
        <v>0.3010326698084667</v>
      </c>
      <c r="H3461" t="n">
        <v>0.0092431245485841</v>
      </c>
      <c r="I3461" t="n">
        <v>0.6308255932136997</v>
      </c>
      <c r="J3461" t="n">
        <v>0.09866758114180781</v>
      </c>
      <c r="K3461" t="n">
        <v>0.5719549840682273</v>
      </c>
      <c r="L3461" t="b">
        <v>0</v>
      </c>
      <c r="M3461" t="b">
        <v>0</v>
      </c>
      <c r="N3461" t="inlineStr">
        <is>
          <t>alt</t>
        </is>
      </c>
      <c r="O3461" t="n">
        <v>100</v>
      </c>
      <c r="P3461" t="n">
        <v>0.014404</v>
      </c>
      <c r="Q3461" t="n">
        <v>65</v>
      </c>
      <c r="R3461" t="n">
        <v>0.02551</v>
      </c>
      <c r="S3461">
        <f>IMAGE("https://mitra.stanford.edu/kundaje/oak/projects/neuro-variants/variant_position/credible/roussos_2024/variant_figures/roussos_2024.adolescence.GLU/rs2199123_count_position.png",4,220,900)</f>
        <v/>
      </c>
      <c r="T3461">
        <f>IMAGE("https://mitra.stanford.edu/kundaje/oak/projects/neuro-variants/variant_position/credible/roussos_2024/variant_figures/roussos_2024.adolescence.GLU/rs2199123_profile_position.png",4,220,900)</f>
        <v/>
      </c>
    </row>
    <row r="3462">
      <c r="A3462" t="inlineStr">
        <is>
          <t>chr5</t>
        </is>
      </c>
      <c r="B3462" t="n">
        <v>153274919</v>
      </c>
      <c r="C3462" t="inlineStr">
        <is>
          <t>C</t>
        </is>
      </c>
      <c r="D3462" t="inlineStr">
        <is>
          <t>T</t>
        </is>
      </c>
      <c r="E3462" t="inlineStr">
        <is>
          <t>rs17504622</t>
        </is>
      </c>
      <c r="F3462" t="n">
        <v>-0.0228585124199999</v>
      </c>
      <c r="G3462" t="n">
        <v>0.2504791707556369</v>
      </c>
      <c r="H3462" t="n">
        <v>0.0100000478540701</v>
      </c>
      <c r="I3462" t="n">
        <v>0.5042293492415847</v>
      </c>
      <c r="J3462" t="n">
        <v>0.0954026191139592</v>
      </c>
      <c r="K3462" t="n">
        <v>0.580576935207074</v>
      </c>
      <c r="L3462" t="b">
        <v>0</v>
      </c>
      <c r="M3462" t="b">
        <v>0</v>
      </c>
      <c r="N3462" t="inlineStr">
        <is>
          <t>ref</t>
        </is>
      </c>
      <c r="O3462" t="n">
        <v>50</v>
      </c>
      <c r="P3462" t="n">
        <v>0.001556</v>
      </c>
      <c r="Q3462" t="n">
        <v>-80</v>
      </c>
      <c r="R3462" t="n">
        <v>0.08434999999999999</v>
      </c>
      <c r="S3462">
        <f>IMAGE("https://mitra.stanford.edu/kundaje/oak/projects/neuro-variants/variant_position/credible/roussos_2024/variant_figures/roussos_2024.adolescence.GLU/rs17504622_count_position.png",4,220,900)</f>
        <v/>
      </c>
      <c r="T3462">
        <f>IMAGE("https://mitra.stanford.edu/kundaje/oak/projects/neuro-variants/variant_position/credible/roussos_2024/variant_figures/roussos_2024.adolescence.GLU/rs17504622_profile_position.png",4,220,900)</f>
        <v/>
      </c>
    </row>
    <row r="3463">
      <c r="A3463" t="inlineStr">
        <is>
          <t>chr5</t>
        </is>
      </c>
      <c r="B3463" t="n">
        <v>153305895</v>
      </c>
      <c r="C3463" t="inlineStr">
        <is>
          <t>C</t>
        </is>
      </c>
      <c r="D3463" t="inlineStr">
        <is>
          <t>T</t>
        </is>
      </c>
      <c r="E3463" t="inlineStr">
        <is>
          <t>rs308267</t>
        </is>
      </c>
      <c r="F3463" t="n">
        <v>0.00273837076</v>
      </c>
      <c r="G3463" t="n">
        <v>0.66995671391046</v>
      </c>
      <c r="H3463" t="n">
        <v>0.008686663248355301</v>
      </c>
      <c r="I3463" t="n">
        <v>0.7018067828503531</v>
      </c>
      <c r="J3463" t="n">
        <v>0.4046738252923819</v>
      </c>
      <c r="K3463" t="n">
        <v>0.1610945846853959</v>
      </c>
      <c r="L3463" t="b">
        <v>0</v>
      </c>
      <c r="M3463" t="b">
        <v>0</v>
      </c>
      <c r="N3463" t="inlineStr">
        <is>
          <t>alt</t>
        </is>
      </c>
      <c r="O3463" t="n">
        <v>-40</v>
      </c>
      <c r="P3463" t="n">
        <v>0.002728</v>
      </c>
      <c r="Q3463" t="n">
        <v>-60</v>
      </c>
      <c r="R3463" t="n">
        <v>0.0559</v>
      </c>
      <c r="S3463">
        <f>IMAGE("https://mitra.stanford.edu/kundaje/oak/projects/neuro-variants/variant_position/credible/roussos_2024/variant_figures/roussos_2024.adolescence.GLU/rs308267_count_position.png",4,220,900)</f>
        <v/>
      </c>
      <c r="T3463">
        <f>IMAGE("https://mitra.stanford.edu/kundaje/oak/projects/neuro-variants/variant_position/credible/roussos_2024/variant_figures/roussos_2024.adolescence.GLU/rs308267_profile_position.png",4,220,900)</f>
        <v/>
      </c>
    </row>
    <row r="3464">
      <c r="A3464" t="inlineStr">
        <is>
          <t>chr5</t>
        </is>
      </c>
      <c r="B3464" t="n">
        <v>153320574</v>
      </c>
      <c r="C3464" t="inlineStr">
        <is>
          <t>A</t>
        </is>
      </c>
      <c r="D3464" t="inlineStr">
        <is>
          <t>G</t>
        </is>
      </c>
      <c r="E3464" t="inlineStr">
        <is>
          <t>rs2609671</t>
        </is>
      </c>
      <c r="F3464" t="n">
        <v>0.0501671848</v>
      </c>
      <c r="G3464" t="n">
        <v>0.0651688473036886</v>
      </c>
      <c r="H3464" t="n">
        <v>0.0105095599828257</v>
      </c>
      <c r="I3464" t="n">
        <v>0.4780006951102164</v>
      </c>
      <c r="J3464" t="n">
        <v>0.0912188953426066</v>
      </c>
      <c r="K3464" t="n">
        <v>0.5921255534783365</v>
      </c>
      <c r="L3464" t="b">
        <v>0</v>
      </c>
      <c r="M3464" t="b">
        <v>0</v>
      </c>
      <c r="N3464" t="inlineStr">
        <is>
          <t>alt</t>
        </is>
      </c>
      <c r="O3464" t="n">
        <v>-5</v>
      </c>
      <c r="P3464" t="n">
        <v>3.05e-05</v>
      </c>
      <c r="Q3464" t="n">
        <v>-45</v>
      </c>
      <c r="R3464" t="n">
        <v>0.0261</v>
      </c>
      <c r="S3464">
        <f>IMAGE("https://mitra.stanford.edu/kundaje/oak/projects/neuro-variants/variant_position/credible/roussos_2024/variant_figures/roussos_2024.adolescence.GLU/rs2609671_count_position.png",4,220,900)</f>
        <v/>
      </c>
      <c r="T3464">
        <f>IMAGE("https://mitra.stanford.edu/kundaje/oak/projects/neuro-variants/variant_position/credible/roussos_2024/variant_figures/roussos_2024.adolescence.GLU/rs2609671_profile_position.png",4,220,900)</f>
        <v/>
      </c>
    </row>
    <row r="3465">
      <c r="A3465" t="inlineStr">
        <is>
          <t>chr5</t>
        </is>
      </c>
      <c r="B3465" t="n">
        <v>153325578</v>
      </c>
      <c r="C3465" t="inlineStr">
        <is>
          <t>T</t>
        </is>
      </c>
      <c r="D3465" t="inlineStr">
        <is>
          <t>C</t>
        </is>
      </c>
      <c r="E3465" t="inlineStr">
        <is>
          <t>rs300325</t>
        </is>
      </c>
      <c r="F3465" t="n">
        <v>0.0433201746</v>
      </c>
      <c r="G3465" t="n">
        <v>0.08516575075543149</v>
      </c>
      <c r="H3465" t="n">
        <v>0.009243586562462</v>
      </c>
      <c r="I3465" t="n">
        <v>0.633559524126427</v>
      </c>
      <c r="J3465" t="n">
        <v>0.5038386522922605</v>
      </c>
      <c r="K3465" t="n">
        <v>0.0847441285057586</v>
      </c>
      <c r="L3465" t="b">
        <v>0</v>
      </c>
      <c r="M3465" t="b">
        <v>0</v>
      </c>
      <c r="N3465" t="inlineStr">
        <is>
          <t>alt</t>
        </is>
      </c>
      <c r="O3465" t="n">
        <v>-85</v>
      </c>
      <c r="P3465" t="n">
        <v>0.001671</v>
      </c>
      <c r="Q3465" t="n">
        <v>50</v>
      </c>
      <c r="R3465" t="n">
        <v>0.1062</v>
      </c>
      <c r="S3465">
        <f>IMAGE("https://mitra.stanford.edu/kundaje/oak/projects/neuro-variants/variant_position/credible/roussos_2024/variant_figures/roussos_2024.adolescence.GLU/rs300325_count_position.png",4,220,900)</f>
        <v/>
      </c>
      <c r="T3465">
        <f>IMAGE("https://mitra.stanford.edu/kundaje/oak/projects/neuro-variants/variant_position/credible/roussos_2024/variant_figures/roussos_2024.adolescence.GLU/rs300325_profile_position.png",4,220,900)</f>
        <v/>
      </c>
    </row>
    <row r="3466">
      <c r="A3466" t="inlineStr">
        <is>
          <t>chr5</t>
        </is>
      </c>
      <c r="B3466" t="n">
        <v>153335525</v>
      </c>
      <c r="C3466" t="inlineStr">
        <is>
          <t>C</t>
        </is>
      </c>
      <c r="D3466" t="inlineStr">
        <is>
          <t>T</t>
        </is>
      </c>
      <c r="E3466" t="inlineStr">
        <is>
          <t>rs2617267</t>
        </is>
      </c>
      <c r="F3466" t="n">
        <v>-0.0107748875</v>
      </c>
      <c r="G3466" t="n">
        <v>0.519332148866174</v>
      </c>
      <c r="H3466" t="n">
        <v>0.0101211524192957</v>
      </c>
      <c r="I3466" t="n">
        <v>0.5208553037531837</v>
      </c>
      <c r="J3466" t="n">
        <v>0.0557244000542969</v>
      </c>
      <c r="K3466" t="n">
        <v>0.6888140740749306</v>
      </c>
      <c r="L3466" t="b">
        <v>0</v>
      </c>
      <c r="M3466" t="b">
        <v>0</v>
      </c>
      <c r="N3466" t="inlineStr">
        <is>
          <t>ref</t>
        </is>
      </c>
      <c r="O3466" t="n">
        <v>15</v>
      </c>
      <c r="P3466" t="n">
        <v>0.001087</v>
      </c>
      <c r="Q3466" t="n">
        <v>-85</v>
      </c>
      <c r="R3466" t="n">
        <v>0.0335</v>
      </c>
      <c r="S3466">
        <f>IMAGE("https://mitra.stanford.edu/kundaje/oak/projects/neuro-variants/variant_position/credible/roussos_2024/variant_figures/roussos_2024.adolescence.GLU/rs2617267_count_position.png",4,220,900)</f>
        <v/>
      </c>
      <c r="T3466">
        <f>IMAGE("https://mitra.stanford.edu/kundaje/oak/projects/neuro-variants/variant_position/credible/roussos_2024/variant_figures/roussos_2024.adolescence.GLU/rs2617267_profile_position.png",4,220,900)</f>
        <v/>
      </c>
    </row>
    <row r="3467">
      <c r="A3467" t="inlineStr">
        <is>
          <t>chr5</t>
        </is>
      </c>
      <c r="B3467" t="n">
        <v>153335769</v>
      </c>
      <c r="C3467" t="inlineStr">
        <is>
          <t>T</t>
        </is>
      </c>
      <c r="D3467" t="inlineStr">
        <is>
          <t>C</t>
        </is>
      </c>
      <c r="E3467" t="inlineStr">
        <is>
          <t>rs2964819</t>
        </is>
      </c>
      <c r="F3467" t="n">
        <v>0.0794363298</v>
      </c>
      <c r="G3467" t="n">
        <v>0.0197389577937631</v>
      </c>
      <c r="H3467" t="n">
        <v>0.0171509620485108</v>
      </c>
      <c r="I3467" t="n">
        <v>0.1187346551454832</v>
      </c>
      <c r="J3467" t="n">
        <v>0.0850433304041551</v>
      </c>
      <c r="K3467" t="n">
        <v>0.6097247075892315</v>
      </c>
      <c r="L3467" t="b">
        <v>0</v>
      </c>
      <c r="M3467" t="b">
        <v>0</v>
      </c>
      <c r="N3467" t="inlineStr">
        <is>
          <t>alt</t>
        </is>
      </c>
      <c r="O3467" t="n">
        <v>-20</v>
      </c>
      <c r="P3467" t="n">
        <v>0.003132</v>
      </c>
      <c r="Q3467" t="n">
        <v>100</v>
      </c>
      <c r="R3467" t="n">
        <v>0.01187</v>
      </c>
      <c r="S3467">
        <f>IMAGE("https://mitra.stanford.edu/kundaje/oak/projects/neuro-variants/variant_position/credible/roussos_2024/variant_figures/roussos_2024.adolescence.GLU/rs2964819_count_position.png",4,220,900)</f>
        <v/>
      </c>
      <c r="T3467">
        <f>IMAGE("https://mitra.stanford.edu/kundaje/oak/projects/neuro-variants/variant_position/credible/roussos_2024/variant_figures/roussos_2024.adolescence.GLU/rs2964819_profile_position.png",4,220,900)</f>
        <v/>
      </c>
    </row>
    <row r="3468">
      <c r="A3468" t="inlineStr">
        <is>
          <t>chr5</t>
        </is>
      </c>
      <c r="B3468" t="n">
        <v>153335978</v>
      </c>
      <c r="C3468" t="inlineStr">
        <is>
          <t>A</t>
        </is>
      </c>
      <c r="D3468" t="inlineStr">
        <is>
          <t>C</t>
        </is>
      </c>
      <c r="E3468" t="inlineStr">
        <is>
          <t>rs2560245</t>
        </is>
      </c>
      <c r="F3468" t="n">
        <v>0.0235351712</v>
      </c>
      <c r="G3468" t="n">
        <v>0.2404762915864687</v>
      </c>
      <c r="H3468" t="n">
        <v>0.016823758328003</v>
      </c>
      <c r="I3468" t="n">
        <v>0.1107801906889739</v>
      </c>
      <c r="J3468" t="n">
        <v>0.07879775096269941</v>
      </c>
      <c r="K3468" t="n">
        <v>0.6262620962092416</v>
      </c>
      <c r="L3468" t="b">
        <v>0</v>
      </c>
      <c r="M3468" t="b">
        <v>0</v>
      </c>
      <c r="N3468" t="inlineStr">
        <is>
          <t>alt</t>
        </is>
      </c>
      <c r="O3468" t="n">
        <v>-40</v>
      </c>
      <c r="P3468" t="n">
        <v>0.0013275</v>
      </c>
      <c r="Q3468" t="n">
        <v>50</v>
      </c>
      <c r="R3468" t="n">
        <v>0.0562</v>
      </c>
      <c r="S3468">
        <f>IMAGE("https://mitra.stanford.edu/kundaje/oak/projects/neuro-variants/variant_position/credible/roussos_2024/variant_figures/roussos_2024.adolescence.GLU/rs2560245_count_position.png",4,220,900)</f>
        <v/>
      </c>
      <c r="T3468">
        <f>IMAGE("https://mitra.stanford.edu/kundaje/oak/projects/neuro-variants/variant_position/credible/roussos_2024/variant_figures/roussos_2024.adolescence.GLU/rs2560245_profile_position.png",4,220,900)</f>
        <v/>
      </c>
    </row>
    <row r="3469">
      <c r="A3469" t="inlineStr">
        <is>
          <t>chr5</t>
        </is>
      </c>
      <c r="B3469" t="n">
        <v>153336647</v>
      </c>
      <c r="C3469" t="inlineStr">
        <is>
          <t>T</t>
        </is>
      </c>
      <c r="D3469" t="inlineStr">
        <is>
          <t>G</t>
        </is>
      </c>
      <c r="E3469" t="inlineStr">
        <is>
          <t>rs2446429</t>
        </is>
      </c>
      <c r="F3469" t="n">
        <v>0.01071250128</v>
      </c>
      <c r="G3469" t="n">
        <v>0.5102382568493808</v>
      </c>
      <c r="H3469" t="n">
        <v>0.0105868102765258</v>
      </c>
      <c r="I3469" t="n">
        <v>0.4643908433424862</v>
      </c>
      <c r="J3469" t="n">
        <v>0.1042344485643454</v>
      </c>
      <c r="K3469" t="n">
        <v>0.5630625058236289</v>
      </c>
      <c r="L3469" t="b">
        <v>0</v>
      </c>
      <c r="M3469" t="b">
        <v>0</v>
      </c>
      <c r="N3469" t="inlineStr">
        <is>
          <t>alt</t>
        </is>
      </c>
      <c r="O3469" t="n">
        <v>-55</v>
      </c>
      <c r="P3469" t="n">
        <v>0.003902</v>
      </c>
      <c r="Q3469" t="n">
        <v>-55</v>
      </c>
      <c r="R3469" t="n">
        <v>0.03632</v>
      </c>
      <c r="S3469">
        <f>IMAGE("https://mitra.stanford.edu/kundaje/oak/projects/neuro-variants/variant_position/credible/roussos_2024/variant_figures/roussos_2024.adolescence.GLU/rs2446429_count_position.png",4,220,900)</f>
        <v/>
      </c>
      <c r="T3469">
        <f>IMAGE("https://mitra.stanford.edu/kundaje/oak/projects/neuro-variants/variant_position/credible/roussos_2024/variant_figures/roussos_2024.adolescence.GLU/rs2446429_profile_position.png",4,220,900)</f>
        <v/>
      </c>
    </row>
    <row r="3470">
      <c r="A3470" t="inlineStr">
        <is>
          <t>chr5</t>
        </is>
      </c>
      <c r="B3470" t="n">
        <v>153336750</v>
      </c>
      <c r="C3470" t="inlineStr">
        <is>
          <t>T</t>
        </is>
      </c>
      <c r="D3470" t="inlineStr">
        <is>
          <t>A</t>
        </is>
      </c>
      <c r="E3470" t="inlineStr">
        <is>
          <t>rs2560247</t>
        </is>
      </c>
      <c r="F3470" t="n">
        <v>-0.00560911056</v>
      </c>
      <c r="G3470" t="n">
        <v>0.7124603947170093</v>
      </c>
      <c r="H3470" t="n">
        <v>0.0096437775914304</v>
      </c>
      <c r="I3470" t="n">
        <v>0.5812240119480732</v>
      </c>
      <c r="J3470" t="n">
        <v>0.0940394796064898</v>
      </c>
      <c r="K3470" t="n">
        <v>0.5835671568924227</v>
      </c>
      <c r="L3470" t="b">
        <v>0</v>
      </c>
      <c r="M3470" t="b">
        <v>0</v>
      </c>
      <c r="N3470" t="inlineStr">
        <is>
          <t>ref</t>
        </is>
      </c>
      <c r="O3470" t="n">
        <v>-100</v>
      </c>
      <c r="P3470" t="n">
        <v>0.00809</v>
      </c>
      <c r="Q3470" t="n">
        <v>40</v>
      </c>
      <c r="R3470" t="n">
        <v>0.0442</v>
      </c>
      <c r="S3470">
        <f>IMAGE("https://mitra.stanford.edu/kundaje/oak/projects/neuro-variants/variant_position/credible/roussos_2024/variant_figures/roussos_2024.adolescence.GLU/rs2560247_count_position.png",4,220,900)</f>
        <v/>
      </c>
      <c r="T3470">
        <f>IMAGE("https://mitra.stanford.edu/kundaje/oak/projects/neuro-variants/variant_position/credible/roussos_2024/variant_figures/roussos_2024.adolescence.GLU/rs2560247_profile_position.png",4,220,900)</f>
        <v/>
      </c>
    </row>
    <row r="3471">
      <c r="A3471" t="inlineStr">
        <is>
          <t>chr5</t>
        </is>
      </c>
      <c r="B3471" t="n">
        <v>153337784</v>
      </c>
      <c r="C3471" t="inlineStr">
        <is>
          <t>T</t>
        </is>
      </c>
      <c r="D3471" t="inlineStr">
        <is>
          <t>C</t>
        </is>
      </c>
      <c r="E3471" t="inlineStr">
        <is>
          <t>rs170027</t>
        </is>
      </c>
      <c r="F3471" t="n">
        <v>-0.0436744966</v>
      </c>
      <c r="G3471" t="n">
        <v>0.1020733294666971</v>
      </c>
      <c r="H3471" t="n">
        <v>0.024256484922469</v>
      </c>
      <c r="I3471" t="n">
        <v>0.0346578920575239</v>
      </c>
      <c r="J3471" t="n">
        <v>0.0225146637517771</v>
      </c>
      <c r="K3471" t="n">
        <v>0.8036077579782863</v>
      </c>
      <c r="L3471" t="b">
        <v>0</v>
      </c>
      <c r="M3471" t="b">
        <v>0</v>
      </c>
      <c r="N3471" t="inlineStr">
        <is>
          <t>ref</t>
        </is>
      </c>
      <c r="O3471" t="n">
        <v>-5</v>
      </c>
      <c r="P3471" t="n">
        <v>0.0005035</v>
      </c>
      <c r="Q3471" t="n">
        <v>-55</v>
      </c>
      <c r="R3471" t="n">
        <v>0.03674</v>
      </c>
      <c r="S3471">
        <f>IMAGE("https://mitra.stanford.edu/kundaje/oak/projects/neuro-variants/variant_position/credible/roussos_2024/variant_figures/roussos_2024.adolescence.GLU/rs170027_count_position.png",4,220,900)</f>
        <v/>
      </c>
      <c r="T3471">
        <f>IMAGE("https://mitra.stanford.edu/kundaje/oak/projects/neuro-variants/variant_position/credible/roussos_2024/variant_figures/roussos_2024.adolescence.GLU/rs170027_profile_position.png",4,220,900)</f>
        <v/>
      </c>
    </row>
    <row r="3472">
      <c r="A3472" t="inlineStr">
        <is>
          <t>chr5</t>
        </is>
      </c>
      <c r="B3472" t="n">
        <v>153338784</v>
      </c>
      <c r="C3472" t="inlineStr">
        <is>
          <t>A</t>
        </is>
      </c>
      <c r="D3472" t="inlineStr">
        <is>
          <t>G</t>
        </is>
      </c>
      <c r="E3472" t="inlineStr">
        <is>
          <t>rs304859</t>
        </is>
      </c>
      <c r="F3472" t="n">
        <v>-0.376764294</v>
      </c>
      <c r="G3472" t="n">
        <v>0.0001069454748751</v>
      </c>
      <c r="H3472" t="n">
        <v>0.1499013865099749</v>
      </c>
      <c r="I3472" t="n">
        <v>4.800203243827511e-05</v>
      </c>
      <c r="J3472" t="n">
        <v>0.280253766851705</v>
      </c>
      <c r="K3472" t="n">
        <v>0.2889659589144317</v>
      </c>
      <c r="L3472" t="b">
        <v>1</v>
      </c>
      <c r="M3472" t="b">
        <v>1</v>
      </c>
      <c r="N3472" t="inlineStr">
        <is>
          <t>ref</t>
        </is>
      </c>
      <c r="O3472" t="n">
        <v>100</v>
      </c>
      <c r="P3472" t="n">
        <v>0.00531</v>
      </c>
      <c r="Q3472" t="n">
        <v>100</v>
      </c>
      <c r="R3472" t="n">
        <v>0.10815</v>
      </c>
      <c r="S3472">
        <f>IMAGE("https://mitra.stanford.edu/kundaje/oak/projects/neuro-variants/variant_position/credible/roussos_2024/variant_figures/roussos_2024.adolescence.GLU/rs304859_count_position.png",4,220,900)</f>
        <v/>
      </c>
      <c r="T3472">
        <f>IMAGE("https://mitra.stanford.edu/kundaje/oak/projects/neuro-variants/variant_position/credible/roussos_2024/variant_figures/roussos_2024.adolescence.GLU/rs304859_profile_position.png",4,220,900)</f>
        <v/>
      </c>
    </row>
    <row r="3473">
      <c r="A3473" t="inlineStr">
        <is>
          <t>chr5</t>
        </is>
      </c>
      <c r="B3473" t="n">
        <v>153340362</v>
      </c>
      <c r="C3473" t="inlineStr">
        <is>
          <t>C</t>
        </is>
      </c>
      <c r="D3473" t="inlineStr">
        <is>
          <t>T</t>
        </is>
      </c>
      <c r="E3473" t="inlineStr">
        <is>
          <t>rs35407853</t>
        </is>
      </c>
      <c r="F3473" t="n">
        <v>-0.0570418206</v>
      </c>
      <c r="G3473" t="n">
        <v>0.0496923659902363</v>
      </c>
      <c r="H3473" t="n">
        <v>0.0113674208610145</v>
      </c>
      <c r="I3473" t="n">
        <v>0.3793934820076637</v>
      </c>
      <c r="J3473" t="n">
        <v>0.1236370391009566</v>
      </c>
      <c r="K3473" t="n">
        <v>0.5154093762823392</v>
      </c>
      <c r="L3473" t="b">
        <v>0</v>
      </c>
      <c r="M3473" t="b">
        <v>0</v>
      </c>
      <c r="N3473" t="inlineStr">
        <is>
          <t>ref</t>
        </is>
      </c>
      <c r="O3473" t="n">
        <v>-100</v>
      </c>
      <c r="P3473" t="n">
        <v>0.002075</v>
      </c>
      <c r="Q3473" t="n">
        <v>55</v>
      </c>
      <c r="R3473" t="n">
        <v>0.04126</v>
      </c>
      <c r="S3473">
        <f>IMAGE("https://mitra.stanford.edu/kundaje/oak/projects/neuro-variants/variant_position/credible/roussos_2024/variant_figures/roussos_2024.adolescence.GLU/rs35407853_count_position.png",4,220,900)</f>
        <v/>
      </c>
      <c r="T3473">
        <f>IMAGE("https://mitra.stanford.edu/kundaje/oak/projects/neuro-variants/variant_position/credible/roussos_2024/variant_figures/roussos_2024.adolescence.GLU/rs35407853_profile_position.png",4,220,900)</f>
        <v/>
      </c>
    </row>
    <row r="3474">
      <c r="A3474" t="inlineStr">
        <is>
          <t>chr5</t>
        </is>
      </c>
      <c r="B3474" t="n">
        <v>153340428</v>
      </c>
      <c r="C3474" t="inlineStr">
        <is>
          <t>T</t>
        </is>
      </c>
      <c r="D3474" t="inlineStr">
        <is>
          <t>C</t>
        </is>
      </c>
      <c r="E3474" t="inlineStr">
        <is>
          <t>rs304863</t>
        </is>
      </c>
      <c r="F3474" t="n">
        <v>0.0510419992</v>
      </c>
      <c r="G3474" t="n">
        <v>0.0572774799728673</v>
      </c>
      <c r="H3474" t="n">
        <v>0.0094792472668588</v>
      </c>
      <c r="I3474" t="n">
        <v>0.5892769097692211</v>
      </c>
      <c r="J3474" t="n">
        <v>0.1436126054682755</v>
      </c>
      <c r="K3474" t="n">
        <v>0.4796076955644578</v>
      </c>
      <c r="L3474" t="b">
        <v>0</v>
      </c>
      <c r="M3474" t="b">
        <v>0</v>
      </c>
      <c r="N3474" t="inlineStr">
        <is>
          <t>alt</t>
        </is>
      </c>
      <c r="O3474" t="n">
        <v>-45</v>
      </c>
      <c r="P3474" t="n">
        <v>0.008803999999999999</v>
      </c>
      <c r="Q3474" t="n">
        <v>-10</v>
      </c>
      <c r="R3474" t="n">
        <v>0.007202</v>
      </c>
      <c r="S3474">
        <f>IMAGE("https://mitra.stanford.edu/kundaje/oak/projects/neuro-variants/variant_position/credible/roussos_2024/variant_figures/roussos_2024.adolescence.GLU/rs304863_count_position.png",4,220,900)</f>
        <v/>
      </c>
      <c r="T3474">
        <f>IMAGE("https://mitra.stanford.edu/kundaje/oak/projects/neuro-variants/variant_position/credible/roussos_2024/variant_figures/roussos_2024.adolescence.GLU/rs304863_profile_position.png",4,220,900)</f>
        <v/>
      </c>
    </row>
    <row r="3475">
      <c r="A3475" t="inlineStr">
        <is>
          <t>chr5</t>
        </is>
      </c>
      <c r="B3475" t="n">
        <v>153341302</v>
      </c>
      <c r="C3475" t="inlineStr">
        <is>
          <t>T</t>
        </is>
      </c>
      <c r="D3475" t="inlineStr">
        <is>
          <t>C</t>
        </is>
      </c>
      <c r="E3475" t="inlineStr">
        <is>
          <t>rs304864</t>
        </is>
      </c>
      <c r="F3475" t="n">
        <v>0.00245699494</v>
      </c>
      <c r="G3475" t="n">
        <v>0.6875917281932099</v>
      </c>
      <c r="H3475" t="n">
        <v>0.0139990125053712</v>
      </c>
      <c r="I3475" t="n">
        <v>0.2041919623488485</v>
      </c>
      <c r="J3475" t="n">
        <v>0.0051139164541226</v>
      </c>
      <c r="K3475" t="n">
        <v>0.9166536600769184</v>
      </c>
      <c r="L3475" t="b">
        <v>0</v>
      </c>
      <c r="M3475" t="b">
        <v>0</v>
      </c>
      <c r="N3475" t="inlineStr">
        <is>
          <t>alt</t>
        </is>
      </c>
      <c r="O3475" t="n">
        <v>-100</v>
      </c>
      <c r="P3475" t="n">
        <v>0.04144</v>
      </c>
      <c r="Q3475" t="n">
        <v>-50</v>
      </c>
      <c r="R3475" t="n">
        <v>0.05585</v>
      </c>
      <c r="S3475">
        <f>IMAGE("https://mitra.stanford.edu/kundaje/oak/projects/neuro-variants/variant_position/credible/roussos_2024/variant_figures/roussos_2024.adolescence.GLU/rs304864_count_position.png",4,220,900)</f>
        <v/>
      </c>
      <c r="T3475">
        <f>IMAGE("https://mitra.stanford.edu/kundaje/oak/projects/neuro-variants/variant_position/credible/roussos_2024/variant_figures/roussos_2024.adolescence.GLU/rs304864_profile_position.png",4,220,900)</f>
        <v/>
      </c>
    </row>
    <row r="3476">
      <c r="A3476" t="inlineStr">
        <is>
          <t>chr5</t>
        </is>
      </c>
      <c r="B3476" t="n">
        <v>153344984</v>
      </c>
      <c r="C3476" t="inlineStr">
        <is>
          <t>A</t>
        </is>
      </c>
      <c r="D3476" t="inlineStr">
        <is>
          <t>G</t>
        </is>
      </c>
      <c r="E3476" t="inlineStr">
        <is>
          <t>rs159759</t>
        </is>
      </c>
      <c r="F3476" t="n">
        <v>0.0311550322</v>
      </c>
      <c r="G3476" t="n">
        <v>0.1602497759977811</v>
      </c>
      <c r="H3476" t="n">
        <v>0.0175225658348375</v>
      </c>
      <c r="I3476" t="n">
        <v>0.09557747139257081</v>
      </c>
      <c r="J3476" t="n">
        <v>0.0574719048945852</v>
      </c>
      <c r="K3476" t="n">
        <v>0.6825201518699751</v>
      </c>
      <c r="L3476" t="b">
        <v>0</v>
      </c>
      <c r="M3476" t="b">
        <v>0</v>
      </c>
      <c r="N3476" t="inlineStr">
        <is>
          <t>alt</t>
        </is>
      </c>
      <c r="O3476" t="n">
        <v>70</v>
      </c>
      <c r="P3476" t="n">
        <v>0.000515</v>
      </c>
      <c r="Q3476" t="n">
        <v>-55</v>
      </c>
      <c r="R3476" t="n">
        <v>0.03047</v>
      </c>
      <c r="S3476">
        <f>IMAGE("https://mitra.stanford.edu/kundaje/oak/projects/neuro-variants/variant_position/credible/roussos_2024/variant_figures/roussos_2024.adolescence.GLU/rs159759_count_position.png",4,220,900)</f>
        <v/>
      </c>
      <c r="T3476">
        <f>IMAGE("https://mitra.stanford.edu/kundaje/oak/projects/neuro-variants/variant_position/credible/roussos_2024/variant_figures/roussos_2024.adolescence.GLU/rs159759_profile_position.png",4,220,900)</f>
        <v/>
      </c>
    </row>
    <row r="3477">
      <c r="A3477" t="inlineStr">
        <is>
          <t>chr5</t>
        </is>
      </c>
      <c r="B3477" t="n">
        <v>153347798</v>
      </c>
      <c r="C3477" t="inlineStr">
        <is>
          <t>G</t>
        </is>
      </c>
      <c r="D3477" t="inlineStr">
        <is>
          <t>C</t>
        </is>
      </c>
      <c r="E3477" t="inlineStr">
        <is>
          <t>rs160066</t>
        </is>
      </c>
      <c r="F3477" t="n">
        <v>0.0115523024</v>
      </c>
      <c r="G3477" t="n">
        <v>0.365567211458039</v>
      </c>
      <c r="H3477" t="n">
        <v>0.0101944008237958</v>
      </c>
      <c r="I3477" t="n">
        <v>0.5072874267113118</v>
      </c>
      <c r="J3477" t="n">
        <v>0.0668567060319637</v>
      </c>
      <c r="K3477" t="n">
        <v>0.6486375920149862</v>
      </c>
      <c r="L3477" t="b">
        <v>0</v>
      </c>
      <c r="M3477" t="b">
        <v>0</v>
      </c>
      <c r="N3477" t="inlineStr">
        <is>
          <t>alt</t>
        </is>
      </c>
      <c r="O3477" t="n">
        <v>100</v>
      </c>
      <c r="P3477" t="n">
        <v>0.007668</v>
      </c>
      <c r="Q3477" t="n">
        <v>-10</v>
      </c>
      <c r="R3477" t="n">
        <v>0.0155</v>
      </c>
      <c r="S3477">
        <f>IMAGE("https://mitra.stanford.edu/kundaje/oak/projects/neuro-variants/variant_position/credible/roussos_2024/variant_figures/roussos_2024.adolescence.GLU/rs160066_count_position.png",4,220,900)</f>
        <v/>
      </c>
      <c r="T3477">
        <f>IMAGE("https://mitra.stanford.edu/kundaje/oak/projects/neuro-variants/variant_position/credible/roussos_2024/variant_figures/roussos_2024.adolescence.GLU/rs160066_profile_position.png",4,220,900)</f>
        <v/>
      </c>
    </row>
    <row r="3478">
      <c r="A3478" t="inlineStr">
        <is>
          <t>chr5</t>
        </is>
      </c>
      <c r="B3478" t="n">
        <v>153347834</v>
      </c>
      <c r="C3478" t="inlineStr">
        <is>
          <t>G</t>
        </is>
      </c>
      <c r="D3478" t="inlineStr">
        <is>
          <t>C</t>
        </is>
      </c>
      <c r="E3478" t="inlineStr">
        <is>
          <t>rs150618</t>
        </is>
      </c>
      <c r="F3478" t="n">
        <v>0.01188137852</v>
      </c>
      <c r="G3478" t="n">
        <v>0.4787321599121775</v>
      </c>
      <c r="H3478" t="n">
        <v>0.0112949841026932</v>
      </c>
      <c r="I3478" t="n">
        <v>0.4126649856369305</v>
      </c>
      <c r="J3478" t="n">
        <v>0.0658807895921297</v>
      </c>
      <c r="K3478" t="n">
        <v>0.6507482895172135</v>
      </c>
      <c r="L3478" t="b">
        <v>0</v>
      </c>
      <c r="M3478" t="b">
        <v>0</v>
      </c>
      <c r="N3478" t="inlineStr">
        <is>
          <t>alt</t>
        </is>
      </c>
      <c r="O3478" t="n">
        <v>75</v>
      </c>
      <c r="P3478" t="n">
        <v>0.00911</v>
      </c>
      <c r="Q3478" t="n">
        <v>-45</v>
      </c>
      <c r="R3478" t="n">
        <v>0.01666</v>
      </c>
      <c r="S3478">
        <f>IMAGE("https://mitra.stanford.edu/kundaje/oak/projects/neuro-variants/variant_position/credible/roussos_2024/variant_figures/roussos_2024.adolescence.GLU/rs150618_count_position.png",4,220,900)</f>
        <v/>
      </c>
      <c r="T3478">
        <f>IMAGE("https://mitra.stanford.edu/kundaje/oak/projects/neuro-variants/variant_position/credible/roussos_2024/variant_figures/roussos_2024.adolescence.GLU/rs150618_profile_position.png",4,220,900)</f>
        <v/>
      </c>
    </row>
    <row r="3479">
      <c r="A3479" t="inlineStr">
        <is>
          <t>chr5</t>
        </is>
      </c>
      <c r="B3479" t="n">
        <v>153347885</v>
      </c>
      <c r="C3479" t="inlineStr">
        <is>
          <t>G</t>
        </is>
      </c>
      <c r="D3479" t="inlineStr">
        <is>
          <t>A</t>
        </is>
      </c>
      <c r="E3479" t="inlineStr">
        <is>
          <t>rs149095</t>
        </is>
      </c>
      <c r="F3479" t="n">
        <v>-0.010655095132</v>
      </c>
      <c r="G3479" t="n">
        <v>0.5143442322417286</v>
      </c>
      <c r="H3479" t="n">
        <v>0.0149615422829379</v>
      </c>
      <c r="I3479" t="n">
        <v>0.1689662813225116</v>
      </c>
      <c r="J3479" t="n">
        <v>0.0633602674839787</v>
      </c>
      <c r="K3479" t="n">
        <v>0.658403174955312</v>
      </c>
      <c r="L3479" t="b">
        <v>0</v>
      </c>
      <c r="M3479" t="b">
        <v>0</v>
      </c>
      <c r="N3479" t="inlineStr">
        <is>
          <t>ref</t>
        </is>
      </c>
      <c r="O3479" t="n">
        <v>20</v>
      </c>
      <c r="P3479" t="n">
        <v>0.000923</v>
      </c>
      <c r="Q3479" t="n">
        <v>-95</v>
      </c>
      <c r="R3479" t="n">
        <v>0.057</v>
      </c>
      <c r="S3479">
        <f>IMAGE("https://mitra.stanford.edu/kundaje/oak/projects/neuro-variants/variant_position/credible/roussos_2024/variant_figures/roussos_2024.adolescence.GLU/rs149095_count_position.png",4,220,900)</f>
        <v/>
      </c>
      <c r="T3479">
        <f>IMAGE("https://mitra.stanford.edu/kundaje/oak/projects/neuro-variants/variant_position/credible/roussos_2024/variant_figures/roussos_2024.adolescence.GLU/rs149095_profile_position.png",4,220,900)</f>
        <v/>
      </c>
    </row>
    <row r="3480">
      <c r="A3480" t="inlineStr">
        <is>
          <t>chr5</t>
        </is>
      </c>
      <c r="B3480" t="n">
        <v>153352846</v>
      </c>
      <c r="C3480" t="inlineStr">
        <is>
          <t>G</t>
        </is>
      </c>
      <c r="D3480" t="inlineStr">
        <is>
          <t>A</t>
        </is>
      </c>
      <c r="E3480" t="inlineStr">
        <is>
          <t>rs159972</t>
        </is>
      </c>
      <c r="F3480" t="n">
        <v>0.0217106669</v>
      </c>
      <c r="G3480" t="n">
        <v>0.2570659492147122</v>
      </c>
      <c r="H3480" t="n">
        <v>0.0194724314198973</v>
      </c>
      <c r="I3480" t="n">
        <v>0.06291502679806291</v>
      </c>
      <c r="J3480" t="n">
        <v>0.3809060448235705</v>
      </c>
      <c r="K3480" t="n">
        <v>0.1830166342207203</v>
      </c>
      <c r="L3480" t="b">
        <v>0</v>
      </c>
      <c r="M3480" t="b">
        <v>0</v>
      </c>
      <c r="N3480" t="inlineStr">
        <is>
          <t>alt</t>
        </is>
      </c>
      <c r="O3480" t="n">
        <v>-20</v>
      </c>
      <c r="P3480" t="n">
        <v>0.0005035</v>
      </c>
      <c r="Q3480" t="n">
        <v>-100</v>
      </c>
      <c r="R3480" t="n">
        <v>0.05347</v>
      </c>
      <c r="S3480">
        <f>IMAGE("https://mitra.stanford.edu/kundaje/oak/projects/neuro-variants/variant_position/credible/roussos_2024/variant_figures/roussos_2024.adolescence.GLU/rs159972_count_position.png",4,220,900)</f>
        <v/>
      </c>
      <c r="T3480">
        <f>IMAGE("https://mitra.stanford.edu/kundaje/oak/projects/neuro-variants/variant_position/credible/roussos_2024/variant_figures/roussos_2024.adolescence.GLU/rs159972_profile_position.png",4,220,900)</f>
        <v/>
      </c>
    </row>
    <row r="3481">
      <c r="A3481" t="inlineStr">
        <is>
          <t>chr5</t>
        </is>
      </c>
      <c r="B3481" t="n">
        <v>153353281</v>
      </c>
      <c r="C3481" t="inlineStr">
        <is>
          <t>A</t>
        </is>
      </c>
      <c r="D3481" t="inlineStr">
        <is>
          <t>C</t>
        </is>
      </c>
      <c r="E3481" t="inlineStr">
        <is>
          <t>rs159973</t>
        </is>
      </c>
      <c r="F3481" t="n">
        <v>0.0201019452</v>
      </c>
      <c r="G3481" t="n">
        <v>0.2749609722602065</v>
      </c>
      <c r="H3481" t="n">
        <v>0.008138645521955999</v>
      </c>
      <c r="I3481" t="n">
        <v>0.7368919170587103</v>
      </c>
      <c r="J3481" t="n">
        <v>0.2456351672846518</v>
      </c>
      <c r="K3481" t="n">
        <v>0.3359504372249274</v>
      </c>
      <c r="L3481" t="b">
        <v>0</v>
      </c>
      <c r="M3481" t="b">
        <v>0</v>
      </c>
      <c r="N3481" t="inlineStr">
        <is>
          <t>alt</t>
        </is>
      </c>
      <c r="O3481" t="n">
        <v>-100</v>
      </c>
      <c r="P3481" t="n">
        <v>0.01319</v>
      </c>
      <c r="Q3481" t="n">
        <v>-60</v>
      </c>
      <c r="R3481" t="n">
        <v>0.04407</v>
      </c>
      <c r="S3481">
        <f>IMAGE("https://mitra.stanford.edu/kundaje/oak/projects/neuro-variants/variant_position/credible/roussos_2024/variant_figures/roussos_2024.adolescence.GLU/rs159973_count_position.png",4,220,900)</f>
        <v/>
      </c>
      <c r="T3481">
        <f>IMAGE("https://mitra.stanford.edu/kundaje/oak/projects/neuro-variants/variant_position/credible/roussos_2024/variant_figures/roussos_2024.adolescence.GLU/rs159973_profile_position.png",4,220,900)</f>
        <v/>
      </c>
    </row>
    <row r="3482">
      <c r="A3482" t="inlineStr">
        <is>
          <t>chr5</t>
        </is>
      </c>
      <c r="B3482" t="n">
        <v>153368956</v>
      </c>
      <c r="C3482" t="inlineStr">
        <is>
          <t>C</t>
        </is>
      </c>
      <c r="D3482" t="inlineStr">
        <is>
          <t>T</t>
        </is>
      </c>
      <c r="E3482" t="inlineStr">
        <is>
          <t>rs304883</t>
        </is>
      </c>
      <c r="F3482" t="n">
        <v>0.0012023587099999</v>
      </c>
      <c r="G3482" t="n">
        <v>0.5650847892673684</v>
      </c>
      <c r="H3482" t="n">
        <v>0.0108088627082551</v>
      </c>
      <c r="I3482" t="n">
        <v>0.4480748445140214</v>
      </c>
      <c r="J3482" t="n">
        <v>0.0520279200691571</v>
      </c>
      <c r="K3482" t="n">
        <v>0.6910143980118729</v>
      </c>
      <c r="L3482" t="b">
        <v>0</v>
      </c>
      <c r="M3482" t="b">
        <v>0</v>
      </c>
      <c r="N3482" t="inlineStr">
        <is>
          <t>alt</t>
        </is>
      </c>
      <c r="O3482" t="n">
        <v>-40</v>
      </c>
      <c r="P3482" t="n">
        <v>0.0006104</v>
      </c>
      <c r="Q3482" t="n">
        <v>-100</v>
      </c>
      <c r="R3482" t="n">
        <v>0.07623000000000001</v>
      </c>
      <c r="S3482">
        <f>IMAGE("https://mitra.stanford.edu/kundaje/oak/projects/neuro-variants/variant_position/credible/roussos_2024/variant_figures/roussos_2024.adolescence.GLU/rs304883_count_position.png",4,220,900)</f>
        <v/>
      </c>
      <c r="T3482">
        <f>IMAGE("https://mitra.stanford.edu/kundaje/oak/projects/neuro-variants/variant_position/credible/roussos_2024/variant_figures/roussos_2024.adolescence.GLU/rs304883_profile_position.png",4,220,900)</f>
        <v/>
      </c>
    </row>
    <row r="3483">
      <c r="A3483" t="inlineStr">
        <is>
          <t>chr5</t>
        </is>
      </c>
      <c r="B3483" t="n">
        <v>153369539</v>
      </c>
      <c r="C3483" t="inlineStr">
        <is>
          <t>G</t>
        </is>
      </c>
      <c r="D3483" t="inlineStr">
        <is>
          <t>A</t>
        </is>
      </c>
      <c r="E3483" t="inlineStr">
        <is>
          <t>rs304884</t>
        </is>
      </c>
      <c r="F3483" t="n">
        <v>-0.0336484898</v>
      </c>
      <c r="G3483" t="n">
        <v>0.1574688484927894</v>
      </c>
      <c r="H3483" t="n">
        <v>0.008886730467093601</v>
      </c>
      <c r="I3483" t="n">
        <v>0.6874269363288048</v>
      </c>
      <c r="J3483" t="n">
        <v>0.0522936894070914</v>
      </c>
      <c r="K3483" t="n">
        <v>0.6928887381560472</v>
      </c>
      <c r="L3483" t="b">
        <v>0</v>
      </c>
      <c r="M3483" t="b">
        <v>0</v>
      </c>
      <c r="N3483" t="inlineStr">
        <is>
          <t>ref</t>
        </is>
      </c>
      <c r="O3483" t="n">
        <v>-25</v>
      </c>
      <c r="P3483" t="n">
        <v>0.00949</v>
      </c>
      <c r="Q3483" t="n">
        <v>45</v>
      </c>
      <c r="R3483" t="n">
        <v>0.008789999999999999</v>
      </c>
      <c r="S3483">
        <f>IMAGE("https://mitra.stanford.edu/kundaje/oak/projects/neuro-variants/variant_position/credible/roussos_2024/variant_figures/roussos_2024.adolescence.GLU/rs304884_count_position.png",4,220,900)</f>
        <v/>
      </c>
      <c r="T3483">
        <f>IMAGE("https://mitra.stanford.edu/kundaje/oak/projects/neuro-variants/variant_position/credible/roussos_2024/variant_figures/roussos_2024.adolescence.GLU/rs304884_profile_position.png",4,220,900)</f>
        <v/>
      </c>
    </row>
    <row r="3484">
      <c r="A3484" t="inlineStr">
        <is>
          <t>chr5</t>
        </is>
      </c>
      <c r="B3484" t="n">
        <v>153378718</v>
      </c>
      <c r="C3484" t="inlineStr">
        <is>
          <t>T</t>
        </is>
      </c>
      <c r="D3484" t="inlineStr">
        <is>
          <t>C</t>
        </is>
      </c>
      <c r="E3484" t="inlineStr">
        <is>
          <t>rs304853</t>
        </is>
      </c>
      <c r="F3484" t="n">
        <v>0.0497067128</v>
      </c>
      <c r="G3484" t="n">
        <v>0.0566454772175058</v>
      </c>
      <c r="H3484" t="n">
        <v>0.008064066381311699</v>
      </c>
      <c r="I3484" t="n">
        <v>0.7700258984369505</v>
      </c>
      <c r="J3484" t="n">
        <v>0.0550871251902179</v>
      </c>
      <c r="K3484" t="n">
        <v>0.6837235875644038</v>
      </c>
      <c r="L3484" t="b">
        <v>0</v>
      </c>
      <c r="M3484" t="b">
        <v>0</v>
      </c>
      <c r="N3484" t="inlineStr">
        <is>
          <t>alt</t>
        </is>
      </c>
      <c r="O3484" t="n">
        <v>-5</v>
      </c>
      <c r="P3484" t="n">
        <v>0.0002594</v>
      </c>
      <c r="Q3484" t="n">
        <v>-90</v>
      </c>
      <c r="R3484" t="n">
        <v>0.06018</v>
      </c>
      <c r="S3484">
        <f>IMAGE("https://mitra.stanford.edu/kundaje/oak/projects/neuro-variants/variant_position/credible/roussos_2024/variant_figures/roussos_2024.adolescence.GLU/rs304853_count_position.png",4,220,900)</f>
        <v/>
      </c>
      <c r="T3484">
        <f>IMAGE("https://mitra.stanford.edu/kundaje/oak/projects/neuro-variants/variant_position/credible/roussos_2024/variant_figures/roussos_2024.adolescence.GLU/rs304853_profile_position.png",4,220,900)</f>
        <v/>
      </c>
    </row>
    <row r="3485">
      <c r="A3485" t="inlineStr">
        <is>
          <t>chr5</t>
        </is>
      </c>
      <c r="B3485" t="n">
        <v>153379453</v>
      </c>
      <c r="C3485" t="inlineStr">
        <is>
          <t>G</t>
        </is>
      </c>
      <c r="D3485" t="inlineStr">
        <is>
          <t>A</t>
        </is>
      </c>
      <c r="E3485" t="inlineStr">
        <is>
          <t>rs304855</t>
        </is>
      </c>
      <c r="F3485" t="n">
        <v>-0.1194130195999999</v>
      </c>
      <c r="G3485" t="n">
        <v>0.004978182320276</v>
      </c>
      <c r="H3485" t="n">
        <v>0.0209867837946337</v>
      </c>
      <c r="I3485" t="n">
        <v>0.058577958854811</v>
      </c>
      <c r="J3485" t="n">
        <v>0.1170256696029891</v>
      </c>
      <c r="K3485" t="n">
        <v>0.5361912444388621</v>
      </c>
      <c r="L3485" t="b">
        <v>1</v>
      </c>
      <c r="M3485" t="b">
        <v>1</v>
      </c>
      <c r="N3485" t="inlineStr">
        <is>
          <t>ref</t>
        </is>
      </c>
      <c r="O3485" t="n">
        <v>-75</v>
      </c>
      <c r="P3485" t="n">
        <v>0.002846</v>
      </c>
      <c r="Q3485" t="n">
        <v>10</v>
      </c>
      <c r="R3485" t="n">
        <v>0.003296</v>
      </c>
      <c r="S3485">
        <f>IMAGE("https://mitra.stanford.edu/kundaje/oak/projects/neuro-variants/variant_position/credible/roussos_2024/variant_figures/roussos_2024.adolescence.GLU/rs304855_count_position.png",4,220,900)</f>
        <v/>
      </c>
      <c r="T3485">
        <f>IMAGE("https://mitra.stanford.edu/kundaje/oak/projects/neuro-variants/variant_position/credible/roussos_2024/variant_figures/roussos_2024.adolescence.GLU/rs304855_profile_position.png",4,220,900)</f>
        <v/>
      </c>
    </row>
    <row r="3486">
      <c r="A3486" t="inlineStr">
        <is>
          <t>chr5</t>
        </is>
      </c>
      <c r="B3486" t="n">
        <v>153384330</v>
      </c>
      <c r="C3486" t="inlineStr">
        <is>
          <t>C</t>
        </is>
      </c>
      <c r="D3486" t="inlineStr">
        <is>
          <t>A</t>
        </is>
      </c>
      <c r="E3486" t="inlineStr">
        <is>
          <t>rs160161</t>
        </is>
      </c>
      <c r="F3486" t="n">
        <v>-0.01001100898</v>
      </c>
      <c r="G3486" t="n">
        <v>0.4898268907862382</v>
      </c>
      <c r="H3486" t="n">
        <v>0.01659723799301</v>
      </c>
      <c r="I3486" t="n">
        <v>0.110931830271133</v>
      </c>
      <c r="J3486" t="n">
        <v>0.1318144472783647</v>
      </c>
      <c r="K3486" t="n">
        <v>0.5113808481095993</v>
      </c>
      <c r="L3486" t="b">
        <v>0</v>
      </c>
      <c r="M3486" t="b">
        <v>0</v>
      </c>
      <c r="N3486" t="inlineStr">
        <is>
          <t>ref</t>
        </is>
      </c>
      <c r="O3486" t="n">
        <v>95</v>
      </c>
      <c r="P3486" t="n">
        <v>0.00753</v>
      </c>
      <c r="Q3486" t="n">
        <v>-25</v>
      </c>
      <c r="R3486" t="n">
        <v>0.0805</v>
      </c>
      <c r="S3486">
        <f>IMAGE("https://mitra.stanford.edu/kundaje/oak/projects/neuro-variants/variant_position/credible/roussos_2024/variant_figures/roussos_2024.adolescence.GLU/rs160161_count_position.png",4,220,900)</f>
        <v/>
      </c>
      <c r="T3486">
        <f>IMAGE("https://mitra.stanford.edu/kundaje/oak/projects/neuro-variants/variant_position/credible/roussos_2024/variant_figures/roussos_2024.adolescence.GLU/rs160161_profile_position.png",4,220,900)</f>
        <v/>
      </c>
    </row>
    <row r="3487">
      <c r="A3487" t="inlineStr">
        <is>
          <t>chr5</t>
        </is>
      </c>
      <c r="B3487" t="n">
        <v>153426785</v>
      </c>
      <c r="C3487" t="inlineStr">
        <is>
          <t>T</t>
        </is>
      </c>
      <c r="D3487" t="inlineStr">
        <is>
          <t>C</t>
        </is>
      </c>
      <c r="E3487" t="inlineStr">
        <is>
          <t>rs13172447</t>
        </is>
      </c>
      <c r="F3487" t="n">
        <v>0.006286781054</v>
      </c>
      <c r="G3487" t="n">
        <v>0.6103936419362761</v>
      </c>
      <c r="H3487" t="n">
        <v>0.0227084356384827</v>
      </c>
      <c r="I3487" t="n">
        <v>0.0335576823125126</v>
      </c>
      <c r="J3487" t="n">
        <v>0.1928999578484114</v>
      </c>
      <c r="K3487" t="n">
        <v>0.4119294820956378</v>
      </c>
      <c r="L3487" t="b">
        <v>0</v>
      </c>
      <c r="M3487" t="b">
        <v>0</v>
      </c>
      <c r="N3487" t="inlineStr">
        <is>
          <t>alt</t>
        </is>
      </c>
      <c r="O3487" t="n">
        <v>-20</v>
      </c>
      <c r="P3487" t="n">
        <v>0.004604</v>
      </c>
      <c r="Q3487" t="n">
        <v>-50</v>
      </c>
      <c r="R3487" t="n">
        <v>0.0646</v>
      </c>
      <c r="S3487">
        <f>IMAGE("https://mitra.stanford.edu/kundaje/oak/projects/neuro-variants/variant_position/credible/roussos_2024/variant_figures/roussos_2024.adolescence.GLU/rs13172447_count_position.png",4,220,900)</f>
        <v/>
      </c>
      <c r="T3487">
        <f>IMAGE("https://mitra.stanford.edu/kundaje/oak/projects/neuro-variants/variant_position/credible/roussos_2024/variant_figures/roussos_2024.adolescence.GLU/rs13172447_profile_position.png",4,220,900)</f>
        <v/>
      </c>
    </row>
    <row r="3488">
      <c r="A3488" t="inlineStr">
        <is>
          <t>chr5</t>
        </is>
      </c>
      <c r="B3488" t="n">
        <v>153436929</v>
      </c>
      <c r="C3488" t="inlineStr">
        <is>
          <t>C</t>
        </is>
      </c>
      <c r="D3488" t="inlineStr">
        <is>
          <t>T</t>
        </is>
      </c>
      <c r="E3488" t="inlineStr">
        <is>
          <t>rs4246043</t>
        </is>
      </c>
      <c r="F3488" t="n">
        <v>0.000831555806</v>
      </c>
      <c r="G3488" t="n">
        <v>0.7161818758390495</v>
      </c>
      <c r="H3488" t="n">
        <v>0.0105824923144075</v>
      </c>
      <c r="I3488" t="n">
        <v>0.454406723945791</v>
      </c>
      <c r="J3488" t="n">
        <v>0.2834572875809989</v>
      </c>
      <c r="K3488" t="n">
        <v>0.2920296991680876</v>
      </c>
      <c r="L3488" t="b">
        <v>0</v>
      </c>
      <c r="M3488" t="b">
        <v>0</v>
      </c>
      <c r="N3488" t="inlineStr">
        <is>
          <t>alt</t>
        </is>
      </c>
      <c r="O3488" t="n">
        <v>35</v>
      </c>
      <c r="P3488" t="n">
        <v>0.003357</v>
      </c>
      <c r="Q3488" t="n">
        <v>35</v>
      </c>
      <c r="R3488" t="n">
        <v>0.04712</v>
      </c>
      <c r="S3488">
        <f>IMAGE("https://mitra.stanford.edu/kundaje/oak/projects/neuro-variants/variant_position/credible/roussos_2024/variant_figures/roussos_2024.adolescence.GLU/rs4246043_count_position.png",4,220,900)</f>
        <v/>
      </c>
      <c r="T3488">
        <f>IMAGE("https://mitra.stanford.edu/kundaje/oak/projects/neuro-variants/variant_position/credible/roussos_2024/variant_figures/roussos_2024.adolescence.GLU/rs4246043_profile_position.png",4,220,900)</f>
        <v/>
      </c>
    </row>
    <row r="3489">
      <c r="A3489" t="inlineStr">
        <is>
          <t>chr5</t>
        </is>
      </c>
      <c r="B3489" t="n">
        <v>153492525</v>
      </c>
      <c r="C3489" t="inlineStr">
        <is>
          <t>C</t>
        </is>
      </c>
      <c r="D3489" t="inlineStr">
        <is>
          <t>T</t>
        </is>
      </c>
      <c r="E3489" t="inlineStr">
        <is>
          <t>rs3811983</t>
        </is>
      </c>
      <c r="F3489" t="n">
        <v>-0.00464892554</v>
      </c>
      <c r="G3489" t="n">
        <v>0.7503420393623611</v>
      </c>
      <c r="H3489" t="n">
        <v>0.0177088750451263</v>
      </c>
      <c r="I3489" t="n">
        <v>0.09291976728014591</v>
      </c>
      <c r="J3489" t="n">
        <v>0.2308478184766844</v>
      </c>
      <c r="K3489" t="n">
        <v>0.3569173532976705</v>
      </c>
      <c r="L3489" t="b">
        <v>0</v>
      </c>
      <c r="M3489" t="b">
        <v>0</v>
      </c>
      <c r="N3489" t="inlineStr">
        <is>
          <t>ref</t>
        </is>
      </c>
      <c r="O3489" t="n">
        <v>-100</v>
      </c>
      <c r="P3489" t="n">
        <v>0.005154</v>
      </c>
      <c r="Q3489" t="n">
        <v>-100</v>
      </c>
      <c r="R3489" t="n">
        <v>0.1625</v>
      </c>
      <c r="S3489">
        <f>IMAGE("https://mitra.stanford.edu/kundaje/oak/projects/neuro-variants/variant_position/credible/roussos_2024/variant_figures/roussos_2024.adolescence.GLU/rs3811983_count_position.png",4,220,900)</f>
        <v/>
      </c>
      <c r="T3489">
        <f>IMAGE("https://mitra.stanford.edu/kundaje/oak/projects/neuro-variants/variant_position/credible/roussos_2024/variant_figures/roussos_2024.adolescence.GLU/rs3811983_profile_position.png",4,220,900)</f>
        <v/>
      </c>
    </row>
    <row r="3490">
      <c r="A3490" t="inlineStr">
        <is>
          <t>chr5</t>
        </is>
      </c>
      <c r="B3490" t="n">
        <v>153986878</v>
      </c>
      <c r="C3490" t="inlineStr">
        <is>
          <t>C</t>
        </is>
      </c>
      <c r="D3490" t="inlineStr">
        <is>
          <t>T</t>
        </is>
      </c>
      <c r="E3490" t="inlineStr">
        <is>
          <t>rs1347798</t>
        </is>
      </c>
      <c r="F3490" t="n">
        <v>0.0317468488</v>
      </c>
      <c r="G3490" t="n">
        <v>0.1522387552515792</v>
      </c>
      <c r="H3490" t="n">
        <v>0.0119490063134849</v>
      </c>
      <c r="I3490" t="n">
        <v>0.3241204467398244</v>
      </c>
      <c r="J3490" t="n">
        <v>0.3138750169678004</v>
      </c>
      <c r="K3490" t="n">
        <v>0.2523822292096306</v>
      </c>
      <c r="L3490" t="b">
        <v>0</v>
      </c>
      <c r="M3490" t="b">
        <v>0</v>
      </c>
      <c r="N3490" t="inlineStr">
        <is>
          <t>alt</t>
        </is>
      </c>
      <c r="O3490" t="n">
        <v>-25</v>
      </c>
      <c r="P3490" t="n">
        <v>0.001406</v>
      </c>
      <c r="Q3490" t="n">
        <v>55</v>
      </c>
      <c r="R3490" t="n">
        <v>0.006348</v>
      </c>
      <c r="S3490">
        <f>IMAGE("https://mitra.stanford.edu/kundaje/oak/projects/neuro-variants/variant_position/credible/roussos_2024/variant_figures/roussos_2024.adolescence.GLU/rs1347798_count_position.png",4,220,900)</f>
        <v/>
      </c>
      <c r="T3490">
        <f>IMAGE("https://mitra.stanford.edu/kundaje/oak/projects/neuro-variants/variant_position/credible/roussos_2024/variant_figures/roussos_2024.adolescence.GLU/rs1347798_profile_position.png",4,220,900)</f>
        <v/>
      </c>
    </row>
    <row r="3491">
      <c r="A3491" t="inlineStr">
        <is>
          <t>chr5</t>
        </is>
      </c>
      <c r="B3491" t="n">
        <v>153987245</v>
      </c>
      <c r="C3491" t="inlineStr">
        <is>
          <t>G</t>
        </is>
      </c>
      <c r="D3491" t="inlineStr">
        <is>
          <t>A</t>
        </is>
      </c>
      <c r="E3491" t="inlineStr">
        <is>
          <t>rs425263</t>
        </is>
      </c>
      <c r="F3491" t="n">
        <v>-0.0322673546</v>
      </c>
      <c r="G3491" t="n">
        <v>0.1639593936595456</v>
      </c>
      <c r="H3491" t="n">
        <v>0.0076211191940461</v>
      </c>
      <c r="I3491" t="n">
        <v>0.8366805607399956</v>
      </c>
      <c r="J3491" t="n">
        <v>0.3948732237392031</v>
      </c>
      <c r="K3491" t="n">
        <v>0.1685708013492957</v>
      </c>
      <c r="L3491" t="b">
        <v>0</v>
      </c>
      <c r="M3491" t="b">
        <v>0</v>
      </c>
      <c r="N3491" t="inlineStr">
        <is>
          <t>ref</t>
        </is>
      </c>
      <c r="O3491" t="n">
        <v>100</v>
      </c>
      <c r="P3491" t="n">
        <v>0.01855</v>
      </c>
      <c r="Q3491" t="n">
        <v>100</v>
      </c>
      <c r="R3491" t="n">
        <v>0.1516</v>
      </c>
      <c r="S3491">
        <f>IMAGE("https://mitra.stanford.edu/kundaje/oak/projects/neuro-variants/variant_position/credible/roussos_2024/variant_figures/roussos_2024.adolescence.GLU/rs425263_count_position.png",4,220,900)</f>
        <v/>
      </c>
      <c r="T3491">
        <f>IMAGE("https://mitra.stanford.edu/kundaje/oak/projects/neuro-variants/variant_position/credible/roussos_2024/variant_figures/roussos_2024.adolescence.GLU/rs425263_profile_position.png",4,220,900)</f>
        <v/>
      </c>
    </row>
    <row r="3492">
      <c r="A3492" t="inlineStr">
        <is>
          <t>chr5</t>
        </is>
      </c>
      <c r="B3492" t="n">
        <v>154008356</v>
      </c>
      <c r="C3492" t="inlineStr">
        <is>
          <t>C</t>
        </is>
      </c>
      <c r="D3492" t="inlineStr">
        <is>
          <t>A</t>
        </is>
      </c>
      <c r="E3492" t="inlineStr">
        <is>
          <t>rs6580047</t>
        </is>
      </c>
      <c r="F3492" t="n">
        <v>-0.0149054618</v>
      </c>
      <c r="G3492" t="n">
        <v>0.3925365810278884</v>
      </c>
      <c r="H3492" t="n">
        <v>0.0151264755117734</v>
      </c>
      <c r="I3492" t="n">
        <v>0.1536496173714467</v>
      </c>
      <c r="J3492" t="n">
        <v>0.0104078702016846</v>
      </c>
      <c r="K3492" t="n">
        <v>0.8739884665199277</v>
      </c>
      <c r="L3492" t="b">
        <v>0</v>
      </c>
      <c r="M3492" t="b">
        <v>0</v>
      </c>
      <c r="N3492" t="inlineStr">
        <is>
          <t>ref</t>
        </is>
      </c>
      <c r="O3492" t="n">
        <v>90</v>
      </c>
      <c r="P3492" t="n">
        <v>0.01997</v>
      </c>
      <c r="Q3492" t="n">
        <v>-100</v>
      </c>
      <c r="R3492" t="n">
        <v>0.04688</v>
      </c>
      <c r="S3492">
        <f>IMAGE("https://mitra.stanford.edu/kundaje/oak/projects/neuro-variants/variant_position/credible/roussos_2024/variant_figures/roussos_2024.adolescence.GLU/rs6580047_count_position.png",4,220,900)</f>
        <v/>
      </c>
      <c r="T3492">
        <f>IMAGE("https://mitra.stanford.edu/kundaje/oak/projects/neuro-variants/variant_position/credible/roussos_2024/variant_figures/roussos_2024.adolescence.GLU/rs6580047_profile_position.png",4,220,900)</f>
        <v/>
      </c>
    </row>
    <row r="3493">
      <c r="A3493" t="inlineStr">
        <is>
          <t>chr5</t>
        </is>
      </c>
      <c r="B3493" t="n">
        <v>154020162</v>
      </c>
      <c r="C3493" t="inlineStr">
        <is>
          <t>C</t>
        </is>
      </c>
      <c r="D3493" t="inlineStr">
        <is>
          <t>T</t>
        </is>
      </c>
      <c r="E3493" t="inlineStr">
        <is>
          <t>rs552556</t>
        </is>
      </c>
      <c r="F3493" t="n">
        <v>-0.01345423132</v>
      </c>
      <c r="G3493" t="n">
        <v>0.4293627722772608</v>
      </c>
      <c r="H3493" t="n">
        <v>0.008040005805283299</v>
      </c>
      <c r="I3493" t="n">
        <v>0.791810099961764</v>
      </c>
      <c r="J3493" t="n">
        <v>0.0515921155096412</v>
      </c>
      <c r="K3493" t="n">
        <v>0.6942292709623147</v>
      </c>
      <c r="L3493" t="b">
        <v>0</v>
      </c>
      <c r="M3493" t="b">
        <v>0</v>
      </c>
      <c r="N3493" t="inlineStr">
        <is>
          <t>ref</t>
        </is>
      </c>
      <c r="O3493" t="n">
        <v>95</v>
      </c>
      <c r="P3493" t="n">
        <v>0.01433</v>
      </c>
      <c r="Q3493" t="n">
        <v>40</v>
      </c>
      <c r="R3493" t="n">
        <v>0.02747</v>
      </c>
      <c r="S3493">
        <f>IMAGE("https://mitra.stanford.edu/kundaje/oak/projects/neuro-variants/variant_position/credible/roussos_2024/variant_figures/roussos_2024.adolescence.GLU/rs552556_count_position.png",4,220,900)</f>
        <v/>
      </c>
      <c r="T3493">
        <f>IMAGE("https://mitra.stanford.edu/kundaje/oak/projects/neuro-variants/variant_position/credible/roussos_2024/variant_figures/roussos_2024.adolescence.GLU/rs552556_profile_position.png",4,220,900)</f>
        <v/>
      </c>
    </row>
    <row r="3494">
      <c r="A3494" t="inlineStr">
        <is>
          <t>chr5</t>
        </is>
      </c>
      <c r="B3494" t="n">
        <v>154020867</v>
      </c>
      <c r="C3494" t="inlineStr">
        <is>
          <t>C</t>
        </is>
      </c>
      <c r="D3494" t="inlineStr">
        <is>
          <t>A</t>
        </is>
      </c>
      <c r="E3494" t="inlineStr">
        <is>
          <t>rs2118660</t>
        </is>
      </c>
      <c r="F3494" t="n">
        <v>-0.0134243132</v>
      </c>
      <c r="G3494" t="n">
        <v>0.4332766755624059</v>
      </c>
      <c r="H3494" t="n">
        <v>0.0167067465305035</v>
      </c>
      <c r="I3494" t="n">
        <v>0.111985082263802</v>
      </c>
      <c r="J3494" t="n">
        <v>0.1023826364032549</v>
      </c>
      <c r="K3494" t="n">
        <v>0.573843876234553</v>
      </c>
      <c r="L3494" t="b">
        <v>0</v>
      </c>
      <c r="M3494" t="b">
        <v>0</v>
      </c>
      <c r="N3494" t="inlineStr">
        <is>
          <t>ref</t>
        </is>
      </c>
      <c r="O3494" t="n">
        <v>-65</v>
      </c>
      <c r="P3494" t="n">
        <v>0.001827</v>
      </c>
      <c r="Q3494" t="n">
        <v>90</v>
      </c>
      <c r="R3494" t="n">
        <v>0.08309999999999999</v>
      </c>
      <c r="S3494">
        <f>IMAGE("https://mitra.stanford.edu/kundaje/oak/projects/neuro-variants/variant_position/credible/roussos_2024/variant_figures/roussos_2024.adolescence.GLU/rs2118660_count_position.png",4,220,900)</f>
        <v/>
      </c>
      <c r="T3494">
        <f>IMAGE("https://mitra.stanford.edu/kundaje/oak/projects/neuro-variants/variant_position/credible/roussos_2024/variant_figures/roussos_2024.adolescence.GLU/rs2118660_profile_position.png",4,220,900)</f>
        <v/>
      </c>
    </row>
    <row r="3495">
      <c r="A3495" t="inlineStr">
        <is>
          <t>chr5</t>
        </is>
      </c>
      <c r="B3495" t="n">
        <v>154025854</v>
      </c>
      <c r="C3495" t="inlineStr">
        <is>
          <t>T</t>
        </is>
      </c>
      <c r="D3495" t="inlineStr">
        <is>
          <t>G</t>
        </is>
      </c>
      <c r="E3495" t="inlineStr">
        <is>
          <t>rs2560047</t>
        </is>
      </c>
      <c r="F3495" t="n">
        <v>-0.0035292462999999</v>
      </c>
      <c r="G3495" t="n">
        <v>0.7289657320088879</v>
      </c>
      <c r="H3495" t="n">
        <v>0.020933605718781</v>
      </c>
      <c r="I3495" t="n">
        <v>0.0461032911214403</v>
      </c>
      <c r="J3495" t="n">
        <v>0.0516392681341134</v>
      </c>
      <c r="K3495" t="n">
        <v>0.6923515452676252</v>
      </c>
      <c r="L3495" t="b">
        <v>0</v>
      </c>
      <c r="M3495" t="b">
        <v>0</v>
      </c>
      <c r="N3495" t="inlineStr">
        <is>
          <t>ref</t>
        </is>
      </c>
      <c r="O3495" t="n">
        <v>-40</v>
      </c>
      <c r="P3495" t="n">
        <v>0.01768</v>
      </c>
      <c r="Q3495" t="n">
        <v>40</v>
      </c>
      <c r="R3495" t="n">
        <v>0.005554</v>
      </c>
      <c r="S3495">
        <f>IMAGE("https://mitra.stanford.edu/kundaje/oak/projects/neuro-variants/variant_position/credible/roussos_2024/variant_figures/roussos_2024.adolescence.GLU/rs2560047_count_position.png",4,220,900)</f>
        <v/>
      </c>
      <c r="T3495">
        <f>IMAGE("https://mitra.stanford.edu/kundaje/oak/projects/neuro-variants/variant_position/credible/roussos_2024/variant_figures/roussos_2024.adolescence.GLU/rs2560047_profile_position.png",4,220,900)</f>
        <v/>
      </c>
    </row>
    <row r="3496">
      <c r="A3496" t="inlineStr">
        <is>
          <t>chr5</t>
        </is>
      </c>
      <c r="B3496" t="n">
        <v>154026830</v>
      </c>
      <c r="C3496" t="inlineStr">
        <is>
          <t>A</t>
        </is>
      </c>
      <c r="D3496" t="inlineStr">
        <is>
          <t>C</t>
        </is>
      </c>
      <c r="E3496" t="inlineStr">
        <is>
          <t>rs10038905</t>
        </is>
      </c>
      <c r="F3496" t="n">
        <v>0.03141621036</v>
      </c>
      <c r="G3496" t="n">
        <v>0.1620367365130664</v>
      </c>
      <c r="H3496" t="n">
        <v>0.0129217978699057</v>
      </c>
      <c r="I3496" t="n">
        <v>0.2553220659662626</v>
      </c>
      <c r="J3496" t="n">
        <v>0.1014167220352787</v>
      </c>
      <c r="K3496" t="n">
        <v>0.5702499975366954</v>
      </c>
      <c r="L3496" t="b">
        <v>0</v>
      </c>
      <c r="M3496" t="b">
        <v>0</v>
      </c>
      <c r="N3496" t="inlineStr">
        <is>
          <t>alt</t>
        </is>
      </c>
      <c r="O3496" t="n">
        <v>90</v>
      </c>
      <c r="P3496" t="n">
        <v>0.00932</v>
      </c>
      <c r="Q3496" t="n">
        <v>-75</v>
      </c>
      <c r="R3496" t="n">
        <v>0.035</v>
      </c>
      <c r="S3496">
        <f>IMAGE("https://mitra.stanford.edu/kundaje/oak/projects/neuro-variants/variant_position/credible/roussos_2024/variant_figures/roussos_2024.adolescence.GLU/rs10038905_count_position.png",4,220,900)</f>
        <v/>
      </c>
      <c r="T3496">
        <f>IMAGE("https://mitra.stanford.edu/kundaje/oak/projects/neuro-variants/variant_position/credible/roussos_2024/variant_figures/roussos_2024.adolescence.GLU/rs10038905_profile_position.png",4,220,900)</f>
        <v/>
      </c>
    </row>
    <row r="3497">
      <c r="A3497" t="inlineStr">
        <is>
          <t>chr5</t>
        </is>
      </c>
      <c r="B3497" t="n">
        <v>154030460</v>
      </c>
      <c r="C3497" t="inlineStr">
        <is>
          <t>G</t>
        </is>
      </c>
      <c r="D3497" t="inlineStr">
        <is>
          <t>A</t>
        </is>
      </c>
      <c r="E3497" t="inlineStr">
        <is>
          <t>rs2578375</t>
        </is>
      </c>
      <c r="F3497" t="n">
        <v>-0.0098229818</v>
      </c>
      <c r="G3497" t="n">
        <v>0.534769561830176</v>
      </c>
      <c r="H3497" t="n">
        <v>0.0068740085713593</v>
      </c>
      <c r="I3497" t="n">
        <v>0.9098063116905726</v>
      </c>
      <c r="J3497" t="n">
        <v>0.0988433318330225</v>
      </c>
      <c r="K3497" t="n">
        <v>0.5770554994149684</v>
      </c>
      <c r="L3497" t="b">
        <v>0</v>
      </c>
      <c r="M3497" t="b">
        <v>0</v>
      </c>
      <c r="N3497" t="inlineStr">
        <is>
          <t>ref</t>
        </is>
      </c>
      <c r="O3497" t="n">
        <v>-100</v>
      </c>
      <c r="P3497" t="n">
        <v>0.016</v>
      </c>
      <c r="Q3497" t="n">
        <v>100</v>
      </c>
      <c r="R3497" t="n">
        <v>0.2299</v>
      </c>
      <c r="S3497">
        <f>IMAGE("https://mitra.stanford.edu/kundaje/oak/projects/neuro-variants/variant_position/credible/roussos_2024/variant_figures/roussos_2024.adolescence.GLU/rs2578375_count_position.png",4,220,900)</f>
        <v/>
      </c>
      <c r="T3497">
        <f>IMAGE("https://mitra.stanford.edu/kundaje/oak/projects/neuro-variants/variant_position/credible/roussos_2024/variant_figures/roussos_2024.adolescence.GLU/rs2578375_profile_position.png",4,220,900)</f>
        <v/>
      </c>
    </row>
    <row r="3498">
      <c r="A3498" t="inlineStr">
        <is>
          <t>chr5</t>
        </is>
      </c>
      <c r="B3498" t="n">
        <v>154030660</v>
      </c>
      <c r="C3498" t="inlineStr">
        <is>
          <t>C</t>
        </is>
      </c>
      <c r="D3498" t="inlineStr">
        <is>
          <t>T</t>
        </is>
      </c>
      <c r="E3498" t="inlineStr">
        <is>
          <t>rs2578376</t>
        </is>
      </c>
      <c r="F3498" t="n">
        <v>-0.0750192308</v>
      </c>
      <c r="G3498" t="n">
        <v>0.0202296065984369</v>
      </c>
      <c r="H3498" t="n">
        <v>0.0150443974833181</v>
      </c>
      <c r="I3498" t="n">
        <v>0.1588211413207442</v>
      </c>
      <c r="J3498" t="n">
        <v>0.1431725143065349</v>
      </c>
      <c r="K3498" t="n">
        <v>0.495918310639353</v>
      </c>
      <c r="L3498" t="b">
        <v>1</v>
      </c>
      <c r="M3498" t="b">
        <v>0</v>
      </c>
      <c r="N3498" t="inlineStr">
        <is>
          <t>ref</t>
        </is>
      </c>
      <c r="O3498" t="n">
        <v>-85</v>
      </c>
      <c r="P3498" t="n">
        <v>0.002748</v>
      </c>
      <c r="Q3498" t="n">
        <v>75</v>
      </c>
      <c r="R3498" t="n">
        <v>0.05127</v>
      </c>
      <c r="S3498">
        <f>IMAGE("https://mitra.stanford.edu/kundaje/oak/projects/neuro-variants/variant_position/credible/roussos_2024/variant_figures/roussos_2024.adolescence.GLU/rs2578376_count_position.png",4,220,900)</f>
        <v/>
      </c>
      <c r="T3498">
        <f>IMAGE("https://mitra.stanford.edu/kundaje/oak/projects/neuro-variants/variant_position/credible/roussos_2024/variant_figures/roussos_2024.adolescence.GLU/rs2578376_profile_position.png",4,220,900)</f>
        <v/>
      </c>
    </row>
    <row r="3499">
      <c r="A3499" t="inlineStr">
        <is>
          <t>chr5</t>
        </is>
      </c>
      <c r="B3499" t="n">
        <v>154040248</v>
      </c>
      <c r="C3499" t="inlineStr">
        <is>
          <t>C</t>
        </is>
      </c>
      <c r="D3499" t="inlineStr">
        <is>
          <t>T</t>
        </is>
      </c>
      <c r="E3499" t="inlineStr">
        <is>
          <t>rs567749</t>
        </is>
      </c>
      <c r="F3499" t="n">
        <v>-0.000194551292</v>
      </c>
      <c r="G3499" t="n">
        <v>0.8510664040726145</v>
      </c>
      <c r="H3499" t="n">
        <v>0.0213253314965471</v>
      </c>
      <c r="I3499" t="n">
        <v>0.0454983026196668</v>
      </c>
      <c r="J3499" t="n">
        <v>0.0123554164791277</v>
      </c>
      <c r="K3499" t="n">
        <v>0.8675997917477396</v>
      </c>
      <c r="L3499" t="b">
        <v>0</v>
      </c>
      <c r="M3499" t="b">
        <v>0</v>
      </c>
      <c r="N3499" t="inlineStr">
        <is>
          <t>ref</t>
        </is>
      </c>
      <c r="O3499" t="n">
        <v>35</v>
      </c>
      <c r="P3499" t="n">
        <v>0.002983</v>
      </c>
      <c r="Q3499" t="n">
        <v>-100</v>
      </c>
      <c r="R3499" t="n">
        <v>0.05554</v>
      </c>
      <c r="S3499">
        <f>IMAGE("https://mitra.stanford.edu/kundaje/oak/projects/neuro-variants/variant_position/credible/roussos_2024/variant_figures/roussos_2024.adolescence.GLU/rs567749_count_position.png",4,220,900)</f>
        <v/>
      </c>
      <c r="T3499">
        <f>IMAGE("https://mitra.stanford.edu/kundaje/oak/projects/neuro-variants/variant_position/credible/roussos_2024/variant_figures/roussos_2024.adolescence.GLU/rs567749_profile_position.png",4,220,900)</f>
        <v/>
      </c>
    </row>
    <row r="3500">
      <c r="A3500" t="inlineStr">
        <is>
          <t>chr5</t>
        </is>
      </c>
      <c r="B3500" t="n">
        <v>154046393</v>
      </c>
      <c r="C3500" t="inlineStr">
        <is>
          <t>C</t>
        </is>
      </c>
      <c r="D3500" t="inlineStr">
        <is>
          <t>A</t>
        </is>
      </c>
      <c r="E3500" t="inlineStr">
        <is>
          <t>rs411245</t>
        </is>
      </c>
      <c r="F3500" t="n">
        <v>-0.0004267381799999</v>
      </c>
      <c r="G3500" t="n">
        <v>0.8667467995772702</v>
      </c>
      <c r="H3500" t="n">
        <v>0.0117992490212365</v>
      </c>
      <c r="I3500" t="n">
        <v>0.3557999808466148</v>
      </c>
      <c r="J3500" t="n">
        <v>0.2724264311893177</v>
      </c>
      <c r="K3500" t="n">
        <v>0.3039532700273372</v>
      </c>
      <c r="L3500" t="b">
        <v>0</v>
      </c>
      <c r="M3500" t="b">
        <v>0</v>
      </c>
      <c r="N3500" t="inlineStr">
        <is>
          <t>ref</t>
        </is>
      </c>
      <c r="O3500" t="n">
        <v>75</v>
      </c>
      <c r="P3500" t="n">
        <v>0.00116</v>
      </c>
      <c r="Q3500" t="n">
        <v>95</v>
      </c>
      <c r="R3500" t="n">
        <v>0.1142</v>
      </c>
      <c r="S3500">
        <f>IMAGE("https://mitra.stanford.edu/kundaje/oak/projects/neuro-variants/variant_position/credible/roussos_2024/variant_figures/roussos_2024.adolescence.GLU/rs411245_count_position.png",4,220,900)</f>
        <v/>
      </c>
      <c r="T3500">
        <f>IMAGE("https://mitra.stanford.edu/kundaje/oak/projects/neuro-variants/variant_position/credible/roussos_2024/variant_figures/roussos_2024.adolescence.GLU/rs411245_profile_position.png",4,220,900)</f>
        <v/>
      </c>
    </row>
    <row r="3501">
      <c r="A3501" t="inlineStr">
        <is>
          <t>chr5</t>
        </is>
      </c>
      <c r="B3501" t="n">
        <v>154071230</v>
      </c>
      <c r="C3501" t="inlineStr">
        <is>
          <t>C</t>
        </is>
      </c>
      <c r="D3501" t="inlineStr">
        <is>
          <t>T</t>
        </is>
      </c>
      <c r="E3501" t="inlineStr">
        <is>
          <t>rs1438590</t>
        </is>
      </c>
      <c r="F3501" t="n">
        <v>-0.01930078422</v>
      </c>
      <c r="G3501" t="n">
        <v>0.3150969182606394</v>
      </c>
      <c r="H3501" t="n">
        <v>0.016877024296123</v>
      </c>
      <c r="I3501" t="n">
        <v>0.1230261332249621</v>
      </c>
      <c r="J3501" t="n">
        <v>0.0416600581549034</v>
      </c>
      <c r="K3501" t="n">
        <v>0.7282380759449569</v>
      </c>
      <c r="L3501" t="b">
        <v>0</v>
      </c>
      <c r="M3501" t="b">
        <v>0</v>
      </c>
      <c r="N3501" t="inlineStr">
        <is>
          <t>ref</t>
        </is>
      </c>
      <c r="O3501" t="n">
        <v>-70</v>
      </c>
      <c r="P3501" t="n">
        <v>0.00293</v>
      </c>
      <c r="Q3501" t="n">
        <v>100</v>
      </c>
      <c r="R3501" t="n">
        <v>0.06223</v>
      </c>
      <c r="S3501">
        <f>IMAGE("https://mitra.stanford.edu/kundaje/oak/projects/neuro-variants/variant_position/credible/roussos_2024/variant_figures/roussos_2024.adolescence.GLU/rs1438590_count_position.png",4,220,900)</f>
        <v/>
      </c>
      <c r="T3501">
        <f>IMAGE("https://mitra.stanford.edu/kundaje/oak/projects/neuro-variants/variant_position/credible/roussos_2024/variant_figures/roussos_2024.adolescence.GLU/rs1438590_profile_position.png",4,220,900)</f>
        <v/>
      </c>
    </row>
    <row r="3502">
      <c r="A3502" t="inlineStr">
        <is>
          <t>chr5</t>
        </is>
      </c>
      <c r="B3502" t="n">
        <v>154072442</v>
      </c>
      <c r="C3502" t="inlineStr">
        <is>
          <t>A</t>
        </is>
      </c>
      <c r="D3502" t="inlineStr">
        <is>
          <t>G</t>
        </is>
      </c>
      <c r="E3502" t="inlineStr">
        <is>
          <t>rs816028</t>
        </is>
      </c>
      <c r="F3502" t="n">
        <v>0.040441929</v>
      </c>
      <c r="G3502" t="n">
        <v>0.0999302917011793</v>
      </c>
      <c r="H3502" t="n">
        <v>0.0154838675856097</v>
      </c>
      <c r="I3502" t="n">
        <v>0.1466793603306782</v>
      </c>
      <c r="J3502" t="n">
        <v>0.5307656586007101</v>
      </c>
      <c r="K3502" t="n">
        <v>0.0708675204027301</v>
      </c>
      <c r="L3502" t="b">
        <v>0</v>
      </c>
      <c r="M3502" t="b">
        <v>0</v>
      </c>
      <c r="N3502" t="inlineStr">
        <is>
          <t>alt</t>
        </is>
      </c>
      <c r="O3502" t="n">
        <v>0</v>
      </c>
      <c r="P3502" t="n">
        <v>0</v>
      </c>
      <c r="Q3502" t="n">
        <v>85</v>
      </c>
      <c r="R3502" t="n">
        <v>0.06104</v>
      </c>
      <c r="S3502">
        <f>IMAGE("https://mitra.stanford.edu/kundaje/oak/projects/neuro-variants/variant_position/credible/roussos_2024/variant_figures/roussos_2024.adolescence.GLU/rs816028_count_position.png",4,220,900)</f>
        <v/>
      </c>
      <c r="T3502">
        <f>IMAGE("https://mitra.stanford.edu/kundaje/oak/projects/neuro-variants/variant_position/credible/roussos_2024/variant_figures/roussos_2024.adolescence.GLU/rs816028_profile_position.png",4,220,900)</f>
        <v/>
      </c>
    </row>
    <row r="3503">
      <c r="A3503" t="inlineStr">
        <is>
          <t>chr5</t>
        </is>
      </c>
      <c r="B3503" t="n">
        <v>154076692</v>
      </c>
      <c r="C3503" t="inlineStr">
        <is>
          <t>T</t>
        </is>
      </c>
      <c r="D3503" t="inlineStr">
        <is>
          <t>C</t>
        </is>
      </c>
      <c r="E3503" t="inlineStr">
        <is>
          <t>rs1478350</t>
        </is>
      </c>
      <c r="F3503" t="n">
        <v>0.0330170396</v>
      </c>
      <c r="G3503" t="n">
        <v>0.1427192661302038</v>
      </c>
      <c r="H3503" t="n">
        <v>0.0132500615610773</v>
      </c>
      <c r="I3503" t="n">
        <v>0.2393482117937677</v>
      </c>
      <c r="J3503" t="n">
        <v>0.1762679412163947</v>
      </c>
      <c r="K3503" t="n">
        <v>0.4379212786462561</v>
      </c>
      <c r="L3503" t="b">
        <v>0</v>
      </c>
      <c r="M3503" t="b">
        <v>0</v>
      </c>
      <c r="N3503" t="inlineStr">
        <is>
          <t>alt</t>
        </is>
      </c>
      <c r="O3503" t="n">
        <v>-90</v>
      </c>
      <c r="P3503" t="n">
        <v>0.004158</v>
      </c>
      <c r="Q3503" t="n">
        <v>45</v>
      </c>
      <c r="R3503" t="n">
        <v>0.0213</v>
      </c>
      <c r="S3503">
        <f>IMAGE("https://mitra.stanford.edu/kundaje/oak/projects/neuro-variants/variant_position/credible/roussos_2024/variant_figures/roussos_2024.adolescence.GLU/rs1478350_count_position.png",4,220,900)</f>
        <v/>
      </c>
      <c r="T3503">
        <f>IMAGE("https://mitra.stanford.edu/kundaje/oak/projects/neuro-variants/variant_position/credible/roussos_2024/variant_figures/roussos_2024.adolescence.GLU/rs1478350_profile_position.png",4,220,900)</f>
        <v/>
      </c>
    </row>
    <row r="3504">
      <c r="A3504" t="inlineStr">
        <is>
          <t>chr5</t>
        </is>
      </c>
      <c r="B3504" t="n">
        <v>154081968</v>
      </c>
      <c r="C3504" t="inlineStr">
        <is>
          <t>A</t>
        </is>
      </c>
      <c r="D3504" t="inlineStr">
        <is>
          <t>G</t>
        </is>
      </c>
      <c r="E3504" t="inlineStr">
        <is>
          <t>rs816009</t>
        </is>
      </c>
      <c r="F3504" t="n">
        <v>0.046061401</v>
      </c>
      <c r="G3504" t="n">
        <v>0.0764570182154804</v>
      </c>
      <c r="H3504" t="n">
        <v>0.009158121968885199</v>
      </c>
      <c r="I3504" t="n">
        <v>0.6395634669442916</v>
      </c>
      <c r="J3504" t="n">
        <v>0.23416421973123</v>
      </c>
      <c r="K3504" t="n">
        <v>0.3545720942774524</v>
      </c>
      <c r="L3504" t="b">
        <v>0</v>
      </c>
      <c r="M3504" t="b">
        <v>0</v>
      </c>
      <c r="N3504" t="inlineStr">
        <is>
          <t>alt</t>
        </is>
      </c>
      <c r="O3504" t="n">
        <v>70</v>
      </c>
      <c r="P3504" t="n">
        <v>0.005676</v>
      </c>
      <c r="Q3504" t="n">
        <v>-100</v>
      </c>
      <c r="R3504" t="n">
        <v>0.0964</v>
      </c>
      <c r="S3504">
        <f>IMAGE("https://mitra.stanford.edu/kundaje/oak/projects/neuro-variants/variant_position/credible/roussos_2024/variant_figures/roussos_2024.adolescence.GLU/rs816009_count_position.png",4,220,900)</f>
        <v/>
      </c>
      <c r="T3504">
        <f>IMAGE("https://mitra.stanford.edu/kundaje/oak/projects/neuro-variants/variant_position/credible/roussos_2024/variant_figures/roussos_2024.adolescence.GLU/rs816009_profile_position.png",4,220,900)</f>
        <v/>
      </c>
    </row>
    <row r="3505">
      <c r="A3505" t="inlineStr">
        <is>
          <t>chr5</t>
        </is>
      </c>
      <c r="B3505" t="n">
        <v>154083148</v>
      </c>
      <c r="C3505" t="inlineStr">
        <is>
          <t>G</t>
        </is>
      </c>
      <c r="D3505" t="inlineStr">
        <is>
          <t>A</t>
        </is>
      </c>
      <c r="E3505" t="inlineStr">
        <is>
          <t>rs816010</t>
        </is>
      </c>
      <c r="F3505" t="n">
        <v>-0.06590018340000001</v>
      </c>
      <c r="G3505" t="n">
        <v>0.0308540846754541</v>
      </c>
      <c r="H3505" t="n">
        <v>0.0193881597681621</v>
      </c>
      <c r="I3505" t="n">
        <v>0.0633266999519943</v>
      </c>
      <c r="J3505" t="n">
        <v>0.0701673918168763</v>
      </c>
      <c r="K3505" t="n">
        <v>0.6553924238877602</v>
      </c>
      <c r="L3505" t="b">
        <v>0</v>
      </c>
      <c r="M3505" t="b">
        <v>0</v>
      </c>
      <c r="N3505" t="inlineStr">
        <is>
          <t>ref</t>
        </is>
      </c>
      <c r="O3505" t="n">
        <v>60</v>
      </c>
      <c r="P3505" t="n">
        <v>0.002565</v>
      </c>
      <c r="Q3505" t="n">
        <v>-85</v>
      </c>
      <c r="R3505" t="n">
        <v>0.0936</v>
      </c>
      <c r="S3505">
        <f>IMAGE("https://mitra.stanford.edu/kundaje/oak/projects/neuro-variants/variant_position/credible/roussos_2024/variant_figures/roussos_2024.adolescence.GLU/rs816010_count_position.png",4,220,900)</f>
        <v/>
      </c>
      <c r="T3505">
        <f>IMAGE("https://mitra.stanford.edu/kundaje/oak/projects/neuro-variants/variant_position/credible/roussos_2024/variant_figures/roussos_2024.adolescence.GLU/rs816010_profile_position.png",4,220,900)</f>
        <v/>
      </c>
    </row>
    <row r="3506">
      <c r="A3506" t="inlineStr">
        <is>
          <t>chr5</t>
        </is>
      </c>
      <c r="B3506" t="n">
        <v>154084867</v>
      </c>
      <c r="C3506" t="inlineStr">
        <is>
          <t>G</t>
        </is>
      </c>
      <c r="D3506" t="inlineStr">
        <is>
          <t>A</t>
        </is>
      </c>
      <c r="E3506" t="inlineStr">
        <is>
          <t>rs816012</t>
        </is>
      </c>
      <c r="F3506" t="n">
        <v>0.00321976871</v>
      </c>
      <c r="G3506" t="n">
        <v>0.7483387820120485</v>
      </c>
      <c r="H3506" t="n">
        <v>0.0065253106484459</v>
      </c>
      <c r="I3506" t="n">
        <v>0.9296200165108019</v>
      </c>
      <c r="J3506" t="n">
        <v>0.1946188853405348</v>
      </c>
      <c r="K3506" t="n">
        <v>0.4095607660348089</v>
      </c>
      <c r="L3506" t="b">
        <v>0</v>
      </c>
      <c r="M3506" t="b">
        <v>0</v>
      </c>
      <c r="N3506" t="inlineStr">
        <is>
          <t>alt</t>
        </is>
      </c>
      <c r="O3506" t="n">
        <v>85</v>
      </c>
      <c r="P3506" t="n">
        <v>0.002708</v>
      </c>
      <c r="Q3506" t="n">
        <v>-80</v>
      </c>
      <c r="R3506" t="n">
        <v>0.0378</v>
      </c>
      <c r="S3506">
        <f>IMAGE("https://mitra.stanford.edu/kundaje/oak/projects/neuro-variants/variant_position/credible/roussos_2024/variant_figures/roussos_2024.adolescence.GLU/rs816012_count_position.png",4,220,900)</f>
        <v/>
      </c>
      <c r="T3506">
        <f>IMAGE("https://mitra.stanford.edu/kundaje/oak/projects/neuro-variants/variant_position/credible/roussos_2024/variant_figures/roussos_2024.adolescence.GLU/rs816012_profile_position.png",4,220,900)</f>
        <v/>
      </c>
    </row>
    <row r="3507">
      <c r="A3507" t="inlineStr">
        <is>
          <t>chr5</t>
        </is>
      </c>
      <c r="B3507" t="n">
        <v>154089745</v>
      </c>
      <c r="C3507" t="inlineStr">
        <is>
          <t>A</t>
        </is>
      </c>
      <c r="D3507" t="inlineStr">
        <is>
          <t>G</t>
        </is>
      </c>
      <c r="E3507" t="inlineStr">
        <is>
          <t>rs4958355</t>
        </is>
      </c>
      <c r="F3507" t="n">
        <v>-0.0110388509</v>
      </c>
      <c r="G3507" t="n">
        <v>0.5101107601903145</v>
      </c>
      <c r="H3507" t="n">
        <v>0.0252336581017799</v>
      </c>
      <c r="I3507" t="n">
        <v>0.0188865218916931</v>
      </c>
      <c r="J3507" t="n">
        <v>0.2015231726571932</v>
      </c>
      <c r="K3507" t="n">
        <v>0.399356010596554</v>
      </c>
      <c r="L3507" t="b">
        <v>1</v>
      </c>
      <c r="M3507" t="b">
        <v>0</v>
      </c>
      <c r="N3507" t="inlineStr">
        <is>
          <t>ref</t>
        </is>
      </c>
      <c r="O3507" t="n">
        <v>90</v>
      </c>
      <c r="P3507" t="n">
        <v>0.00957</v>
      </c>
      <c r="Q3507" t="n">
        <v>-25</v>
      </c>
      <c r="R3507" t="n">
        <v>0.07166</v>
      </c>
      <c r="S3507">
        <f>IMAGE("https://mitra.stanford.edu/kundaje/oak/projects/neuro-variants/variant_position/credible/roussos_2024/variant_figures/roussos_2024.adolescence.GLU/rs4958355_count_position.png",4,220,900)</f>
        <v/>
      </c>
      <c r="T3507">
        <f>IMAGE("https://mitra.stanford.edu/kundaje/oak/projects/neuro-variants/variant_position/credible/roussos_2024/variant_figures/roussos_2024.adolescence.GLU/rs4958355_profile_position.png",4,220,900)</f>
        <v/>
      </c>
    </row>
    <row r="3508">
      <c r="A3508" t="inlineStr">
        <is>
          <t>chr5</t>
        </is>
      </c>
      <c r="B3508" t="n">
        <v>154094777</v>
      </c>
      <c r="C3508" t="inlineStr">
        <is>
          <t>A</t>
        </is>
      </c>
      <c r="D3508" t="inlineStr">
        <is>
          <t>C</t>
        </is>
      </c>
      <c r="E3508" t="inlineStr">
        <is>
          <t>rs815620</t>
        </is>
      </c>
      <c r="F3508" t="n">
        <v>0.0009212704799999</v>
      </c>
      <c r="G3508" t="n">
        <v>0.7609394241877201</v>
      </c>
      <c r="H3508" t="n">
        <v>0.0110793469203029</v>
      </c>
      <c r="I3508" t="n">
        <v>0.3963712752318646</v>
      </c>
      <c r="J3508" t="n">
        <v>0.0766015817562208</v>
      </c>
      <c r="K3508" t="n">
        <v>0.6264044954160088</v>
      </c>
      <c r="L3508" t="b">
        <v>0</v>
      </c>
      <c r="M3508" t="b">
        <v>0</v>
      </c>
      <c r="N3508" t="inlineStr">
        <is>
          <t>alt</t>
        </is>
      </c>
      <c r="O3508" t="n">
        <v>-75</v>
      </c>
      <c r="P3508" t="n">
        <v>0.000977</v>
      </c>
      <c r="Q3508" t="n">
        <v>55</v>
      </c>
      <c r="R3508" t="n">
        <v>0.09180000000000001</v>
      </c>
      <c r="S3508">
        <f>IMAGE("https://mitra.stanford.edu/kundaje/oak/projects/neuro-variants/variant_position/credible/roussos_2024/variant_figures/roussos_2024.adolescence.GLU/rs815620_count_position.png",4,220,900)</f>
        <v/>
      </c>
      <c r="T3508">
        <f>IMAGE("https://mitra.stanford.edu/kundaje/oak/projects/neuro-variants/variant_position/credible/roussos_2024/variant_figures/roussos_2024.adolescence.GLU/rs815620_profile_position.png",4,220,900)</f>
        <v/>
      </c>
    </row>
    <row r="3509">
      <c r="A3509" t="inlineStr">
        <is>
          <t>chr5</t>
        </is>
      </c>
      <c r="B3509" t="n">
        <v>154096161</v>
      </c>
      <c r="C3509" t="inlineStr">
        <is>
          <t>A</t>
        </is>
      </c>
      <c r="D3509" t="inlineStr">
        <is>
          <t>T</t>
        </is>
      </c>
      <c r="E3509" t="inlineStr">
        <is>
          <t>rs890799</t>
        </is>
      </c>
      <c r="F3509" t="n">
        <v>0.04311322348</v>
      </c>
      <c r="G3509" t="n">
        <v>0.1238776687136164</v>
      </c>
      <c r="H3509" t="n">
        <v>0.0208852036681498</v>
      </c>
      <c r="I3509" t="n">
        <v>0.0583358026541239</v>
      </c>
      <c r="J3509" t="n">
        <v>0.3276650163248101</v>
      </c>
      <c r="K3509" t="n">
        <v>0.2364875976552544</v>
      </c>
      <c r="L3509" t="b">
        <v>0</v>
      </c>
      <c r="M3509" t="b">
        <v>0</v>
      </c>
      <c r="N3509" t="inlineStr">
        <is>
          <t>alt</t>
        </is>
      </c>
      <c r="O3509" t="n">
        <v>75</v>
      </c>
      <c r="P3509" t="n">
        <v>0.02304</v>
      </c>
      <c r="Q3509" t="n">
        <v>-20</v>
      </c>
      <c r="R3509" t="n">
        <v>0.06177</v>
      </c>
      <c r="S3509">
        <f>IMAGE("https://mitra.stanford.edu/kundaje/oak/projects/neuro-variants/variant_position/credible/roussos_2024/variant_figures/roussos_2024.adolescence.GLU/rs890799_count_position.png",4,220,900)</f>
        <v/>
      </c>
      <c r="T3509">
        <f>IMAGE("https://mitra.stanford.edu/kundaje/oak/projects/neuro-variants/variant_position/credible/roussos_2024/variant_figures/roussos_2024.adolescence.GLU/rs890799_profile_position.png",4,220,900)</f>
        <v/>
      </c>
    </row>
    <row r="3510">
      <c r="A3510" t="inlineStr">
        <is>
          <t>chr5</t>
        </is>
      </c>
      <c r="B3510" t="n">
        <v>154098617</v>
      </c>
      <c r="C3510" t="inlineStr">
        <is>
          <t>T</t>
        </is>
      </c>
      <c r="D3510" t="inlineStr">
        <is>
          <t>C</t>
        </is>
      </c>
      <c r="E3510" t="inlineStr">
        <is>
          <t>rs6580052</t>
        </is>
      </c>
      <c r="F3510" t="n">
        <v>0.007692437866</v>
      </c>
      <c r="G3510" t="n">
        <v>0.6122221516616581</v>
      </c>
      <c r="H3510" t="n">
        <v>0.0103859345541019</v>
      </c>
      <c r="I3510" t="n">
        <v>0.4761475029060317</v>
      </c>
      <c r="J3510" t="n">
        <v>0.1455472919390444</v>
      </c>
      <c r="K3510" t="n">
        <v>0.487381898284406</v>
      </c>
      <c r="L3510" t="b">
        <v>0</v>
      </c>
      <c r="M3510" t="b">
        <v>0</v>
      </c>
      <c r="N3510" t="inlineStr">
        <is>
          <t>alt</t>
        </is>
      </c>
      <c r="O3510" t="n">
        <v>-95</v>
      </c>
      <c r="P3510" t="n">
        <v>0.00321</v>
      </c>
      <c r="Q3510" t="n">
        <v>-95</v>
      </c>
      <c r="R3510" t="n">
        <v>0.007812</v>
      </c>
      <c r="S3510">
        <f>IMAGE("https://mitra.stanford.edu/kundaje/oak/projects/neuro-variants/variant_position/credible/roussos_2024/variant_figures/roussos_2024.adolescence.GLU/rs6580052_count_position.png",4,220,900)</f>
        <v/>
      </c>
      <c r="T3510">
        <f>IMAGE("https://mitra.stanford.edu/kundaje/oak/projects/neuro-variants/variant_position/credible/roussos_2024/variant_figures/roussos_2024.adolescence.GLU/rs6580052_profile_position.png",4,220,900)</f>
        <v/>
      </c>
    </row>
    <row r="3511">
      <c r="A3511" t="inlineStr">
        <is>
          <t>chr5</t>
        </is>
      </c>
      <c r="B3511" t="n">
        <v>154110798</v>
      </c>
      <c r="C3511" t="inlineStr">
        <is>
          <t>G</t>
        </is>
      </c>
      <c r="D3511" t="inlineStr">
        <is>
          <t>A</t>
        </is>
      </c>
      <c r="E3511" t="inlineStr">
        <is>
          <t>rs1428122</t>
        </is>
      </c>
      <c r="F3511" t="n">
        <v>-0.0728325282</v>
      </c>
      <c r="G3511" t="n">
        <v>0.020410741133463</v>
      </c>
      <c r="H3511" t="n">
        <v>0.0130689769491477</v>
      </c>
      <c r="I3511" t="n">
        <v>0.2561852563860155</v>
      </c>
      <c r="J3511" t="n">
        <v>0.2995834851504954</v>
      </c>
      <c r="K3511" t="n">
        <v>0.2686329434601051</v>
      </c>
      <c r="L3511" t="b">
        <v>1</v>
      </c>
      <c r="M3511" t="b">
        <v>0</v>
      </c>
      <c r="N3511" t="inlineStr">
        <is>
          <t>ref</t>
        </is>
      </c>
      <c r="O3511" t="n">
        <v>100</v>
      </c>
      <c r="P3511" t="n">
        <v>0.006676</v>
      </c>
      <c r="Q3511" t="n">
        <v>-75</v>
      </c>
      <c r="R3511" t="n">
        <v>0.0534</v>
      </c>
      <c r="S3511">
        <f>IMAGE("https://mitra.stanford.edu/kundaje/oak/projects/neuro-variants/variant_position/credible/roussos_2024/variant_figures/roussos_2024.adolescence.GLU/rs1428122_count_position.png",4,220,900)</f>
        <v/>
      </c>
      <c r="T3511">
        <f>IMAGE("https://mitra.stanford.edu/kundaje/oak/projects/neuro-variants/variant_position/credible/roussos_2024/variant_figures/roussos_2024.adolescence.GLU/rs1428122_profile_position.png",4,220,900)</f>
        <v/>
      </c>
    </row>
    <row r="3512">
      <c r="A3512" t="inlineStr">
        <is>
          <t>chr5</t>
        </is>
      </c>
      <c r="B3512" t="n">
        <v>154183848</v>
      </c>
      <c r="C3512" t="inlineStr">
        <is>
          <t>C</t>
        </is>
      </c>
      <c r="D3512" t="inlineStr">
        <is>
          <t>T</t>
        </is>
      </c>
      <c r="E3512" t="inlineStr">
        <is>
          <t>rs77075605</t>
        </is>
      </c>
      <c r="F3512" t="n">
        <v>0.01108502746</v>
      </c>
      <c r="G3512" t="n">
        <v>0.4778679954692852</v>
      </c>
      <c r="H3512" t="n">
        <v>0.0135402331357285</v>
      </c>
      <c r="I3512" t="n">
        <v>0.2365955625558899</v>
      </c>
      <c r="J3512" t="n">
        <v>0.1511155882289902</v>
      </c>
      <c r="K3512" t="n">
        <v>0.4859907696543409</v>
      </c>
      <c r="L3512" t="b">
        <v>0</v>
      </c>
      <c r="M3512" t="b">
        <v>0</v>
      </c>
      <c r="N3512" t="inlineStr">
        <is>
          <t>alt</t>
        </is>
      </c>
      <c r="O3512" t="n">
        <v>15</v>
      </c>
      <c r="P3512" t="n">
        <v>0.000511</v>
      </c>
      <c r="Q3512" t="n">
        <v>10</v>
      </c>
      <c r="R3512" t="n">
        <v>0.03357</v>
      </c>
      <c r="S3512">
        <f>IMAGE("https://mitra.stanford.edu/kundaje/oak/projects/neuro-variants/variant_position/credible/roussos_2024/variant_figures/roussos_2024.adolescence.GLU/rs77075605_count_position.png",4,220,900)</f>
        <v/>
      </c>
      <c r="T3512">
        <f>IMAGE("https://mitra.stanford.edu/kundaje/oak/projects/neuro-variants/variant_position/credible/roussos_2024/variant_figures/roussos_2024.adolescence.GLU/rs77075605_profile_position.png",4,220,900)</f>
        <v/>
      </c>
    </row>
    <row r="3513">
      <c r="A3513" t="inlineStr">
        <is>
          <t>chr5</t>
        </is>
      </c>
      <c r="B3513" t="n">
        <v>154200245</v>
      </c>
      <c r="C3513" t="inlineStr">
        <is>
          <t>G</t>
        </is>
      </c>
      <c r="D3513" t="inlineStr">
        <is>
          <t>A</t>
        </is>
      </c>
      <c r="E3513" t="inlineStr">
        <is>
          <t>rs80336253</t>
        </is>
      </c>
      <c r="F3513" t="n">
        <v>-0.0135168371999999</v>
      </c>
      <c r="G3513" t="n">
        <v>0.4395804367015842</v>
      </c>
      <c r="H3513" t="n">
        <v>0.0129110333381883</v>
      </c>
      <c r="I3513" t="n">
        <v>0.2653277001781339</v>
      </c>
      <c r="J3513" t="n">
        <v>0.4594037336305376</v>
      </c>
      <c r="K3513" t="n">
        <v>0.1172535771850106</v>
      </c>
      <c r="L3513" t="b">
        <v>0</v>
      </c>
      <c r="M3513" t="b">
        <v>0</v>
      </c>
      <c r="N3513" t="inlineStr">
        <is>
          <t>ref</t>
        </is>
      </c>
      <c r="O3513" t="n">
        <v>95</v>
      </c>
      <c r="P3513" t="n">
        <v>0.00717</v>
      </c>
      <c r="Q3513" t="n">
        <v>-85</v>
      </c>
      <c r="R3513" t="n">
        <v>0.12256</v>
      </c>
      <c r="S3513">
        <f>IMAGE("https://mitra.stanford.edu/kundaje/oak/projects/neuro-variants/variant_position/credible/roussos_2024/variant_figures/roussos_2024.adolescence.GLU/rs80336253_count_position.png",4,220,900)</f>
        <v/>
      </c>
      <c r="T3513">
        <f>IMAGE("https://mitra.stanford.edu/kundaje/oak/projects/neuro-variants/variant_position/credible/roussos_2024/variant_figures/roussos_2024.adolescence.GLU/rs80336253_profile_position.png",4,220,900)</f>
        <v/>
      </c>
    </row>
    <row r="3514">
      <c r="A3514" t="inlineStr">
        <is>
          <t>chr5</t>
        </is>
      </c>
      <c r="B3514" t="n">
        <v>154243261</v>
      </c>
      <c r="C3514" t="inlineStr">
        <is>
          <t>G</t>
        </is>
      </c>
      <c r="D3514" t="inlineStr">
        <is>
          <t>A</t>
        </is>
      </c>
      <c r="E3514" t="inlineStr">
        <is>
          <t>rs73802964</t>
        </is>
      </c>
      <c r="F3514" t="n">
        <v>0.033224546</v>
      </c>
      <c r="G3514" t="n">
        <v>0.1404155318220183</v>
      </c>
      <c r="H3514" t="n">
        <v>0.0154342136352462</v>
      </c>
      <c r="I3514" t="n">
        <v>0.1600174709758342</v>
      </c>
      <c r="J3514" t="n">
        <v>0.1654214087203777</v>
      </c>
      <c r="K3514" t="n">
        <v>0.4488238912575059</v>
      </c>
      <c r="L3514" t="b">
        <v>0</v>
      </c>
      <c r="M3514" t="b">
        <v>0</v>
      </c>
      <c r="N3514" t="inlineStr">
        <is>
          <t>alt</t>
        </is>
      </c>
      <c r="O3514" t="n">
        <v>-20</v>
      </c>
      <c r="P3514" t="n">
        <v>0.0005493</v>
      </c>
      <c r="Q3514" t="n">
        <v>95</v>
      </c>
      <c r="R3514" t="n">
        <v>0.0901</v>
      </c>
      <c r="S3514">
        <f>IMAGE("https://mitra.stanford.edu/kundaje/oak/projects/neuro-variants/variant_position/credible/roussos_2024/variant_figures/roussos_2024.adolescence.GLU/rs73802964_count_position.png",4,220,900)</f>
        <v/>
      </c>
      <c r="T3514">
        <f>IMAGE("https://mitra.stanford.edu/kundaje/oak/projects/neuro-variants/variant_position/credible/roussos_2024/variant_figures/roussos_2024.adolescence.GLU/rs73802964_profile_position.png",4,220,900)</f>
        <v/>
      </c>
    </row>
    <row r="3515">
      <c r="A3515" t="inlineStr">
        <is>
          <t>chr5</t>
        </is>
      </c>
      <c r="B3515" t="n">
        <v>154253839</v>
      </c>
      <c r="C3515" t="inlineStr">
        <is>
          <t>G</t>
        </is>
      </c>
      <c r="D3515" t="inlineStr">
        <is>
          <t>A</t>
        </is>
      </c>
      <c r="E3515" t="inlineStr">
        <is>
          <t>rs73802970</t>
        </is>
      </c>
      <c r="F3515" t="n">
        <v>0.00572828272</v>
      </c>
      <c r="G3515" t="n">
        <v>0.6797909358945321</v>
      </c>
      <c r="H3515" t="n">
        <v>0.008798385107763099</v>
      </c>
      <c r="I3515" t="n">
        <v>0.6879715812826059</v>
      </c>
      <c r="J3515" t="n">
        <v>0.1054475569939487</v>
      </c>
      <c r="K3515" t="n">
        <v>0.5612959163813626</v>
      </c>
      <c r="L3515" t="b">
        <v>0</v>
      </c>
      <c r="M3515" t="b">
        <v>0</v>
      </c>
      <c r="N3515" t="inlineStr">
        <is>
          <t>alt</t>
        </is>
      </c>
      <c r="O3515" t="n">
        <v>0</v>
      </c>
      <c r="P3515" t="n">
        <v>0</v>
      </c>
      <c r="Q3515" t="n">
        <v>100</v>
      </c>
      <c r="R3515" t="n">
        <v>0.05316</v>
      </c>
      <c r="S3515">
        <f>IMAGE("https://mitra.stanford.edu/kundaje/oak/projects/neuro-variants/variant_position/credible/roussos_2024/variant_figures/roussos_2024.adolescence.GLU/rs73802970_count_position.png",4,220,900)</f>
        <v/>
      </c>
      <c r="T3515">
        <f>IMAGE("https://mitra.stanford.edu/kundaje/oak/projects/neuro-variants/variant_position/credible/roussos_2024/variant_figures/roussos_2024.adolescence.GLU/rs73802970_profile_position.png",4,220,900)</f>
        <v/>
      </c>
    </row>
    <row r="3516">
      <c r="A3516" t="inlineStr">
        <is>
          <t>chr5</t>
        </is>
      </c>
      <c r="B3516" t="n">
        <v>154259120</v>
      </c>
      <c r="C3516" t="inlineStr">
        <is>
          <t>A</t>
        </is>
      </c>
      <c r="D3516" t="inlineStr">
        <is>
          <t>T</t>
        </is>
      </c>
      <c r="E3516" t="inlineStr">
        <is>
          <t>rs531293</t>
        </is>
      </c>
      <c r="F3516" t="n">
        <v>0.00762560544</v>
      </c>
      <c r="G3516" t="n">
        <v>0.5991222676396397</v>
      </c>
      <c r="H3516" t="n">
        <v>0.0211989040082783</v>
      </c>
      <c r="I3516" t="n">
        <v>0.0425137103444586</v>
      </c>
      <c r="J3516" t="n">
        <v>0.015738974501861</v>
      </c>
      <c r="K3516" t="n">
        <v>0.8375250306736572</v>
      </c>
      <c r="L3516" t="b">
        <v>0</v>
      </c>
      <c r="M3516" t="b">
        <v>0</v>
      </c>
      <c r="N3516" t="inlineStr">
        <is>
          <t>alt</t>
        </is>
      </c>
      <c r="O3516" t="n">
        <v>-100</v>
      </c>
      <c r="P3516" t="n">
        <v>0.0756</v>
      </c>
      <c r="Q3516" t="n">
        <v>85</v>
      </c>
      <c r="R3516" t="n">
        <v>0.04108</v>
      </c>
      <c r="S3516">
        <f>IMAGE("https://mitra.stanford.edu/kundaje/oak/projects/neuro-variants/variant_position/credible/roussos_2024/variant_figures/roussos_2024.adolescence.GLU/rs531293_count_position.png",4,220,900)</f>
        <v/>
      </c>
      <c r="T3516">
        <f>IMAGE("https://mitra.stanford.edu/kundaje/oak/projects/neuro-variants/variant_position/credible/roussos_2024/variant_figures/roussos_2024.adolescence.GLU/rs531293_profile_position.png",4,220,900)</f>
        <v/>
      </c>
    </row>
    <row r="3517">
      <c r="A3517" t="inlineStr">
        <is>
          <t>chr5</t>
        </is>
      </c>
      <c r="B3517" t="n">
        <v>154260334</v>
      </c>
      <c r="C3517" t="inlineStr">
        <is>
          <t>C</t>
        </is>
      </c>
      <c r="D3517" t="inlineStr">
        <is>
          <t>G</t>
        </is>
      </c>
      <c r="E3517" t="inlineStr">
        <is>
          <t>rs2434528</t>
        </is>
      </c>
      <c r="F3517" t="n">
        <v>-0.0084881172199999</v>
      </c>
      <c r="G3517" t="n">
        <v>0.5129713953952761</v>
      </c>
      <c r="H3517" t="n">
        <v>0.0118097274087276</v>
      </c>
      <c r="I3517" t="n">
        <v>0.3433566985706261</v>
      </c>
      <c r="J3517" t="n">
        <v>0.1878246208143115</v>
      </c>
      <c r="K3517" t="n">
        <v>0.4208706900696513</v>
      </c>
      <c r="L3517" t="b">
        <v>0</v>
      </c>
      <c r="M3517" t="b">
        <v>0</v>
      </c>
      <c r="N3517" t="inlineStr">
        <is>
          <t>ref</t>
        </is>
      </c>
      <c r="O3517" t="n">
        <v>100</v>
      </c>
      <c r="P3517" t="n">
        <v>0.00821</v>
      </c>
      <c r="Q3517" t="n">
        <v>-30</v>
      </c>
      <c r="R3517" t="n">
        <v>0.01746</v>
      </c>
      <c r="S3517">
        <f>IMAGE("https://mitra.stanford.edu/kundaje/oak/projects/neuro-variants/variant_position/credible/roussos_2024/variant_figures/roussos_2024.adolescence.GLU/rs2434528_count_position.png",4,220,900)</f>
        <v/>
      </c>
      <c r="T3517">
        <f>IMAGE("https://mitra.stanford.edu/kundaje/oak/projects/neuro-variants/variant_position/credible/roussos_2024/variant_figures/roussos_2024.adolescence.GLU/rs2434528_profile_position.png",4,220,900)</f>
        <v/>
      </c>
    </row>
    <row r="3518">
      <c r="A3518" t="inlineStr">
        <is>
          <t>chr5</t>
        </is>
      </c>
      <c r="B3518" t="n">
        <v>154262375</v>
      </c>
      <c r="C3518" t="inlineStr">
        <is>
          <t>C</t>
        </is>
      </c>
      <c r="D3518" t="inlineStr">
        <is>
          <t>G</t>
        </is>
      </c>
      <c r="E3518" t="inlineStr">
        <is>
          <t>rs2434535</t>
        </is>
      </c>
      <c r="F3518" t="n">
        <v>-0.0252108074</v>
      </c>
      <c r="G3518" t="n">
        <v>0.2355221416750933</v>
      </c>
      <c r="H3518" t="n">
        <v>0.013471195713535</v>
      </c>
      <c r="I3518" t="n">
        <v>0.2389944498571194</v>
      </c>
      <c r="J3518" t="n">
        <v>0.1876331525816061</v>
      </c>
      <c r="K3518" t="n">
        <v>0.427598403503789</v>
      </c>
      <c r="L3518" t="b">
        <v>0</v>
      </c>
      <c r="M3518" t="b">
        <v>0</v>
      </c>
      <c r="N3518" t="inlineStr">
        <is>
          <t>ref</t>
        </is>
      </c>
      <c r="O3518" t="n">
        <v>-65</v>
      </c>
      <c r="P3518" t="n">
        <v>0.002352</v>
      </c>
      <c r="Q3518" t="n">
        <v>-60</v>
      </c>
      <c r="R3518" t="n">
        <v>0.0617</v>
      </c>
      <c r="S3518">
        <f>IMAGE("https://mitra.stanford.edu/kundaje/oak/projects/neuro-variants/variant_position/credible/roussos_2024/variant_figures/roussos_2024.adolescence.GLU/rs2434535_count_position.png",4,220,900)</f>
        <v/>
      </c>
      <c r="T3518">
        <f>IMAGE("https://mitra.stanford.edu/kundaje/oak/projects/neuro-variants/variant_position/credible/roussos_2024/variant_figures/roussos_2024.adolescence.GLU/rs2434535_profile_position.png",4,220,900)</f>
        <v/>
      </c>
    </row>
    <row r="3519">
      <c r="A3519" t="inlineStr">
        <is>
          <t>chr5</t>
        </is>
      </c>
      <c r="B3519" t="n">
        <v>154263006</v>
      </c>
      <c r="C3519" t="inlineStr">
        <is>
          <t>G</t>
        </is>
      </c>
      <c r="D3519" t="inlineStr">
        <is>
          <t>A</t>
        </is>
      </c>
      <c r="E3519" t="inlineStr">
        <is>
          <t>rs693446</t>
        </is>
      </c>
      <c r="F3519" t="n">
        <v>-0.01266330272</v>
      </c>
      <c r="G3519" t="n">
        <v>0.4560325703804995</v>
      </c>
      <c r="H3519" t="n">
        <v>0.0118801505141052</v>
      </c>
      <c r="I3519" t="n">
        <v>0.3480618666329625</v>
      </c>
      <c r="J3519" t="n">
        <v>0.1319801958977216</v>
      </c>
      <c r="K3519" t="n">
        <v>0.5196985201848326</v>
      </c>
      <c r="L3519" t="b">
        <v>0</v>
      </c>
      <c r="M3519" t="b">
        <v>0</v>
      </c>
      <c r="N3519" t="inlineStr">
        <is>
          <t>ref</t>
        </is>
      </c>
      <c r="O3519" t="n">
        <v>-65</v>
      </c>
      <c r="P3519" t="n">
        <v>0.001999</v>
      </c>
      <c r="Q3519" t="n">
        <v>55</v>
      </c>
      <c r="R3519" t="n">
        <v>0.03497</v>
      </c>
      <c r="S3519">
        <f>IMAGE("https://mitra.stanford.edu/kundaje/oak/projects/neuro-variants/variant_position/credible/roussos_2024/variant_figures/roussos_2024.adolescence.GLU/rs693446_count_position.png",4,220,900)</f>
        <v/>
      </c>
      <c r="T3519">
        <f>IMAGE("https://mitra.stanford.edu/kundaje/oak/projects/neuro-variants/variant_position/credible/roussos_2024/variant_figures/roussos_2024.adolescence.GLU/rs693446_profile_position.png",4,220,900)</f>
        <v/>
      </c>
    </row>
    <row r="3520">
      <c r="A3520" t="inlineStr">
        <is>
          <t>chr5</t>
        </is>
      </c>
      <c r="B3520" t="n">
        <v>154274876</v>
      </c>
      <c r="C3520" t="inlineStr">
        <is>
          <t>C</t>
        </is>
      </c>
      <c r="D3520" t="inlineStr">
        <is>
          <t>A</t>
        </is>
      </c>
      <c r="E3520" t="inlineStr">
        <is>
          <t>rs73281462</t>
        </is>
      </c>
      <c r="F3520" t="n">
        <v>-0.007876129611999899</v>
      </c>
      <c r="G3520" t="n">
        <v>0.5949975957831989</v>
      </c>
      <c r="H3520" t="n">
        <v>0.007979168308274401</v>
      </c>
      <c r="I3520" t="n">
        <v>0.8041559226906484</v>
      </c>
      <c r="J3520" t="n">
        <v>0.2014045766623085</v>
      </c>
      <c r="K3520" t="n">
        <v>0.3997226175617835</v>
      </c>
      <c r="L3520" t="b">
        <v>0</v>
      </c>
      <c r="M3520" t="b">
        <v>0</v>
      </c>
      <c r="N3520" t="inlineStr">
        <is>
          <t>ref</t>
        </is>
      </c>
      <c r="O3520" t="n">
        <v>-30</v>
      </c>
      <c r="P3520" t="n">
        <v>0.001663</v>
      </c>
      <c r="Q3520" t="n">
        <v>40</v>
      </c>
      <c r="R3520" t="n">
        <v>0.04462</v>
      </c>
      <c r="S3520">
        <f>IMAGE("https://mitra.stanford.edu/kundaje/oak/projects/neuro-variants/variant_position/credible/roussos_2024/variant_figures/roussos_2024.adolescence.GLU/rs73281462_count_position.png",4,220,900)</f>
        <v/>
      </c>
      <c r="T3520">
        <f>IMAGE("https://mitra.stanford.edu/kundaje/oak/projects/neuro-variants/variant_position/credible/roussos_2024/variant_figures/roussos_2024.adolescence.GLU/rs73281462_profile_position.png",4,220,900)</f>
        <v/>
      </c>
    </row>
    <row r="3521">
      <c r="A3521" t="inlineStr">
        <is>
          <t>chr5</t>
        </is>
      </c>
      <c r="B3521" t="n">
        <v>154275577</v>
      </c>
      <c r="C3521" t="inlineStr">
        <is>
          <t>C</t>
        </is>
      </c>
      <c r="D3521" t="inlineStr">
        <is>
          <t>T</t>
        </is>
      </c>
      <c r="E3521" t="inlineStr">
        <is>
          <t>rs73281464</t>
        </is>
      </c>
      <c r="F3521" t="n">
        <v>0.0135186815999999</v>
      </c>
      <c r="G3521" t="n">
        <v>0.4114583441084593</v>
      </c>
      <c r="H3521" t="n">
        <v>0.0239856184638505</v>
      </c>
      <c r="I3521" t="n">
        <v>0.0241865072628508</v>
      </c>
      <c r="J3521" t="n">
        <v>0.2278000442948896</v>
      </c>
      <c r="K3521" t="n">
        <v>0.3625485234849674</v>
      </c>
      <c r="L3521" t="b">
        <v>0</v>
      </c>
      <c r="M3521" t="b">
        <v>0</v>
      </c>
      <c r="N3521" t="inlineStr">
        <is>
          <t>alt</t>
        </is>
      </c>
      <c r="O3521" t="n">
        <v>-65</v>
      </c>
      <c r="P3521" t="n">
        <v>0.002966</v>
      </c>
      <c r="Q3521" t="n">
        <v>-5</v>
      </c>
      <c r="R3521" t="n">
        <v>0.004425</v>
      </c>
      <c r="S3521">
        <f>IMAGE("https://mitra.stanford.edu/kundaje/oak/projects/neuro-variants/variant_position/credible/roussos_2024/variant_figures/roussos_2024.adolescence.GLU/rs73281464_count_position.png",4,220,900)</f>
        <v/>
      </c>
      <c r="T3521">
        <f>IMAGE("https://mitra.stanford.edu/kundaje/oak/projects/neuro-variants/variant_position/credible/roussos_2024/variant_figures/roussos_2024.adolescence.GLU/rs73281464_profile_position.png",4,220,900)</f>
        <v/>
      </c>
    </row>
    <row r="3522">
      <c r="A3522" t="inlineStr">
        <is>
          <t>chr5</t>
        </is>
      </c>
      <c r="B3522" t="n">
        <v>154291416</v>
      </c>
      <c r="C3522" t="inlineStr">
        <is>
          <t>C</t>
        </is>
      </c>
      <c r="D3522" t="inlineStr">
        <is>
          <t>T</t>
        </is>
      </c>
      <c r="E3522" t="inlineStr">
        <is>
          <t>rs73279685</t>
        </is>
      </c>
      <c r="F3522" t="n">
        <v>-0.134547968</v>
      </c>
      <c r="G3522" t="n">
        <v>0.0039572144719343</v>
      </c>
      <c r="H3522" t="n">
        <v>0.0305202579918011</v>
      </c>
      <c r="I3522" t="n">
        <v>0.0109682786861566</v>
      </c>
      <c r="J3522" t="n">
        <v>0.1739460316779904</v>
      </c>
      <c r="K3522" t="n">
        <v>0.4456123118025497</v>
      </c>
      <c r="L3522" t="b">
        <v>1</v>
      </c>
      <c r="M3522" t="b">
        <v>1</v>
      </c>
      <c r="N3522" t="inlineStr">
        <is>
          <t>ref</t>
        </is>
      </c>
      <c r="O3522" t="n">
        <v>100</v>
      </c>
      <c r="P3522" t="n">
        <v>0.003868</v>
      </c>
      <c r="Q3522" t="n">
        <v>60</v>
      </c>
      <c r="R3522" t="n">
        <v>0.02509</v>
      </c>
      <c r="S3522">
        <f>IMAGE("https://mitra.stanford.edu/kundaje/oak/projects/neuro-variants/variant_position/credible/roussos_2024/variant_figures/roussos_2024.adolescence.GLU/rs73279685_count_position.png",4,220,900)</f>
        <v/>
      </c>
      <c r="T3522">
        <f>IMAGE("https://mitra.stanford.edu/kundaje/oak/projects/neuro-variants/variant_position/credible/roussos_2024/variant_figures/roussos_2024.adolescence.GLU/rs73279685_profile_position.png",4,220,900)</f>
        <v/>
      </c>
    </row>
    <row r="3523">
      <c r="A3523" t="inlineStr">
        <is>
          <t>chr5</t>
        </is>
      </c>
      <c r="B3523" t="n">
        <v>156384661</v>
      </c>
      <c r="C3523" t="inlineStr">
        <is>
          <t>G</t>
        </is>
      </c>
      <c r="D3523" t="inlineStr">
        <is>
          <t>A</t>
        </is>
      </c>
      <c r="E3523" t="inlineStr">
        <is>
          <t>rs7702643</t>
        </is>
      </c>
      <c r="F3523" t="n">
        <v>0.0004215113799999</v>
      </c>
      <c r="G3523" t="n">
        <v>0.9307488347990294</v>
      </c>
      <c r="H3523" t="n">
        <v>0.0194631632122124</v>
      </c>
      <c r="I3523" t="n">
        <v>0.059694685329977</v>
      </c>
      <c r="J3523" t="n">
        <v>0.1111487379528615</v>
      </c>
      <c r="K3523" t="n">
        <v>0.5451975936182912</v>
      </c>
      <c r="L3523" t="b">
        <v>0</v>
      </c>
      <c r="M3523" t="b">
        <v>0</v>
      </c>
      <c r="N3523" t="inlineStr">
        <is>
          <t>alt</t>
        </is>
      </c>
      <c r="O3523" t="n">
        <v>-100</v>
      </c>
      <c r="P3523" t="n">
        <v>0.004738</v>
      </c>
      <c r="Q3523" t="n">
        <v>70</v>
      </c>
      <c r="R3523" t="n">
        <v>0.0268</v>
      </c>
      <c r="S3523">
        <f>IMAGE("https://mitra.stanford.edu/kundaje/oak/projects/neuro-variants/variant_position/credible/roussos_2024/variant_figures/roussos_2024.adolescence.GLU/rs7702643_count_position.png",4,220,900)</f>
        <v/>
      </c>
      <c r="T3523">
        <f>IMAGE("https://mitra.stanford.edu/kundaje/oak/projects/neuro-variants/variant_position/credible/roussos_2024/variant_figures/roussos_2024.adolescence.GLU/rs7702643_profile_position.png",4,220,900)</f>
        <v/>
      </c>
    </row>
    <row r="3524">
      <c r="A3524" t="inlineStr">
        <is>
          <t>chr5</t>
        </is>
      </c>
      <c r="B3524" t="n">
        <v>156391078</v>
      </c>
      <c r="C3524" t="inlineStr">
        <is>
          <t>C</t>
        </is>
      </c>
      <c r="D3524" t="inlineStr">
        <is>
          <t>T</t>
        </is>
      </c>
      <c r="E3524" t="inlineStr">
        <is>
          <t>rs6556578</t>
        </is>
      </c>
      <c r="F3524" t="n">
        <v>-0.079193759</v>
      </c>
      <c r="G3524" t="n">
        <v>0.0162635146355911</v>
      </c>
      <c r="H3524" t="n">
        <v>0.0137212083889489</v>
      </c>
      <c r="I3524" t="n">
        <v>0.2199098012552877</v>
      </c>
      <c r="J3524" t="n">
        <v>0.1878174764772702</v>
      </c>
      <c r="K3524" t="n">
        <v>0.4168372087978146</v>
      </c>
      <c r="L3524" t="b">
        <v>1</v>
      </c>
      <c r="M3524" t="b">
        <v>0</v>
      </c>
      <c r="N3524" t="inlineStr">
        <is>
          <t>ref</t>
        </is>
      </c>
      <c r="O3524" t="n">
        <v>-20</v>
      </c>
      <c r="P3524" t="n">
        <v>0.001816</v>
      </c>
      <c r="Q3524" t="n">
        <v>80</v>
      </c>
      <c r="R3524" t="n">
        <v>0.05646</v>
      </c>
      <c r="S3524">
        <f>IMAGE("https://mitra.stanford.edu/kundaje/oak/projects/neuro-variants/variant_position/credible/roussos_2024/variant_figures/roussos_2024.adolescence.GLU/rs6556578_count_position.png",4,220,900)</f>
        <v/>
      </c>
      <c r="T3524">
        <f>IMAGE("https://mitra.stanford.edu/kundaje/oak/projects/neuro-variants/variant_position/credible/roussos_2024/variant_figures/roussos_2024.adolescence.GLU/rs6556578_profile_position.png",4,220,900)</f>
        <v/>
      </c>
    </row>
    <row r="3525">
      <c r="A3525" t="inlineStr">
        <is>
          <t>chr5</t>
        </is>
      </c>
      <c r="B3525" t="n">
        <v>156392721</v>
      </c>
      <c r="C3525" t="inlineStr">
        <is>
          <t>G</t>
        </is>
      </c>
      <c r="D3525" t="inlineStr">
        <is>
          <t>A</t>
        </is>
      </c>
      <c r="E3525" t="inlineStr">
        <is>
          <t>rs10036164</t>
        </is>
      </c>
      <c r="F3525" t="n">
        <v>0.01895546934</v>
      </c>
      <c r="G3525" t="n">
        <v>0.3079813563887474</v>
      </c>
      <c r="H3525" t="n">
        <v>0.0106436847427766</v>
      </c>
      <c r="I3525" t="n">
        <v>0.4680048543752005</v>
      </c>
      <c r="J3525" t="n">
        <v>0.3102614112923391</v>
      </c>
      <c r="K3525" t="n">
        <v>0.260479948075109</v>
      </c>
      <c r="L3525" t="b">
        <v>0</v>
      </c>
      <c r="M3525" t="b">
        <v>0</v>
      </c>
      <c r="N3525" t="inlineStr">
        <is>
          <t>alt</t>
        </is>
      </c>
      <c r="O3525" t="n">
        <v>100</v>
      </c>
      <c r="P3525" t="n">
        <v>0.01061</v>
      </c>
      <c r="Q3525" t="n">
        <v>50</v>
      </c>
      <c r="R3525" t="n">
        <v>0.05396</v>
      </c>
      <c r="S3525">
        <f>IMAGE("https://mitra.stanford.edu/kundaje/oak/projects/neuro-variants/variant_position/credible/roussos_2024/variant_figures/roussos_2024.adolescence.GLU/rs10036164_count_position.png",4,220,900)</f>
        <v/>
      </c>
      <c r="T3525">
        <f>IMAGE("https://mitra.stanford.edu/kundaje/oak/projects/neuro-variants/variant_position/credible/roussos_2024/variant_figures/roussos_2024.adolescence.GLU/rs10036164_profile_position.png",4,220,900)</f>
        <v/>
      </c>
    </row>
    <row r="3526">
      <c r="A3526" t="inlineStr">
        <is>
          <t>chr5</t>
        </is>
      </c>
      <c r="B3526" t="n">
        <v>156414643</v>
      </c>
      <c r="C3526" t="inlineStr">
        <is>
          <t>G</t>
        </is>
      </c>
      <c r="D3526" t="inlineStr">
        <is>
          <t>A</t>
        </is>
      </c>
      <c r="E3526" t="inlineStr">
        <is>
          <t>rs35414747</t>
        </is>
      </c>
      <c r="F3526" t="n">
        <v>-0.0240713113999999</v>
      </c>
      <c r="G3526" t="n">
        <v>0.2552996881012265</v>
      </c>
      <c r="H3526" t="n">
        <v>0.0162186857366907</v>
      </c>
      <c r="I3526" t="n">
        <v>0.1237901431492486</v>
      </c>
      <c r="J3526" t="n">
        <v>0.1259332290260125</v>
      </c>
      <c r="K3526" t="n">
        <v>0.5123960422519344</v>
      </c>
      <c r="L3526" t="b">
        <v>0</v>
      </c>
      <c r="M3526" t="b">
        <v>0</v>
      </c>
      <c r="N3526" t="inlineStr">
        <is>
          <t>ref</t>
        </is>
      </c>
      <c r="O3526" t="n">
        <v>-15</v>
      </c>
      <c r="P3526" t="n">
        <v>0.001236</v>
      </c>
      <c r="Q3526" t="n">
        <v>-40</v>
      </c>
      <c r="R3526" t="n">
        <v>0.04968</v>
      </c>
      <c r="S3526">
        <f>IMAGE("https://mitra.stanford.edu/kundaje/oak/projects/neuro-variants/variant_position/credible/roussos_2024/variant_figures/roussos_2024.adolescence.GLU/rs35414747_count_position.png",4,220,900)</f>
        <v/>
      </c>
      <c r="T3526">
        <f>IMAGE("https://mitra.stanford.edu/kundaje/oak/projects/neuro-variants/variant_position/credible/roussos_2024/variant_figures/roussos_2024.adolescence.GLU/rs35414747_profile_position.png",4,220,900)</f>
        <v/>
      </c>
    </row>
    <row r="3527">
      <c r="A3527" t="inlineStr">
        <is>
          <t>chr6</t>
        </is>
      </c>
      <c r="B3527" t="n">
        <v>16343362</v>
      </c>
      <c r="C3527" t="inlineStr">
        <is>
          <t>A</t>
        </is>
      </c>
      <c r="D3527" t="inlineStr">
        <is>
          <t>G</t>
        </is>
      </c>
      <c r="E3527" t="inlineStr">
        <is>
          <t>rs9367911</t>
        </is>
      </c>
      <c r="F3527" t="n">
        <v>0.00448678648</v>
      </c>
      <c r="G3527" t="n">
        <v>0.7297700253471365</v>
      </c>
      <c r="H3527" t="n">
        <v>0.0179046033377064</v>
      </c>
      <c r="I3527" t="n">
        <v>0.0872513129688159</v>
      </c>
      <c r="J3527" t="n">
        <v>0.4240164033978466</v>
      </c>
      <c r="K3527" t="n">
        <v>0.1452228681768352</v>
      </c>
      <c r="L3527" t="b">
        <v>0</v>
      </c>
      <c r="M3527" t="b">
        <v>0</v>
      </c>
      <c r="N3527" t="inlineStr">
        <is>
          <t>alt</t>
        </is>
      </c>
      <c r="O3527" t="n">
        <v>-80</v>
      </c>
      <c r="P3527" t="n">
        <v>0.01367</v>
      </c>
      <c r="Q3527" t="n">
        <v>95</v>
      </c>
      <c r="R3527" t="n">
        <v>0.08765000000000001</v>
      </c>
      <c r="S3527">
        <f>IMAGE("https://mitra.stanford.edu/kundaje/oak/projects/neuro-variants/variant_position/credible/roussos_2024/variant_figures/roussos_2024.adolescence.GLU/rs9367911_count_position.png",4,220,900)</f>
        <v/>
      </c>
      <c r="T3527">
        <f>IMAGE("https://mitra.stanford.edu/kundaje/oak/projects/neuro-variants/variant_position/credible/roussos_2024/variant_figures/roussos_2024.adolescence.GLU/rs9367911_profile_position.png",4,220,900)</f>
        <v/>
      </c>
    </row>
    <row r="3528">
      <c r="A3528" t="inlineStr">
        <is>
          <t>chr6</t>
        </is>
      </c>
      <c r="B3528" t="n">
        <v>50830050</v>
      </c>
      <c r="C3528" t="inlineStr">
        <is>
          <t>A</t>
        </is>
      </c>
      <c r="D3528" t="inlineStr">
        <is>
          <t>G</t>
        </is>
      </c>
      <c r="E3528" t="inlineStr">
        <is>
          <t>rs2857504</t>
        </is>
      </c>
      <c r="F3528" t="n">
        <v>0.0195234864</v>
      </c>
      <c r="G3528" t="n">
        <v>0.301426030824547</v>
      </c>
      <c r="H3528" t="n">
        <v>0.0095453339663961</v>
      </c>
      <c r="I3528" t="n">
        <v>0.5812460946543834</v>
      </c>
      <c r="J3528" t="n">
        <v>0.317891563252388</v>
      </c>
      <c r="K3528" t="n">
        <v>0.2417123219254341</v>
      </c>
      <c r="L3528" t="b">
        <v>0</v>
      </c>
      <c r="M3528" t="b">
        <v>0</v>
      </c>
      <c r="N3528" t="inlineStr">
        <is>
          <t>alt</t>
        </is>
      </c>
      <c r="O3528" t="n">
        <v>100</v>
      </c>
      <c r="P3528" t="n">
        <v>0.00359</v>
      </c>
      <c r="Q3528" t="n">
        <v>100</v>
      </c>
      <c r="R3528" t="n">
        <v>0.07056</v>
      </c>
      <c r="S3528">
        <f>IMAGE("https://mitra.stanford.edu/kundaje/oak/projects/neuro-variants/variant_position/credible/roussos_2024/variant_figures/roussos_2024.adolescence.GLU/rs2857504_count_position.png",4,220,900)</f>
        <v/>
      </c>
      <c r="T3528">
        <f>IMAGE("https://mitra.stanford.edu/kundaje/oak/projects/neuro-variants/variant_position/credible/roussos_2024/variant_figures/roussos_2024.adolescence.GLU/rs2857504_profile_position.png",4,220,900)</f>
        <v/>
      </c>
    </row>
    <row r="3529">
      <c r="A3529" t="inlineStr">
        <is>
          <t>chr6</t>
        </is>
      </c>
      <c r="B3529" t="n">
        <v>50842827</v>
      </c>
      <c r="C3529" t="inlineStr">
        <is>
          <t>T</t>
        </is>
      </c>
      <c r="D3529" t="inlineStr">
        <is>
          <t>C</t>
        </is>
      </c>
      <c r="E3529" t="inlineStr">
        <is>
          <t>rs2245173</t>
        </is>
      </c>
      <c r="F3529" t="n">
        <v>0.06556874339999989</v>
      </c>
      <c r="G3529" t="n">
        <v>0.0297851741487716</v>
      </c>
      <c r="H3529" t="n">
        <v>0.0147072205178445</v>
      </c>
      <c r="I3529" t="n">
        <v>0.1812702299199035</v>
      </c>
      <c r="J3529" t="n">
        <v>0.6246422473226597</v>
      </c>
      <c r="K3529" t="n">
        <v>0.0301790639284414</v>
      </c>
      <c r="L3529" t="b">
        <v>0</v>
      </c>
      <c r="M3529" t="b">
        <v>0</v>
      </c>
      <c r="N3529" t="inlineStr">
        <is>
          <t>alt</t>
        </is>
      </c>
      <c r="O3529" t="n">
        <v>45</v>
      </c>
      <c r="P3529" t="n">
        <v>0.00304</v>
      </c>
      <c r="Q3529" t="n">
        <v>90</v>
      </c>
      <c r="R3529" t="n">
        <v>0.1566</v>
      </c>
      <c r="S3529">
        <f>IMAGE("https://mitra.stanford.edu/kundaje/oak/projects/neuro-variants/variant_position/credible/roussos_2024/variant_figures/roussos_2024.adolescence.GLU/rs2245173_count_position.png",4,220,900)</f>
        <v/>
      </c>
      <c r="T3529">
        <f>IMAGE("https://mitra.stanford.edu/kundaje/oak/projects/neuro-variants/variant_position/credible/roussos_2024/variant_figures/roussos_2024.adolescence.GLU/rs2245173_profile_position.png",4,220,900)</f>
        <v/>
      </c>
    </row>
    <row r="3530">
      <c r="A3530" t="inlineStr">
        <is>
          <t>chr6</t>
        </is>
      </c>
      <c r="B3530" t="n">
        <v>50843402</v>
      </c>
      <c r="C3530" t="inlineStr">
        <is>
          <t>A</t>
        </is>
      </c>
      <c r="D3530" t="inlineStr">
        <is>
          <t>T</t>
        </is>
      </c>
      <c r="E3530" t="inlineStr">
        <is>
          <t>rs2857513</t>
        </is>
      </c>
      <c r="F3530" t="n">
        <v>0.004576743417</v>
      </c>
      <c r="G3530" t="n">
        <v>0.7130029547841381</v>
      </c>
      <c r="H3530" t="n">
        <v>0.0178829207983416</v>
      </c>
      <c r="I3530" t="n">
        <v>0.08835812495932439</v>
      </c>
      <c r="J3530" t="n">
        <v>0.6671353351765723</v>
      </c>
      <c r="K3530" t="n">
        <v>0.020144582714606</v>
      </c>
      <c r="L3530" t="b">
        <v>0</v>
      </c>
      <c r="M3530" t="b">
        <v>0</v>
      </c>
      <c r="N3530" t="inlineStr">
        <is>
          <t>alt</t>
        </is>
      </c>
      <c r="O3530" t="n">
        <v>65</v>
      </c>
      <c r="P3530" t="n">
        <v>0.00891</v>
      </c>
      <c r="Q3530" t="n">
        <v>-100</v>
      </c>
      <c r="R3530" t="n">
        <v>0.2715</v>
      </c>
      <c r="S3530">
        <f>IMAGE("https://mitra.stanford.edu/kundaje/oak/projects/neuro-variants/variant_position/credible/roussos_2024/variant_figures/roussos_2024.adolescence.GLU/rs2857513_count_position.png",4,220,900)</f>
        <v/>
      </c>
      <c r="T3530">
        <f>IMAGE("https://mitra.stanford.edu/kundaje/oak/projects/neuro-variants/variant_position/credible/roussos_2024/variant_figures/roussos_2024.adolescence.GLU/rs2857513_profile_position.png",4,220,900)</f>
        <v/>
      </c>
    </row>
    <row r="3531">
      <c r="A3531" t="inlineStr">
        <is>
          <t>chr6</t>
        </is>
      </c>
      <c r="B3531" t="n">
        <v>50846914</v>
      </c>
      <c r="C3531" t="inlineStr">
        <is>
          <t>C</t>
        </is>
      </c>
      <c r="D3531" t="inlineStr">
        <is>
          <t>A</t>
        </is>
      </c>
      <c r="E3531" t="inlineStr">
        <is>
          <t>rs13195969</t>
        </is>
      </c>
      <c r="F3531" t="n">
        <v>0.0581855879999999</v>
      </c>
      <c r="G3531" t="n">
        <v>0.044678124635117</v>
      </c>
      <c r="H3531" t="n">
        <v>0.0304513351510418</v>
      </c>
      <c r="I3531" t="n">
        <v>0.009523725725401701</v>
      </c>
      <c r="J3531" t="n">
        <v>0.4202713419208265</v>
      </c>
      <c r="K3531" t="n">
        <v>0.149071062790708</v>
      </c>
      <c r="L3531" t="b">
        <v>1</v>
      </c>
      <c r="M3531" t="b">
        <v>1</v>
      </c>
      <c r="N3531" t="inlineStr">
        <is>
          <t>alt</t>
        </is>
      </c>
      <c r="O3531" t="n">
        <v>95</v>
      </c>
      <c r="P3531" t="n">
        <v>0.002735</v>
      </c>
      <c r="Q3531" t="n">
        <v>100</v>
      </c>
      <c r="R3531" t="n">
        <v>0.02023</v>
      </c>
      <c r="S3531">
        <f>IMAGE("https://mitra.stanford.edu/kundaje/oak/projects/neuro-variants/variant_position/credible/roussos_2024/variant_figures/roussos_2024.adolescence.GLU/rs13195969_count_position.png",4,220,900)</f>
        <v/>
      </c>
      <c r="T3531">
        <f>IMAGE("https://mitra.stanford.edu/kundaje/oak/projects/neuro-variants/variant_position/credible/roussos_2024/variant_figures/roussos_2024.adolescence.GLU/rs13195969_profile_position.png",4,220,900)</f>
        <v/>
      </c>
    </row>
    <row r="3532">
      <c r="A3532" t="inlineStr">
        <is>
          <t>chr6</t>
        </is>
      </c>
      <c r="B3532" t="n">
        <v>50847801</v>
      </c>
      <c r="C3532" t="inlineStr">
        <is>
          <t>T</t>
        </is>
      </c>
      <c r="D3532" t="inlineStr">
        <is>
          <t>A</t>
        </is>
      </c>
      <c r="E3532" t="inlineStr">
        <is>
          <t>rs56240592</t>
        </is>
      </c>
      <c r="F3532" t="n">
        <v>-0.0091109757399999</v>
      </c>
      <c r="G3532" t="n">
        <v>0.5754720113091152</v>
      </c>
      <c r="H3532" t="n">
        <v>0.0297698160424357</v>
      </c>
      <c r="I3532" t="n">
        <v>0.0090930710768885</v>
      </c>
      <c r="J3532" t="n">
        <v>0.2360146030249122</v>
      </c>
      <c r="K3532" t="n">
        <v>0.3486026958231785</v>
      </c>
      <c r="L3532" t="b">
        <v>1</v>
      </c>
      <c r="M3532" t="b">
        <v>1</v>
      </c>
      <c r="N3532" t="inlineStr">
        <is>
          <t>ref</t>
        </is>
      </c>
      <c r="O3532" t="n">
        <v>-25</v>
      </c>
      <c r="P3532" t="n">
        <v>0.003662</v>
      </c>
      <c r="Q3532" t="n">
        <v>-15</v>
      </c>
      <c r="R3532" t="n">
        <v>0.03021</v>
      </c>
      <c r="S3532">
        <f>IMAGE("https://mitra.stanford.edu/kundaje/oak/projects/neuro-variants/variant_position/credible/roussos_2024/variant_figures/roussos_2024.adolescence.GLU/rs56240592_count_position.png",4,220,900)</f>
        <v/>
      </c>
      <c r="T3532">
        <f>IMAGE("https://mitra.stanford.edu/kundaje/oak/projects/neuro-variants/variant_position/credible/roussos_2024/variant_figures/roussos_2024.adolescence.GLU/rs56240592_profile_position.png",4,220,900)</f>
        <v/>
      </c>
    </row>
    <row r="3533">
      <c r="A3533" t="inlineStr">
        <is>
          <t>chr6</t>
        </is>
      </c>
      <c r="B3533" t="n">
        <v>50854368</v>
      </c>
      <c r="C3533" t="inlineStr">
        <is>
          <t>C</t>
        </is>
      </c>
      <c r="D3533" t="inlineStr">
        <is>
          <t>T</t>
        </is>
      </c>
      <c r="E3533" t="inlineStr">
        <is>
          <t>rs9463650</t>
        </is>
      </c>
      <c r="F3533" t="n">
        <v>-0.0005496319799999</v>
      </c>
      <c r="G3533" t="n">
        <v>0.8513969245241799</v>
      </c>
      <c r="H3533" t="n">
        <v>0.0091730566244312</v>
      </c>
      <c r="I3533" t="n">
        <v>0.6265828773597686</v>
      </c>
      <c r="J3533" t="n">
        <v>0.1309371226896999</v>
      </c>
      <c r="K3533" t="n">
        <v>0.5177261868678614</v>
      </c>
      <c r="L3533" t="b">
        <v>0</v>
      </c>
      <c r="M3533" t="b">
        <v>0</v>
      </c>
      <c r="N3533" t="inlineStr">
        <is>
          <t>ref</t>
        </is>
      </c>
      <c r="O3533" t="n">
        <v>-95</v>
      </c>
      <c r="P3533" t="n">
        <v>0.01073</v>
      </c>
      <c r="Q3533" t="n">
        <v>-100</v>
      </c>
      <c r="R3533" t="n">
        <v>0.09064</v>
      </c>
      <c r="S3533">
        <f>IMAGE("https://mitra.stanford.edu/kundaje/oak/projects/neuro-variants/variant_position/credible/roussos_2024/variant_figures/roussos_2024.adolescence.GLU/rs9463650_count_position.png",4,220,900)</f>
        <v/>
      </c>
      <c r="T3533">
        <f>IMAGE("https://mitra.stanford.edu/kundaje/oak/projects/neuro-variants/variant_position/credible/roussos_2024/variant_figures/roussos_2024.adolescence.GLU/rs9463650_profile_position.png",4,220,900)</f>
        <v/>
      </c>
    </row>
    <row r="3534">
      <c r="A3534" t="inlineStr">
        <is>
          <t>chr6</t>
        </is>
      </c>
      <c r="B3534" t="n">
        <v>50934857</v>
      </c>
      <c r="C3534" t="inlineStr">
        <is>
          <t>T</t>
        </is>
      </c>
      <c r="D3534" t="inlineStr">
        <is>
          <t>A</t>
        </is>
      </c>
      <c r="E3534" t="inlineStr">
        <is>
          <t>rs9463664</t>
        </is>
      </c>
      <c r="F3534" t="n">
        <v>0.00274101238</v>
      </c>
      <c r="G3534" t="n">
        <v>0.5424924104617143</v>
      </c>
      <c r="H3534" t="n">
        <v>0.009966633452256299</v>
      </c>
      <c r="I3534" t="n">
        <v>0.5190764392831401</v>
      </c>
      <c r="J3534" t="n">
        <v>0.0322838302219745</v>
      </c>
      <c r="K3534" t="n">
        <v>0.7743429398771773</v>
      </c>
      <c r="L3534" t="b">
        <v>0</v>
      </c>
      <c r="M3534" t="b">
        <v>0</v>
      </c>
      <c r="N3534" t="inlineStr">
        <is>
          <t>alt</t>
        </is>
      </c>
      <c r="O3534" t="n">
        <v>100</v>
      </c>
      <c r="P3534" t="n">
        <v>0.008865</v>
      </c>
      <c r="Q3534" t="n">
        <v>-95</v>
      </c>
      <c r="R3534" t="n">
        <v>0.0866</v>
      </c>
      <c r="S3534">
        <f>IMAGE("https://mitra.stanford.edu/kundaje/oak/projects/neuro-variants/variant_position/credible/roussos_2024/variant_figures/roussos_2024.adolescence.GLU/rs9463664_count_position.png",4,220,900)</f>
        <v/>
      </c>
      <c r="T3534">
        <f>IMAGE("https://mitra.stanford.edu/kundaje/oak/projects/neuro-variants/variant_position/credible/roussos_2024/variant_figures/roussos_2024.adolescence.GLU/rs9463664_profile_position.png",4,220,900)</f>
        <v/>
      </c>
    </row>
    <row r="3535">
      <c r="A3535" t="inlineStr">
        <is>
          <t>chr6</t>
        </is>
      </c>
      <c r="B3535" t="n">
        <v>50956814</v>
      </c>
      <c r="C3535" t="inlineStr">
        <is>
          <t>T</t>
        </is>
      </c>
      <c r="D3535" t="inlineStr">
        <is>
          <t>G</t>
        </is>
      </c>
      <c r="E3535" t="inlineStr">
        <is>
          <t>rs2894780</t>
        </is>
      </c>
      <c r="F3535" t="n">
        <v>0.0316703488</v>
      </c>
      <c r="G3535" t="n">
        <v>0.1549371886120557</v>
      </c>
      <c r="H3535" t="n">
        <v>0.011834840810795</v>
      </c>
      <c r="I3535" t="n">
        <v>0.3414640746741221</v>
      </c>
      <c r="J3535" t="n">
        <v>0.2249580270198826</v>
      </c>
      <c r="K3535" t="n">
        <v>0.3677527506414179</v>
      </c>
      <c r="L3535" t="b">
        <v>0</v>
      </c>
      <c r="M3535" t="b">
        <v>0</v>
      </c>
      <c r="N3535" t="inlineStr">
        <is>
          <t>alt</t>
        </is>
      </c>
      <c r="O3535" t="n">
        <v>-20</v>
      </c>
      <c r="P3535" t="n">
        <v>0.003357</v>
      </c>
      <c r="Q3535" t="n">
        <v>-45</v>
      </c>
      <c r="R3535" t="n">
        <v>0.01538</v>
      </c>
      <c r="S3535">
        <f>IMAGE("https://mitra.stanford.edu/kundaje/oak/projects/neuro-variants/variant_position/credible/roussos_2024/variant_figures/roussos_2024.adolescence.GLU/rs2894780_count_position.png",4,220,900)</f>
        <v/>
      </c>
      <c r="T3535">
        <f>IMAGE("https://mitra.stanford.edu/kundaje/oak/projects/neuro-variants/variant_position/credible/roussos_2024/variant_figures/roussos_2024.adolescence.GLU/rs2894780_profile_position.png",4,220,900)</f>
        <v/>
      </c>
    </row>
    <row r="3536">
      <c r="A3536" t="inlineStr">
        <is>
          <t>chr6</t>
        </is>
      </c>
      <c r="B3536" t="n">
        <v>63416275</v>
      </c>
      <c r="C3536" t="inlineStr">
        <is>
          <t>T</t>
        </is>
      </c>
      <c r="D3536" t="inlineStr">
        <is>
          <t>C</t>
        </is>
      </c>
      <c r="E3536" t="inlineStr">
        <is>
          <t>rs9341835</t>
        </is>
      </c>
      <c r="F3536" t="n">
        <v>-0.0134007538</v>
      </c>
      <c r="G3536" t="n">
        <v>0.4338864357978201</v>
      </c>
      <c r="H3536" t="n">
        <v>0.0142510429756271</v>
      </c>
      <c r="I3536" t="n">
        <v>0.1957897646578551</v>
      </c>
      <c r="J3536" t="n">
        <v>0.1160611841024211</v>
      </c>
      <c r="K3536" t="n">
        <v>0.5394234865847001</v>
      </c>
      <c r="L3536" t="b">
        <v>0</v>
      </c>
      <c r="M3536" t="b">
        <v>0</v>
      </c>
      <c r="N3536" t="inlineStr">
        <is>
          <t>ref</t>
        </is>
      </c>
      <c r="O3536" t="n">
        <v>-70</v>
      </c>
      <c r="P3536" t="n">
        <v>0.04922</v>
      </c>
      <c r="Q3536" t="n">
        <v>-65</v>
      </c>
      <c r="R3536" t="n">
        <v>0.06177</v>
      </c>
      <c r="S3536">
        <f>IMAGE("https://mitra.stanford.edu/kundaje/oak/projects/neuro-variants/variant_position/credible/roussos_2024/variant_figures/roussos_2024.adolescence.GLU/rs9341835_count_position.png",4,220,900)</f>
        <v/>
      </c>
      <c r="T3536">
        <f>IMAGE("https://mitra.stanford.edu/kundaje/oak/projects/neuro-variants/variant_position/credible/roussos_2024/variant_figures/roussos_2024.adolescence.GLU/rs9341835_profile_position.png",4,220,900)</f>
        <v/>
      </c>
    </row>
    <row r="3537">
      <c r="A3537" t="inlineStr">
        <is>
          <t>chr6</t>
        </is>
      </c>
      <c r="B3537" t="n">
        <v>63442896</v>
      </c>
      <c r="C3537" t="inlineStr">
        <is>
          <t>C</t>
        </is>
      </c>
      <c r="D3537" t="inlineStr">
        <is>
          <t>T</t>
        </is>
      </c>
      <c r="E3537" t="inlineStr">
        <is>
          <t>rs9344129</t>
        </is>
      </c>
      <c r="F3537" t="n">
        <v>-0.039877863</v>
      </c>
      <c r="G3537" t="n">
        <v>0.1131538414675654</v>
      </c>
      <c r="H3537" t="n">
        <v>0.0111619765607208</v>
      </c>
      <c r="I3537" t="n">
        <v>0.3953235943630243</v>
      </c>
      <c r="J3537" t="n">
        <v>0.5836637589214908</v>
      </c>
      <c r="K3537" t="n">
        <v>0.0436907579402567</v>
      </c>
      <c r="L3537" t="b">
        <v>0</v>
      </c>
      <c r="M3537" t="b">
        <v>0</v>
      </c>
      <c r="N3537" t="inlineStr">
        <is>
          <t>ref</t>
        </is>
      </c>
      <c r="O3537" t="n">
        <v>15</v>
      </c>
      <c r="P3537" t="n">
        <v>6.294e-05</v>
      </c>
      <c r="Q3537" t="n">
        <v>15</v>
      </c>
      <c r="R3537" t="n">
        <v>0.009220000000000001</v>
      </c>
      <c r="S3537">
        <f>IMAGE("https://mitra.stanford.edu/kundaje/oak/projects/neuro-variants/variant_position/credible/roussos_2024/variant_figures/roussos_2024.adolescence.GLU/rs9344129_count_position.png",4,220,900)</f>
        <v/>
      </c>
      <c r="T3537">
        <f>IMAGE("https://mitra.stanford.edu/kundaje/oak/projects/neuro-variants/variant_position/credible/roussos_2024/variant_figures/roussos_2024.adolescence.GLU/rs9344129_profile_position.png",4,220,900)</f>
        <v/>
      </c>
    </row>
    <row r="3538">
      <c r="A3538" t="inlineStr">
        <is>
          <t>chr6</t>
        </is>
      </c>
      <c r="B3538" t="n">
        <v>63481681</v>
      </c>
      <c r="C3538" t="inlineStr">
        <is>
          <t>T</t>
        </is>
      </c>
      <c r="D3538" t="inlineStr">
        <is>
          <t>C</t>
        </is>
      </c>
      <c r="E3538" t="inlineStr">
        <is>
          <t>rs10943823</t>
        </is>
      </c>
      <c r="F3538" t="n">
        <v>0.0173594869</v>
      </c>
      <c r="G3538" t="n">
        <v>0.3344067925753287</v>
      </c>
      <c r="H3538" t="n">
        <v>0.0262546831612415</v>
      </c>
      <c r="I3538" t="n">
        <v>0.0178404233595041</v>
      </c>
      <c r="J3538" t="n">
        <v>0.1377471047574139</v>
      </c>
      <c r="K3538" t="n">
        <v>0.4985793943955542</v>
      </c>
      <c r="L3538" t="b">
        <v>1</v>
      </c>
      <c r="M3538" t="b">
        <v>0</v>
      </c>
      <c r="N3538" t="inlineStr">
        <is>
          <t>alt</t>
        </is>
      </c>
      <c r="O3538" t="n">
        <v>-95</v>
      </c>
      <c r="P3538" t="n">
        <v>0.01822</v>
      </c>
      <c r="Q3538" t="n">
        <v>35</v>
      </c>
      <c r="R3538" t="n">
        <v>0.0509</v>
      </c>
      <c r="S3538">
        <f>IMAGE("https://mitra.stanford.edu/kundaje/oak/projects/neuro-variants/variant_position/credible/roussos_2024/variant_figures/roussos_2024.adolescence.GLU/rs10943823_count_position.png",4,220,900)</f>
        <v/>
      </c>
      <c r="T3538">
        <f>IMAGE("https://mitra.stanford.edu/kundaje/oak/projects/neuro-variants/variant_position/credible/roussos_2024/variant_figures/roussos_2024.adolescence.GLU/rs10943823_profile_position.png",4,220,900)</f>
        <v/>
      </c>
    </row>
    <row r="3539">
      <c r="A3539" t="inlineStr">
        <is>
          <t>chr6</t>
        </is>
      </c>
      <c r="B3539" t="n">
        <v>72433995</v>
      </c>
      <c r="C3539" t="inlineStr">
        <is>
          <t>A</t>
        </is>
      </c>
      <c r="D3539" t="inlineStr">
        <is>
          <t>C</t>
        </is>
      </c>
      <c r="E3539" t="inlineStr">
        <is>
          <t>rs2789588</t>
        </is>
      </c>
      <c r="F3539" t="n">
        <v>-0.0007995185843999</v>
      </c>
      <c r="G3539" t="n">
        <v>0.3816799349449214</v>
      </c>
      <c r="H3539" t="n">
        <v>0.0096677243649905</v>
      </c>
      <c r="I3539" t="n">
        <v>0.5632148354907169</v>
      </c>
      <c r="J3539" t="n">
        <v>0.1688535482349915</v>
      </c>
      <c r="K3539" t="n">
        <v>0.4367536032657421</v>
      </c>
      <c r="L3539" t="b">
        <v>0</v>
      </c>
      <c r="M3539" t="b">
        <v>0</v>
      </c>
      <c r="N3539" t="inlineStr">
        <is>
          <t>ref</t>
        </is>
      </c>
      <c r="O3539" t="n">
        <v>45</v>
      </c>
      <c r="P3539" t="n">
        <v>0.006172</v>
      </c>
      <c r="Q3539" t="n">
        <v>-60</v>
      </c>
      <c r="R3539" t="n">
        <v>0.0166</v>
      </c>
      <c r="S3539">
        <f>IMAGE("https://mitra.stanford.edu/kundaje/oak/projects/neuro-variants/variant_position/credible/roussos_2024/variant_figures/roussos_2024.adolescence.GLU/rs2789588_count_position.png",4,220,900)</f>
        <v/>
      </c>
      <c r="T3539">
        <f>IMAGE("https://mitra.stanford.edu/kundaje/oak/projects/neuro-variants/variant_position/credible/roussos_2024/variant_figures/roussos_2024.adolescence.GLU/rs2789588_profile_position.png",4,220,900)</f>
        <v/>
      </c>
    </row>
    <row r="3540">
      <c r="A3540" t="inlineStr">
        <is>
          <t>chr6</t>
        </is>
      </c>
      <c r="B3540" t="n">
        <v>72448224</v>
      </c>
      <c r="C3540" t="inlineStr">
        <is>
          <t>C</t>
        </is>
      </c>
      <c r="D3540" t="inlineStr">
        <is>
          <t>A</t>
        </is>
      </c>
      <c r="E3540" t="inlineStr">
        <is>
          <t>rs1856507</t>
        </is>
      </c>
      <c r="F3540" t="n">
        <v>0.0475721931999999</v>
      </c>
      <c r="G3540" t="n">
        <v>0.0784012675616116</v>
      </c>
      <c r="H3540" t="n">
        <v>0.0135833223498656</v>
      </c>
      <c r="I3540" t="n">
        <v>0.2405243929942354</v>
      </c>
      <c r="J3540" t="n">
        <v>0.0901543891234612</v>
      </c>
      <c r="K3540" t="n">
        <v>0.5913501012220002</v>
      </c>
      <c r="L3540" t="b">
        <v>0</v>
      </c>
      <c r="M3540" t="b">
        <v>0</v>
      </c>
      <c r="N3540" t="inlineStr">
        <is>
          <t>alt</t>
        </is>
      </c>
      <c r="O3540" t="n">
        <v>-90</v>
      </c>
      <c r="P3540" t="n">
        <v>0.00548</v>
      </c>
      <c r="Q3540" t="n">
        <v>50</v>
      </c>
      <c r="R3540" t="n">
        <v>0.04877</v>
      </c>
      <c r="S3540">
        <f>IMAGE("https://mitra.stanford.edu/kundaje/oak/projects/neuro-variants/variant_position/credible/roussos_2024/variant_figures/roussos_2024.adolescence.GLU/rs1856507_count_position.png",4,220,900)</f>
        <v/>
      </c>
      <c r="T3540">
        <f>IMAGE("https://mitra.stanford.edu/kundaje/oak/projects/neuro-variants/variant_position/credible/roussos_2024/variant_figures/roussos_2024.adolescence.GLU/rs1856507_profile_position.png",4,220,900)</f>
        <v/>
      </c>
    </row>
    <row r="3541">
      <c r="A3541" t="inlineStr">
        <is>
          <t>chr6</t>
        </is>
      </c>
      <c r="B3541" t="n">
        <v>83582853</v>
      </c>
      <c r="C3541" t="inlineStr">
        <is>
          <t>C</t>
        </is>
      </c>
      <c r="D3541" t="inlineStr">
        <is>
          <t>T</t>
        </is>
      </c>
      <c r="E3541" t="inlineStr">
        <is>
          <t>rs2023569</t>
        </is>
      </c>
      <c r="F3541" t="n">
        <v>-0.0429856626</v>
      </c>
      <c r="G3541" t="n">
        <v>0.09786858418462881</v>
      </c>
      <c r="H3541" t="n">
        <v>0.0110797246808852</v>
      </c>
      <c r="I3541" t="n">
        <v>0.4129056769188913</v>
      </c>
      <c r="J3541" t="n">
        <v>0.0987475977166698</v>
      </c>
      <c r="K3541" t="n">
        <v>0.5792713854190424</v>
      </c>
      <c r="L3541" t="b">
        <v>0</v>
      </c>
      <c r="M3541" t="b">
        <v>0</v>
      </c>
      <c r="N3541" t="inlineStr">
        <is>
          <t>ref</t>
        </is>
      </c>
      <c r="O3541" t="n">
        <v>-65</v>
      </c>
      <c r="P3541" t="n">
        <v>0.004147</v>
      </c>
      <c r="Q3541" t="n">
        <v>95</v>
      </c>
      <c r="R3541" t="n">
        <v>0.0125</v>
      </c>
      <c r="S3541">
        <f>IMAGE("https://mitra.stanford.edu/kundaje/oak/projects/neuro-variants/variant_position/credible/roussos_2024/variant_figures/roussos_2024.adolescence.GLU/rs2023569_count_position.png",4,220,900)</f>
        <v/>
      </c>
      <c r="T3541">
        <f>IMAGE("https://mitra.stanford.edu/kundaje/oak/projects/neuro-variants/variant_position/credible/roussos_2024/variant_figures/roussos_2024.adolescence.GLU/rs2023569_profile_position.png",4,220,900)</f>
        <v/>
      </c>
    </row>
    <row r="3542">
      <c r="A3542" t="inlineStr">
        <is>
          <t>chr6</t>
        </is>
      </c>
      <c r="B3542" t="n">
        <v>83583552</v>
      </c>
      <c r="C3542" t="inlineStr">
        <is>
          <t>A</t>
        </is>
      </c>
      <c r="D3542" t="inlineStr">
        <is>
          <t>G</t>
        </is>
      </c>
      <c r="E3542" t="inlineStr">
        <is>
          <t>rs2022265</t>
        </is>
      </c>
      <c r="F3542" t="n">
        <v>0.032128628</v>
      </c>
      <c r="G3542" t="n">
        <v>0.1518347150554507</v>
      </c>
      <c r="H3542" t="n">
        <v>0.0140929975953763</v>
      </c>
      <c r="I3542" t="n">
        <v>0.21435948673715</v>
      </c>
      <c r="J3542" t="n">
        <v>0.1671517671517671</v>
      </c>
      <c r="K3542" t="n">
        <v>0.4505376689078747</v>
      </c>
      <c r="L3542" t="b">
        <v>0</v>
      </c>
      <c r="M3542" t="b">
        <v>0</v>
      </c>
      <c r="N3542" t="inlineStr">
        <is>
          <t>alt</t>
        </is>
      </c>
      <c r="O3542" t="n">
        <v>55</v>
      </c>
      <c r="P3542" t="n">
        <v>0.012825</v>
      </c>
      <c r="Q3542" t="n">
        <v>60</v>
      </c>
      <c r="R3542" t="n">
        <v>0.063</v>
      </c>
      <c r="S3542">
        <f>IMAGE("https://mitra.stanford.edu/kundaje/oak/projects/neuro-variants/variant_position/credible/roussos_2024/variant_figures/roussos_2024.adolescence.GLU/rs2022265_count_position.png",4,220,900)</f>
        <v/>
      </c>
      <c r="T3542">
        <f>IMAGE("https://mitra.stanford.edu/kundaje/oak/projects/neuro-variants/variant_position/credible/roussos_2024/variant_figures/roussos_2024.adolescence.GLU/rs2022265_profile_position.png",4,220,900)</f>
        <v/>
      </c>
    </row>
    <row r="3543">
      <c r="A3543" t="inlineStr">
        <is>
          <t>chr6</t>
        </is>
      </c>
      <c r="B3543" t="n">
        <v>83585701</v>
      </c>
      <c r="C3543" t="inlineStr">
        <is>
          <t>G</t>
        </is>
      </c>
      <c r="D3543" t="inlineStr">
        <is>
          <t>A</t>
        </is>
      </c>
      <c r="E3543" t="inlineStr">
        <is>
          <t>rs2208335</t>
        </is>
      </c>
      <c r="F3543" t="n">
        <v>0.0172944488</v>
      </c>
      <c r="G3543" t="n">
        <v>0.2128352574874542</v>
      </c>
      <c r="H3543" t="n">
        <v>0.0163345331849734</v>
      </c>
      <c r="I3543" t="n">
        <v>0.1503345249861026</v>
      </c>
      <c r="J3543" t="n">
        <v>0.0480971058290645</v>
      </c>
      <c r="K3543" t="n">
        <v>0.7016236977829964</v>
      </c>
      <c r="L3543" t="b">
        <v>0</v>
      </c>
      <c r="M3543" t="b">
        <v>0</v>
      </c>
      <c r="N3543" t="inlineStr">
        <is>
          <t>alt</t>
        </is>
      </c>
      <c r="O3543" t="n">
        <v>100</v>
      </c>
      <c r="P3543" t="n">
        <v>0.08215</v>
      </c>
      <c r="Q3543" t="n">
        <v>-100</v>
      </c>
      <c r="R3543" t="n">
        <v>0.04034</v>
      </c>
      <c r="S3543">
        <f>IMAGE("https://mitra.stanford.edu/kundaje/oak/projects/neuro-variants/variant_position/credible/roussos_2024/variant_figures/roussos_2024.adolescence.GLU/rs2208335_count_position.png",4,220,900)</f>
        <v/>
      </c>
      <c r="T3543">
        <f>IMAGE("https://mitra.stanford.edu/kundaje/oak/projects/neuro-variants/variant_position/credible/roussos_2024/variant_figures/roussos_2024.adolescence.GLU/rs2208335_profile_position.png",4,220,900)</f>
        <v/>
      </c>
    </row>
    <row r="3544">
      <c r="A3544" t="inlineStr">
        <is>
          <t>chr6</t>
        </is>
      </c>
      <c r="B3544" t="n">
        <v>83590652</v>
      </c>
      <c r="C3544" t="inlineStr">
        <is>
          <t>C</t>
        </is>
      </c>
      <c r="D3544" t="inlineStr">
        <is>
          <t>T</t>
        </is>
      </c>
      <c r="E3544" t="inlineStr">
        <is>
          <t>rs2324447</t>
        </is>
      </c>
      <c r="F3544" t="n">
        <v>-0.0481791298</v>
      </c>
      <c r="G3544" t="n">
        <v>0.0758166927715232</v>
      </c>
      <c r="H3544" t="n">
        <v>0.0129720863615261</v>
      </c>
      <c r="I3544" t="n">
        <v>0.2832579477641084</v>
      </c>
      <c r="J3544" t="n">
        <v>0.0410942266612369</v>
      </c>
      <c r="K3544" t="n">
        <v>0.7268688019127361</v>
      </c>
      <c r="L3544" t="b">
        <v>0</v>
      </c>
      <c r="M3544" t="b">
        <v>0</v>
      </c>
      <c r="N3544" t="inlineStr">
        <is>
          <t>ref</t>
        </is>
      </c>
      <c r="O3544" t="n">
        <v>5</v>
      </c>
      <c r="P3544" t="n">
        <v>0.002014</v>
      </c>
      <c r="Q3544" t="n">
        <v>65</v>
      </c>
      <c r="R3544" t="n">
        <v>0.0326</v>
      </c>
      <c r="S3544">
        <f>IMAGE("https://mitra.stanford.edu/kundaje/oak/projects/neuro-variants/variant_position/credible/roussos_2024/variant_figures/roussos_2024.adolescence.GLU/rs2324447_count_position.png",4,220,900)</f>
        <v/>
      </c>
      <c r="T3544">
        <f>IMAGE("https://mitra.stanford.edu/kundaje/oak/projects/neuro-variants/variant_position/credible/roussos_2024/variant_figures/roussos_2024.adolescence.GLU/rs2324447_profile_position.png",4,220,900)</f>
        <v/>
      </c>
    </row>
    <row r="3545">
      <c r="A3545" t="inlineStr">
        <is>
          <t>chr6</t>
        </is>
      </c>
      <c r="B3545" t="n">
        <v>83597609</v>
      </c>
      <c r="C3545" t="inlineStr">
        <is>
          <t>T</t>
        </is>
      </c>
      <c r="D3545" t="inlineStr">
        <is>
          <t>C</t>
        </is>
      </c>
      <c r="E3545" t="inlineStr">
        <is>
          <t>rs2207944</t>
        </is>
      </c>
      <c r="F3545" t="n">
        <v>-0.002682601206</v>
      </c>
      <c r="G3545" t="n">
        <v>0.8455212669148487</v>
      </c>
      <c r="H3545" t="n">
        <v>0.016134323936057</v>
      </c>
      <c r="I3545" t="n">
        <v>0.1330034595864551</v>
      </c>
      <c r="J3545" t="n">
        <v>0.0711618835330174</v>
      </c>
      <c r="K3545" t="n">
        <v>0.6418110432660621</v>
      </c>
      <c r="L3545" t="b">
        <v>0</v>
      </c>
      <c r="M3545" t="b">
        <v>0</v>
      </c>
      <c r="N3545" t="inlineStr">
        <is>
          <t>ref</t>
        </is>
      </c>
      <c r="O3545" t="n">
        <v>-90</v>
      </c>
      <c r="P3545" t="n">
        <v>0.0278</v>
      </c>
      <c r="Q3545" t="n">
        <v>-40</v>
      </c>
      <c r="R3545" t="n">
        <v>0.0216</v>
      </c>
      <c r="S3545">
        <f>IMAGE("https://mitra.stanford.edu/kundaje/oak/projects/neuro-variants/variant_position/credible/roussos_2024/variant_figures/roussos_2024.adolescence.GLU/rs2207944_count_position.png",4,220,900)</f>
        <v/>
      </c>
      <c r="T3545">
        <f>IMAGE("https://mitra.stanford.edu/kundaje/oak/projects/neuro-variants/variant_position/credible/roussos_2024/variant_figures/roussos_2024.adolescence.GLU/rs2207944_profile_position.png",4,220,900)</f>
        <v/>
      </c>
    </row>
    <row r="3546">
      <c r="A3546" t="inlineStr">
        <is>
          <t>chr6</t>
        </is>
      </c>
      <c r="B3546" t="n">
        <v>83634970</v>
      </c>
      <c r="C3546" t="inlineStr">
        <is>
          <t>G</t>
        </is>
      </c>
      <c r="D3546" t="inlineStr">
        <is>
          <t>C</t>
        </is>
      </c>
      <c r="E3546" t="inlineStr">
        <is>
          <t>rs217331</t>
        </is>
      </c>
      <c r="F3546" t="n">
        <v>-0.002458769212</v>
      </c>
      <c r="G3546" t="n">
        <v>0.8777159111731496</v>
      </c>
      <c r="H3546" t="n">
        <v>0.0078668704433118</v>
      </c>
      <c r="I3546" t="n">
        <v>0.8173579048213546</v>
      </c>
      <c r="J3546" t="n">
        <v>0.0447749891048859</v>
      </c>
      <c r="K3546" t="n">
        <v>0.7179337989791061</v>
      </c>
      <c r="L3546" t="b">
        <v>0</v>
      </c>
      <c r="M3546" t="b">
        <v>0</v>
      </c>
      <c r="N3546" t="inlineStr">
        <is>
          <t>ref</t>
        </is>
      </c>
      <c r="O3546" t="n">
        <v>-55</v>
      </c>
      <c r="P3546" t="n">
        <v>0.002022</v>
      </c>
      <c r="Q3546" t="n">
        <v>35</v>
      </c>
      <c r="R3546" t="n">
        <v>0.05118</v>
      </c>
      <c r="S3546">
        <f>IMAGE("https://mitra.stanford.edu/kundaje/oak/projects/neuro-variants/variant_position/credible/roussos_2024/variant_figures/roussos_2024.adolescence.GLU/rs217331_count_position.png",4,220,900)</f>
        <v/>
      </c>
      <c r="T3546">
        <f>IMAGE("https://mitra.stanford.edu/kundaje/oak/projects/neuro-variants/variant_position/credible/roussos_2024/variant_figures/roussos_2024.adolescence.GLU/rs217331_profile_position.png",4,220,900)</f>
        <v/>
      </c>
    </row>
    <row r="3547">
      <c r="A3547" t="inlineStr">
        <is>
          <t>chr6</t>
        </is>
      </c>
      <c r="B3547" t="n">
        <v>83654421</v>
      </c>
      <c r="C3547" t="inlineStr">
        <is>
          <t>C</t>
        </is>
      </c>
      <c r="D3547" t="inlineStr">
        <is>
          <t>T</t>
        </is>
      </c>
      <c r="E3547" t="inlineStr">
        <is>
          <t>rs217311</t>
        </is>
      </c>
      <c r="F3547" t="n">
        <v>-0.007897766400000001</v>
      </c>
      <c r="G3547" t="n">
        <v>0.5637685823898477</v>
      </c>
      <c r="H3547" t="n">
        <v>0.0114399715010999</v>
      </c>
      <c r="I3547" t="n">
        <v>0.3801307031275245</v>
      </c>
      <c r="J3547" t="n">
        <v>0.1819919840538397</v>
      </c>
      <c r="K3547" t="n">
        <v>0.425705179815905</v>
      </c>
      <c r="L3547" t="b">
        <v>0</v>
      </c>
      <c r="M3547" t="b">
        <v>0</v>
      </c>
      <c r="N3547" t="inlineStr">
        <is>
          <t>ref</t>
        </is>
      </c>
      <c r="O3547" t="n">
        <v>100</v>
      </c>
      <c r="P3547" t="n">
        <v>0.002625</v>
      </c>
      <c r="Q3547" t="n">
        <v>-95</v>
      </c>
      <c r="R3547" t="n">
        <v>0.08599999999999999</v>
      </c>
      <c r="S3547">
        <f>IMAGE("https://mitra.stanford.edu/kundaje/oak/projects/neuro-variants/variant_position/credible/roussos_2024/variant_figures/roussos_2024.adolescence.GLU/rs217311_count_position.png",4,220,900)</f>
        <v/>
      </c>
      <c r="T3547">
        <f>IMAGE("https://mitra.stanford.edu/kundaje/oak/projects/neuro-variants/variant_position/credible/roussos_2024/variant_figures/roussos_2024.adolescence.GLU/rs217311_profile_position.png",4,220,900)</f>
        <v/>
      </c>
    </row>
    <row r="3548">
      <c r="A3548" t="inlineStr">
        <is>
          <t>chr6</t>
        </is>
      </c>
      <c r="B3548" t="n">
        <v>83665314</v>
      </c>
      <c r="C3548" t="inlineStr">
        <is>
          <t>G</t>
        </is>
      </c>
      <c r="D3548" t="inlineStr">
        <is>
          <t>A</t>
        </is>
      </c>
      <c r="E3548" t="inlineStr">
        <is>
          <t>rs217303</t>
        </is>
      </c>
      <c r="F3548" t="n">
        <v>-0.07023924500000001</v>
      </c>
      <c r="G3548" t="n">
        <v>0.0269532722274256</v>
      </c>
      <c r="H3548" t="n">
        <v>0.0146005143425298</v>
      </c>
      <c r="I3548" t="n">
        <v>0.1960197271238665</v>
      </c>
      <c r="J3548" t="n">
        <v>0.0254738481542604</v>
      </c>
      <c r="K3548" t="n">
        <v>0.7890918524052046</v>
      </c>
      <c r="L3548" t="b">
        <v>0</v>
      </c>
      <c r="M3548" t="b">
        <v>0</v>
      </c>
      <c r="N3548" t="inlineStr">
        <is>
          <t>ref</t>
        </is>
      </c>
      <c r="O3548" t="n">
        <v>-25</v>
      </c>
      <c r="P3548" t="n">
        <v>0.001572</v>
      </c>
      <c r="Q3548" t="n">
        <v>95</v>
      </c>
      <c r="R3548" t="n">
        <v>0.12256</v>
      </c>
      <c r="S3548">
        <f>IMAGE("https://mitra.stanford.edu/kundaje/oak/projects/neuro-variants/variant_position/credible/roussos_2024/variant_figures/roussos_2024.adolescence.GLU/rs217303_count_position.png",4,220,900)</f>
        <v/>
      </c>
      <c r="T3548">
        <f>IMAGE("https://mitra.stanford.edu/kundaje/oak/projects/neuro-variants/variant_position/credible/roussos_2024/variant_figures/roussos_2024.adolescence.GLU/rs217303_profile_position.png",4,220,900)</f>
        <v/>
      </c>
    </row>
    <row r="3549">
      <c r="A3549" t="inlineStr">
        <is>
          <t>chr6</t>
        </is>
      </c>
      <c r="B3549" t="n">
        <v>83692088</v>
      </c>
      <c r="C3549" t="inlineStr">
        <is>
          <t>G</t>
        </is>
      </c>
      <c r="D3549" t="inlineStr">
        <is>
          <t>A</t>
        </is>
      </c>
      <c r="E3549" t="inlineStr">
        <is>
          <t>rs217289</t>
        </is>
      </c>
      <c r="F3549" t="n">
        <v>0.0334123385999999</v>
      </c>
      <c r="G3549" t="n">
        <v>0.1422619273340022</v>
      </c>
      <c r="H3549" t="n">
        <v>0.0162995412132544</v>
      </c>
      <c r="I3549" t="n">
        <v>0.1275488706606859</v>
      </c>
      <c r="J3549" t="n">
        <v>0.0048267141050645</v>
      </c>
      <c r="K3549" t="n">
        <v>0.9261970451873512</v>
      </c>
      <c r="L3549" t="b">
        <v>0</v>
      </c>
      <c r="M3549" t="b">
        <v>0</v>
      </c>
      <c r="N3549" t="inlineStr">
        <is>
          <t>alt</t>
        </is>
      </c>
      <c r="O3549" t="n">
        <v>-100</v>
      </c>
      <c r="P3549" t="n">
        <v>0.00731</v>
      </c>
      <c r="Q3549" t="n">
        <v>35</v>
      </c>
      <c r="R3549" t="n">
        <v>0.05063</v>
      </c>
      <c r="S3549">
        <f>IMAGE("https://mitra.stanford.edu/kundaje/oak/projects/neuro-variants/variant_position/credible/roussos_2024/variant_figures/roussos_2024.adolescence.GLU/rs217289_count_position.png",4,220,900)</f>
        <v/>
      </c>
      <c r="T3549">
        <f>IMAGE("https://mitra.stanford.edu/kundaje/oak/projects/neuro-variants/variant_position/credible/roussos_2024/variant_figures/roussos_2024.adolescence.GLU/rs217289_profile_position.png",4,220,900)</f>
        <v/>
      </c>
    </row>
    <row r="3550">
      <c r="A3550" t="inlineStr">
        <is>
          <t>chr6</t>
        </is>
      </c>
      <c r="B3550" t="n">
        <v>92391260</v>
      </c>
      <c r="C3550" t="inlineStr">
        <is>
          <t>G</t>
        </is>
      </c>
      <c r="D3550" t="inlineStr">
        <is>
          <t>A</t>
        </is>
      </c>
      <c r="E3550" t="inlineStr">
        <is>
          <t>rs6917686</t>
        </is>
      </c>
      <c r="F3550" t="n">
        <v>-0.00573943306</v>
      </c>
      <c r="G3550" t="n">
        <v>0.6923137285468935</v>
      </c>
      <c r="H3550" t="n">
        <v>0.0203441807000485</v>
      </c>
      <c r="I3550" t="n">
        <v>0.0474796606403589</v>
      </c>
      <c r="J3550" t="n">
        <v>0.0163062348629358</v>
      </c>
      <c r="K3550" t="n">
        <v>0.8418736738287281</v>
      </c>
      <c r="L3550" t="b">
        <v>0</v>
      </c>
      <c r="M3550" t="b">
        <v>0</v>
      </c>
      <c r="N3550" t="inlineStr">
        <is>
          <t>ref</t>
        </is>
      </c>
      <c r="O3550" t="n">
        <v>55</v>
      </c>
      <c r="P3550" t="n">
        <v>0.000931</v>
      </c>
      <c r="Q3550" t="n">
        <v>90</v>
      </c>
      <c r="R3550" t="n">
        <v>0.02835</v>
      </c>
      <c r="S3550">
        <f>IMAGE("https://mitra.stanford.edu/kundaje/oak/projects/neuro-variants/variant_position/credible/roussos_2024/variant_figures/roussos_2024.adolescence.GLU/rs6917686_count_position.png",4,220,900)</f>
        <v/>
      </c>
      <c r="T3550">
        <f>IMAGE("https://mitra.stanford.edu/kundaje/oak/projects/neuro-variants/variant_position/credible/roussos_2024/variant_figures/roussos_2024.adolescence.GLU/rs6917686_profile_position.png",4,220,900)</f>
        <v/>
      </c>
    </row>
    <row r="3551">
      <c r="A3551" t="inlineStr">
        <is>
          <t>chr6</t>
        </is>
      </c>
      <c r="B3551" t="n">
        <v>92391262</v>
      </c>
      <c r="C3551" t="inlineStr">
        <is>
          <t>T</t>
        </is>
      </c>
      <c r="D3551" t="inlineStr">
        <is>
          <t>C</t>
        </is>
      </c>
      <c r="E3551" t="inlineStr">
        <is>
          <t>rs6940316</t>
        </is>
      </c>
      <c r="F3551" t="n">
        <v>0.0005877184</v>
      </c>
      <c r="G3551" t="n">
        <v>0.8859853020080741</v>
      </c>
      <c r="H3551" t="n">
        <v>0.0214086966097725</v>
      </c>
      <c r="I3551" t="n">
        <v>0.0377579165233892</v>
      </c>
      <c r="J3551" t="n">
        <v>0.0165334247808473</v>
      </c>
      <c r="K3551" t="n">
        <v>0.8407001866003085</v>
      </c>
      <c r="L3551" t="b">
        <v>0</v>
      </c>
      <c r="M3551" t="b">
        <v>0</v>
      </c>
      <c r="N3551" t="inlineStr">
        <is>
          <t>alt</t>
        </is>
      </c>
      <c r="O3551" t="n">
        <v>35</v>
      </c>
      <c r="P3551" t="n">
        <v>0.00177</v>
      </c>
      <c r="Q3551" t="n">
        <v>15</v>
      </c>
      <c r="R3551" t="n">
        <v>0.01581</v>
      </c>
      <c r="S3551">
        <f>IMAGE("https://mitra.stanford.edu/kundaje/oak/projects/neuro-variants/variant_position/credible/roussos_2024/variant_figures/roussos_2024.adolescence.GLU/rs6940316_count_position.png",4,220,900)</f>
        <v/>
      </c>
      <c r="T3551">
        <f>IMAGE("https://mitra.stanford.edu/kundaje/oak/projects/neuro-variants/variant_position/credible/roussos_2024/variant_figures/roussos_2024.adolescence.GLU/rs6940316_profile_position.png",4,220,900)</f>
        <v/>
      </c>
    </row>
    <row r="3552">
      <c r="A3552" t="inlineStr">
        <is>
          <t>chr6</t>
        </is>
      </c>
      <c r="B3552" t="n">
        <v>92397226</v>
      </c>
      <c r="C3552" t="inlineStr">
        <is>
          <t>G</t>
        </is>
      </c>
      <c r="D3552" t="inlineStr">
        <is>
          <t>A</t>
        </is>
      </c>
      <c r="E3552" t="inlineStr">
        <is>
          <t>rs12193330</t>
        </is>
      </c>
      <c r="F3552" t="n">
        <v>0.00446951773</v>
      </c>
      <c r="G3552" t="n">
        <v>0.7478055783113721</v>
      </c>
      <c r="H3552" t="n">
        <v>0.0224401235351981</v>
      </c>
      <c r="I3552" t="n">
        <v>0.0352525243240754</v>
      </c>
      <c r="J3552" t="n">
        <v>0.0067656871780582</v>
      </c>
      <c r="K3552" t="n">
        <v>0.9042769700141904</v>
      </c>
      <c r="L3552" t="b">
        <v>0</v>
      </c>
      <c r="M3552" t="b">
        <v>0</v>
      </c>
      <c r="N3552" t="inlineStr">
        <is>
          <t>alt</t>
        </is>
      </c>
      <c r="O3552" t="n">
        <v>35</v>
      </c>
      <c r="P3552" t="n">
        <v>0.00506</v>
      </c>
      <c r="Q3552" t="n">
        <v>-40</v>
      </c>
      <c r="R3552" t="n">
        <v>0.05328</v>
      </c>
      <c r="S3552">
        <f>IMAGE("https://mitra.stanford.edu/kundaje/oak/projects/neuro-variants/variant_position/credible/roussos_2024/variant_figures/roussos_2024.adolescence.GLU/rs12193330_count_position.png",4,220,900)</f>
        <v/>
      </c>
      <c r="T3552">
        <f>IMAGE("https://mitra.stanford.edu/kundaje/oak/projects/neuro-variants/variant_position/credible/roussos_2024/variant_figures/roussos_2024.adolescence.GLU/rs12193330_profile_position.png",4,220,900)</f>
        <v/>
      </c>
    </row>
    <row r="3553">
      <c r="A3553" t="inlineStr">
        <is>
          <t>chr6</t>
        </is>
      </c>
      <c r="B3553" t="n">
        <v>92404307</v>
      </c>
      <c r="C3553" t="inlineStr">
        <is>
          <t>C</t>
        </is>
      </c>
      <c r="D3553" t="inlineStr">
        <is>
          <t>T</t>
        </is>
      </c>
      <c r="E3553" t="inlineStr">
        <is>
          <t>rs1593657</t>
        </is>
      </c>
      <c r="F3553" t="n">
        <v>-0.08477161479999989</v>
      </c>
      <c r="G3553" t="n">
        <v>0.0147779317845031</v>
      </c>
      <c r="H3553" t="n">
        <v>0.0173700614276274</v>
      </c>
      <c r="I3553" t="n">
        <v>0.103291068893519</v>
      </c>
      <c r="J3553" t="n">
        <v>0.1120960770445305</v>
      </c>
      <c r="K3553" t="n">
        <v>0.552937568092546</v>
      </c>
      <c r="L3553" t="b">
        <v>1</v>
      </c>
      <c r="M3553" t="b">
        <v>0</v>
      </c>
      <c r="N3553" t="inlineStr">
        <is>
          <t>ref</t>
        </is>
      </c>
      <c r="O3553" t="n">
        <v>100</v>
      </c>
      <c r="P3553" t="n">
        <v>0.04184</v>
      </c>
      <c r="Q3553" t="n">
        <v>-90</v>
      </c>
      <c r="R3553" t="n">
        <v>0.05548</v>
      </c>
      <c r="S3553">
        <f>IMAGE("https://mitra.stanford.edu/kundaje/oak/projects/neuro-variants/variant_position/credible/roussos_2024/variant_figures/roussos_2024.adolescence.GLU/rs1593657_count_position.png",4,220,900)</f>
        <v/>
      </c>
      <c r="T3553">
        <f>IMAGE("https://mitra.stanford.edu/kundaje/oak/projects/neuro-variants/variant_position/credible/roussos_2024/variant_figures/roussos_2024.adolescence.GLU/rs1593657_profile_position.png",4,220,900)</f>
        <v/>
      </c>
    </row>
    <row r="3554">
      <c r="A3554" t="inlineStr">
        <is>
          <t>chr6</t>
        </is>
      </c>
      <c r="B3554" t="n">
        <v>92413581</v>
      </c>
      <c r="C3554" t="inlineStr">
        <is>
          <t>T</t>
        </is>
      </c>
      <c r="D3554" t="inlineStr">
        <is>
          <t>C</t>
        </is>
      </c>
      <c r="E3554" t="inlineStr">
        <is>
          <t>rs1346296</t>
        </is>
      </c>
      <c r="F3554" t="n">
        <v>0.06652786400000001</v>
      </c>
      <c r="G3554" t="n">
        <v>0.0298579397671065</v>
      </c>
      <c r="H3554" t="n">
        <v>0.017393141597421</v>
      </c>
      <c r="I3554" t="n">
        <v>0.1063717542948791</v>
      </c>
      <c r="J3554" t="n">
        <v>0.007910209972065501</v>
      </c>
      <c r="K3554" t="n">
        <v>0.8952138206676745</v>
      </c>
      <c r="L3554" t="b">
        <v>0</v>
      </c>
      <c r="M3554" t="b">
        <v>0</v>
      </c>
      <c r="N3554" t="inlineStr">
        <is>
          <t>alt</t>
        </is>
      </c>
      <c r="O3554" t="n">
        <v>100</v>
      </c>
      <c r="P3554" t="n">
        <v>0.0107</v>
      </c>
      <c r="Q3554" t="n">
        <v>75</v>
      </c>
      <c r="R3554" t="n">
        <v>0.02438</v>
      </c>
      <c r="S3554">
        <f>IMAGE("https://mitra.stanford.edu/kundaje/oak/projects/neuro-variants/variant_position/credible/roussos_2024/variant_figures/roussos_2024.adolescence.GLU/rs1346296_count_position.png",4,220,900)</f>
        <v/>
      </c>
      <c r="T3554">
        <f>IMAGE("https://mitra.stanford.edu/kundaje/oak/projects/neuro-variants/variant_position/credible/roussos_2024/variant_figures/roussos_2024.adolescence.GLU/rs1346296_profile_position.png",4,220,900)</f>
        <v/>
      </c>
    </row>
    <row r="3555">
      <c r="A3555" t="inlineStr">
        <is>
          <t>chr6</t>
        </is>
      </c>
      <c r="B3555" t="n">
        <v>92416645</v>
      </c>
      <c r="C3555" t="inlineStr">
        <is>
          <t>C</t>
        </is>
      </c>
      <c r="D3555" t="inlineStr">
        <is>
          <t>A</t>
        </is>
      </c>
      <c r="E3555" t="inlineStr">
        <is>
          <t>rs6919658</t>
        </is>
      </c>
      <c r="F3555" t="n">
        <v>-0.018290059</v>
      </c>
      <c r="G3555" t="n">
        <v>0.3307515196685965</v>
      </c>
      <c r="H3555" t="n">
        <v>0.0173944519520868</v>
      </c>
      <c r="I3555" t="n">
        <v>0.0985529866652794</v>
      </c>
      <c r="J3555" t="n">
        <v>0.1506111980338784</v>
      </c>
      <c r="K3555" t="n">
        <v>0.4801031315517307</v>
      </c>
      <c r="L3555" t="b">
        <v>0</v>
      </c>
      <c r="M3555" t="b">
        <v>0</v>
      </c>
      <c r="N3555" t="inlineStr">
        <is>
          <t>ref</t>
        </is>
      </c>
      <c r="O3555" t="n">
        <v>-5</v>
      </c>
      <c r="P3555" t="n">
        <v>0.0007324</v>
      </c>
      <c r="Q3555" t="n">
        <v>10</v>
      </c>
      <c r="R3555" t="n">
        <v>0.008670000000000001</v>
      </c>
      <c r="S3555">
        <f>IMAGE("https://mitra.stanford.edu/kundaje/oak/projects/neuro-variants/variant_position/credible/roussos_2024/variant_figures/roussos_2024.adolescence.GLU/rs6919658_count_position.png",4,220,900)</f>
        <v/>
      </c>
      <c r="T3555">
        <f>IMAGE("https://mitra.stanford.edu/kundaje/oak/projects/neuro-variants/variant_position/credible/roussos_2024/variant_figures/roussos_2024.adolescence.GLU/rs6919658_profile_position.png",4,220,900)</f>
        <v/>
      </c>
    </row>
    <row r="3556">
      <c r="A3556" t="inlineStr">
        <is>
          <t>chr6</t>
        </is>
      </c>
      <c r="B3556" t="n">
        <v>92422743</v>
      </c>
      <c r="C3556" t="inlineStr">
        <is>
          <t>T</t>
        </is>
      </c>
      <c r="D3556" t="inlineStr">
        <is>
          <t>A</t>
        </is>
      </c>
      <c r="E3556" t="inlineStr">
        <is>
          <t>rs142115373</t>
        </is>
      </c>
      <c r="F3556" t="n">
        <v>-0.0372986592</v>
      </c>
      <c r="G3556" t="n">
        <v>0.1303776566463372</v>
      </c>
      <c r="H3556" t="n">
        <v>0.0153821908495033</v>
      </c>
      <c r="I3556" t="n">
        <v>0.1863767280554411</v>
      </c>
      <c r="J3556" t="n">
        <v>0.0946667523987111</v>
      </c>
      <c r="K3556" t="n">
        <v>0.5841220601181191</v>
      </c>
      <c r="L3556" t="b">
        <v>0</v>
      </c>
      <c r="M3556" t="b">
        <v>0</v>
      </c>
      <c r="N3556" t="inlineStr">
        <is>
          <t>ref</t>
        </is>
      </c>
      <c r="O3556" t="n">
        <v>-10</v>
      </c>
      <c r="P3556" t="n">
        <v>0.002365</v>
      </c>
      <c r="Q3556" t="n">
        <v>-70</v>
      </c>
      <c r="R3556" t="n">
        <v>0.08119999999999999</v>
      </c>
      <c r="S3556">
        <f>IMAGE("https://mitra.stanford.edu/kundaje/oak/projects/neuro-variants/variant_position/credible/roussos_2024/variant_figures/roussos_2024.adolescence.GLU/rs142115373_count_position.png",4,220,900)</f>
        <v/>
      </c>
      <c r="T3556">
        <f>IMAGE("https://mitra.stanford.edu/kundaje/oak/projects/neuro-variants/variant_position/credible/roussos_2024/variant_figures/roussos_2024.adolescence.GLU/rs142115373_profile_position.png",4,220,900)</f>
        <v/>
      </c>
    </row>
    <row r="3557">
      <c r="A3557" t="inlineStr">
        <is>
          <t>chr6</t>
        </is>
      </c>
      <c r="B3557" t="n">
        <v>92605639</v>
      </c>
      <c r="C3557" t="inlineStr">
        <is>
          <t>C</t>
        </is>
      </c>
      <c r="D3557" t="inlineStr">
        <is>
          <t>A</t>
        </is>
      </c>
      <c r="E3557" t="inlineStr">
        <is>
          <t>rs139659029</t>
        </is>
      </c>
      <c r="F3557" t="n">
        <v>0.00504027566</v>
      </c>
      <c r="G3557" t="n">
        <v>0.7063703933674476</v>
      </c>
      <c r="H3557" t="n">
        <v>0.0210233227669734</v>
      </c>
      <c r="I3557" t="n">
        <v>0.0430035357976366</v>
      </c>
      <c r="J3557" t="n">
        <v>0.0003972251394931</v>
      </c>
      <c r="K3557" t="n">
        <v>0.9849363489920632</v>
      </c>
      <c r="L3557" t="b">
        <v>0</v>
      </c>
      <c r="M3557" t="b">
        <v>0</v>
      </c>
      <c r="N3557" t="inlineStr">
        <is>
          <t>alt</t>
        </is>
      </c>
      <c r="O3557" t="n">
        <v>-95</v>
      </c>
      <c r="P3557" t="n">
        <v>0.0081</v>
      </c>
      <c r="Q3557" t="n">
        <v>-100</v>
      </c>
      <c r="R3557" t="n">
        <v>0.000847</v>
      </c>
      <c r="S3557">
        <f>IMAGE("https://mitra.stanford.edu/kundaje/oak/projects/neuro-variants/variant_position/credible/roussos_2024/variant_figures/roussos_2024.adolescence.GLU/rs139659029_count_position.png",4,220,900)</f>
        <v/>
      </c>
      <c r="T3557">
        <f>IMAGE("https://mitra.stanford.edu/kundaje/oak/projects/neuro-variants/variant_position/credible/roussos_2024/variant_figures/roussos_2024.adolescence.GLU/rs139659029_profile_position.png",4,220,900)</f>
        <v/>
      </c>
    </row>
    <row r="3558">
      <c r="A3558" t="inlineStr">
        <is>
          <t>chr6</t>
        </is>
      </c>
      <c r="B3558" t="n">
        <v>95985497</v>
      </c>
      <c r="C3558" t="inlineStr">
        <is>
          <t>C</t>
        </is>
      </c>
      <c r="D3558" t="inlineStr">
        <is>
          <t>A</t>
        </is>
      </c>
      <c r="E3558" t="inlineStr">
        <is>
          <t>rs648204</t>
        </is>
      </c>
      <c r="F3558" t="n">
        <v>-0.00067953731842</v>
      </c>
      <c r="G3558" t="n">
        <v>0.8509748913740128</v>
      </c>
      <c r="H3558" t="n">
        <v>0.0167629136476077</v>
      </c>
      <c r="I3558" t="n">
        <v>0.107689224332254</v>
      </c>
      <c r="J3558" t="n">
        <v>0.0055940159032942</v>
      </c>
      <c r="K3558" t="n">
        <v>0.9130221410343972</v>
      </c>
      <c r="L3558" t="b">
        <v>0</v>
      </c>
      <c r="M3558" t="b">
        <v>0</v>
      </c>
      <c r="N3558" t="inlineStr">
        <is>
          <t>ref</t>
        </is>
      </c>
      <c r="O3558" t="n">
        <v>90</v>
      </c>
      <c r="P3558" t="n">
        <v>0.004498</v>
      </c>
      <c r="Q3558" t="n">
        <v>-15</v>
      </c>
      <c r="R3558" t="n">
        <v>0.01343</v>
      </c>
      <c r="S3558">
        <f>IMAGE("https://mitra.stanford.edu/kundaje/oak/projects/neuro-variants/variant_position/credible/roussos_2024/variant_figures/roussos_2024.adolescence.GLU/rs648204_count_position.png",4,220,900)</f>
        <v/>
      </c>
      <c r="T3558">
        <f>IMAGE("https://mitra.stanford.edu/kundaje/oak/projects/neuro-variants/variant_position/credible/roussos_2024/variant_figures/roussos_2024.adolescence.GLU/rs648204_profile_position.png",4,220,900)</f>
        <v/>
      </c>
    </row>
    <row r="3559">
      <c r="A3559" t="inlineStr">
        <is>
          <t>chr6</t>
        </is>
      </c>
      <c r="B3559" t="n">
        <v>95987504</v>
      </c>
      <c r="C3559" t="inlineStr">
        <is>
          <t>C</t>
        </is>
      </c>
      <c r="D3559" t="inlineStr">
        <is>
          <t>T</t>
        </is>
      </c>
      <c r="E3559" t="inlineStr">
        <is>
          <t>rs586541</t>
        </is>
      </c>
      <c r="F3559" t="n">
        <v>-0.002493034048</v>
      </c>
      <c r="G3559" t="n">
        <v>0.8451391065342234</v>
      </c>
      <c r="H3559" t="n">
        <v>0.0136708002520733</v>
      </c>
      <c r="I3559" t="n">
        <v>0.2156284217454404</v>
      </c>
      <c r="J3559" t="n">
        <v>0.039986854419844</v>
      </c>
      <c r="K3559" t="n">
        <v>0.7309160316852759</v>
      </c>
      <c r="L3559" t="b">
        <v>0</v>
      </c>
      <c r="M3559" t="b">
        <v>0</v>
      </c>
      <c r="N3559" t="inlineStr">
        <is>
          <t>ref</t>
        </is>
      </c>
      <c r="O3559" t="n">
        <v>-95</v>
      </c>
      <c r="P3559" t="n">
        <v>0.02316</v>
      </c>
      <c r="Q3559" t="n">
        <v>90</v>
      </c>
      <c r="R3559" t="n">
        <v>0.07290000000000001</v>
      </c>
      <c r="S3559">
        <f>IMAGE("https://mitra.stanford.edu/kundaje/oak/projects/neuro-variants/variant_position/credible/roussos_2024/variant_figures/roussos_2024.adolescence.GLU/rs586541_count_position.png",4,220,900)</f>
        <v/>
      </c>
      <c r="T3559">
        <f>IMAGE("https://mitra.stanford.edu/kundaje/oak/projects/neuro-variants/variant_position/credible/roussos_2024/variant_figures/roussos_2024.adolescence.GLU/rs586541_profile_position.png",4,220,900)</f>
        <v/>
      </c>
    </row>
    <row r="3560">
      <c r="A3560" t="inlineStr">
        <is>
          <t>chr6</t>
        </is>
      </c>
      <c r="B3560" t="n">
        <v>95990739</v>
      </c>
      <c r="C3560" t="inlineStr">
        <is>
          <t>G</t>
        </is>
      </c>
      <c r="D3560" t="inlineStr">
        <is>
          <t>A</t>
        </is>
      </c>
      <c r="E3560" t="inlineStr">
        <is>
          <t>rs910025</t>
        </is>
      </c>
      <c r="F3560" t="n">
        <v>0.0335359882</v>
      </c>
      <c r="G3560" t="n">
        <v>0.1457944500939628</v>
      </c>
      <c r="H3560" t="n">
        <v>0.0324450008493935</v>
      </c>
      <c r="I3560" t="n">
        <v>0.0074213962567125</v>
      </c>
      <c r="J3560" t="n">
        <v>0.1061148380736009</v>
      </c>
      <c r="K3560" t="n">
        <v>0.5593444354428455</v>
      </c>
      <c r="L3560" t="b">
        <v>1</v>
      </c>
      <c r="M3560" t="b">
        <v>1</v>
      </c>
      <c r="N3560" t="inlineStr">
        <is>
          <t>alt</t>
        </is>
      </c>
      <c r="O3560" t="n">
        <v>90</v>
      </c>
      <c r="P3560" t="n">
        <v>0.004345</v>
      </c>
      <c r="Q3560" t="n">
        <v>100</v>
      </c>
      <c r="R3560" t="n">
        <v>0.1051</v>
      </c>
      <c r="S3560">
        <f>IMAGE("https://mitra.stanford.edu/kundaje/oak/projects/neuro-variants/variant_position/credible/roussos_2024/variant_figures/roussos_2024.adolescence.GLU/rs910025_count_position.png",4,220,900)</f>
        <v/>
      </c>
      <c r="T3560">
        <f>IMAGE("https://mitra.stanford.edu/kundaje/oak/projects/neuro-variants/variant_position/credible/roussos_2024/variant_figures/roussos_2024.adolescence.GLU/rs910025_profile_position.png",4,220,900)</f>
        <v/>
      </c>
    </row>
    <row r="3561">
      <c r="A3561" t="inlineStr">
        <is>
          <t>chr6</t>
        </is>
      </c>
      <c r="B3561" t="n">
        <v>95991154</v>
      </c>
      <c r="C3561" t="inlineStr">
        <is>
          <t>G</t>
        </is>
      </c>
      <c r="D3561" t="inlineStr">
        <is>
          <t>T</t>
        </is>
      </c>
      <c r="E3561" t="inlineStr">
        <is>
          <t>rs474447</t>
        </is>
      </c>
      <c r="F3561" t="n">
        <v>0.05138304</v>
      </c>
      <c r="G3561" t="n">
        <v>0.0602699932674131</v>
      </c>
      <c r="H3561" t="n">
        <v>0.0239944151800354</v>
      </c>
      <c r="I3561" t="n">
        <v>0.0261510612774276</v>
      </c>
      <c r="J3561" t="n">
        <v>0.1241242828871694</v>
      </c>
      <c r="K3561" t="n">
        <v>0.5262063601491784</v>
      </c>
      <c r="L3561" t="b">
        <v>0</v>
      </c>
      <c r="M3561" t="b">
        <v>0</v>
      </c>
      <c r="N3561" t="inlineStr">
        <is>
          <t>alt</t>
        </is>
      </c>
      <c r="O3561" t="n">
        <v>-100</v>
      </c>
      <c r="P3561" t="n">
        <v>0.01553</v>
      </c>
      <c r="Q3561" t="n">
        <v>-20</v>
      </c>
      <c r="R3561" t="n">
        <v>0.00586</v>
      </c>
      <c r="S3561">
        <f>IMAGE("https://mitra.stanford.edu/kundaje/oak/projects/neuro-variants/variant_position/credible/roussos_2024/variant_figures/roussos_2024.adolescence.GLU/rs474447_count_position.png",4,220,900)</f>
        <v/>
      </c>
      <c r="T3561">
        <f>IMAGE("https://mitra.stanford.edu/kundaje/oak/projects/neuro-variants/variant_position/credible/roussos_2024/variant_figures/roussos_2024.adolescence.GLU/rs474447_profile_position.png",4,220,900)</f>
        <v/>
      </c>
    </row>
    <row r="3562">
      <c r="A3562" t="inlineStr">
        <is>
          <t>chr6</t>
        </is>
      </c>
      <c r="B3562" t="n">
        <v>95993615</v>
      </c>
      <c r="C3562" t="inlineStr">
        <is>
          <t>G</t>
        </is>
      </c>
      <c r="D3562" t="inlineStr">
        <is>
          <t>T</t>
        </is>
      </c>
      <c r="E3562" t="inlineStr">
        <is>
          <t>rs675629</t>
        </is>
      </c>
      <c r="F3562" t="n">
        <v>-0.0053472418599999</v>
      </c>
      <c r="G3562" t="n">
        <v>0.7325733665894634</v>
      </c>
      <c r="H3562" t="n">
        <v>0.0223163894522707</v>
      </c>
      <c r="I3562" t="n">
        <v>0.0393089712978287</v>
      </c>
      <c r="J3562" t="n">
        <v>0.0032320980774588</v>
      </c>
      <c r="K3562" t="n">
        <v>0.9414452036362664</v>
      </c>
      <c r="L3562" t="b">
        <v>0</v>
      </c>
      <c r="M3562" t="b">
        <v>0</v>
      </c>
      <c r="N3562" t="inlineStr">
        <is>
          <t>ref</t>
        </is>
      </c>
      <c r="O3562" t="n">
        <v>-95</v>
      </c>
      <c r="P3562" t="n">
        <v>0.008359999999999999</v>
      </c>
      <c r="Q3562" t="n">
        <v>-65</v>
      </c>
      <c r="R3562" t="n">
        <v>0.1313</v>
      </c>
      <c r="S3562">
        <f>IMAGE("https://mitra.stanford.edu/kundaje/oak/projects/neuro-variants/variant_position/credible/roussos_2024/variant_figures/roussos_2024.adolescence.GLU/rs675629_count_position.png",4,220,900)</f>
        <v/>
      </c>
      <c r="T3562">
        <f>IMAGE("https://mitra.stanford.edu/kundaje/oak/projects/neuro-variants/variant_position/credible/roussos_2024/variant_figures/roussos_2024.adolescence.GLU/rs675629_profile_position.png",4,220,900)</f>
        <v/>
      </c>
    </row>
    <row r="3563">
      <c r="A3563" t="inlineStr">
        <is>
          <t>chr6</t>
        </is>
      </c>
      <c r="B3563" t="n">
        <v>95994527</v>
      </c>
      <c r="C3563" t="inlineStr">
        <is>
          <t>G</t>
        </is>
      </c>
      <c r="D3563" t="inlineStr">
        <is>
          <t>T</t>
        </is>
      </c>
      <c r="E3563" t="inlineStr">
        <is>
          <t>rs582112</t>
        </is>
      </c>
      <c r="F3563" t="n">
        <v>-0.008480832339999999</v>
      </c>
      <c r="G3563" t="n">
        <v>0.6122085970565004</v>
      </c>
      <c r="H3563" t="n">
        <v>0.0324663264767395</v>
      </c>
      <c r="I3563" t="n">
        <v>0.0065605672308591</v>
      </c>
      <c r="J3563" t="n">
        <v>0.016336241078509</v>
      </c>
      <c r="K3563" t="n">
        <v>0.8356538086632659</v>
      </c>
      <c r="L3563" t="b">
        <v>1</v>
      </c>
      <c r="M3563" t="b">
        <v>0</v>
      </c>
      <c r="N3563" t="inlineStr">
        <is>
          <t>ref</t>
        </is>
      </c>
      <c r="O3563" t="n">
        <v>90</v>
      </c>
      <c r="P3563" t="n">
        <v>0.01593</v>
      </c>
      <c r="Q3563" t="n">
        <v>-60</v>
      </c>
      <c r="R3563" t="n">
        <v>0.07056</v>
      </c>
      <c r="S3563">
        <f>IMAGE("https://mitra.stanford.edu/kundaje/oak/projects/neuro-variants/variant_position/credible/roussos_2024/variant_figures/roussos_2024.adolescence.GLU/rs582112_count_position.png",4,220,900)</f>
        <v/>
      </c>
      <c r="T3563">
        <f>IMAGE("https://mitra.stanford.edu/kundaje/oak/projects/neuro-variants/variant_position/credible/roussos_2024/variant_figures/roussos_2024.adolescence.GLU/rs582112_profile_position.png",4,220,900)</f>
        <v/>
      </c>
    </row>
    <row r="3564">
      <c r="A3564" t="inlineStr">
        <is>
          <t>chr6</t>
        </is>
      </c>
      <c r="B3564" t="n">
        <v>96001717</v>
      </c>
      <c r="C3564" t="inlineStr">
        <is>
          <t>A</t>
        </is>
      </c>
      <c r="D3564" t="inlineStr">
        <is>
          <t>G</t>
        </is>
      </c>
      <c r="E3564" t="inlineStr">
        <is>
          <t>rs595200</t>
        </is>
      </c>
      <c r="F3564" t="n">
        <v>0.0511398802</v>
      </c>
      <c r="G3564" t="n">
        <v>0.0551027326102479</v>
      </c>
      <c r="H3564" t="n">
        <v>0.0097804104049226</v>
      </c>
      <c r="I3564" t="n">
        <v>0.5498769168254161</v>
      </c>
      <c r="J3564" t="n">
        <v>0.2399897121546605</v>
      </c>
      <c r="K3564" t="n">
        <v>0.3458886402154564</v>
      </c>
      <c r="L3564" t="b">
        <v>0</v>
      </c>
      <c r="M3564" t="b">
        <v>0</v>
      </c>
      <c r="N3564" t="inlineStr">
        <is>
          <t>alt</t>
        </is>
      </c>
      <c r="O3564" t="n">
        <v>85</v>
      </c>
      <c r="P3564" t="n">
        <v>0.00747</v>
      </c>
      <c r="Q3564" t="n">
        <v>100</v>
      </c>
      <c r="R3564" t="n">
        <v>0.2126</v>
      </c>
      <c r="S3564">
        <f>IMAGE("https://mitra.stanford.edu/kundaje/oak/projects/neuro-variants/variant_position/credible/roussos_2024/variant_figures/roussos_2024.adolescence.GLU/rs595200_count_position.png",4,220,900)</f>
        <v/>
      </c>
      <c r="T3564">
        <f>IMAGE("https://mitra.stanford.edu/kundaje/oak/projects/neuro-variants/variant_position/credible/roussos_2024/variant_figures/roussos_2024.adolescence.GLU/rs595200_profile_position.png",4,220,900)</f>
        <v/>
      </c>
    </row>
    <row r="3565">
      <c r="A3565" t="inlineStr">
        <is>
          <t>chr6</t>
        </is>
      </c>
      <c r="B3565" t="n">
        <v>96012692</v>
      </c>
      <c r="C3565" t="inlineStr">
        <is>
          <t>C</t>
        </is>
      </c>
      <c r="D3565" t="inlineStr">
        <is>
          <t>T</t>
        </is>
      </c>
      <c r="E3565" t="inlineStr">
        <is>
          <t>rs17592255</t>
        </is>
      </c>
      <c r="F3565" t="n">
        <v>-0.000431812804</v>
      </c>
      <c r="G3565" t="n">
        <v>0.9144650660853124</v>
      </c>
      <c r="H3565" t="n">
        <v>0.0201880242130965</v>
      </c>
      <c r="I3565" t="n">
        <v>0.0544906011915351</v>
      </c>
      <c r="J3565" t="n">
        <v>0.0772902958469968</v>
      </c>
      <c r="K3565" t="n">
        <v>0.6208883531606707</v>
      </c>
      <c r="L3565" t="b">
        <v>0</v>
      </c>
      <c r="M3565" t="b">
        <v>0</v>
      </c>
      <c r="N3565" t="inlineStr">
        <is>
          <t>ref</t>
        </is>
      </c>
      <c r="O3565" t="n">
        <v>-65</v>
      </c>
      <c r="P3565" t="n">
        <v>0.0467</v>
      </c>
      <c r="Q3565" t="n">
        <v>65</v>
      </c>
      <c r="R3565" t="n">
        <v>0.009339999999999999</v>
      </c>
      <c r="S3565">
        <f>IMAGE("https://mitra.stanford.edu/kundaje/oak/projects/neuro-variants/variant_position/credible/roussos_2024/variant_figures/roussos_2024.adolescence.GLU/rs17592255_count_position.png",4,220,900)</f>
        <v/>
      </c>
      <c r="T3565">
        <f>IMAGE("https://mitra.stanford.edu/kundaje/oak/projects/neuro-variants/variant_position/credible/roussos_2024/variant_figures/roussos_2024.adolescence.GLU/rs17592255_profile_position.png",4,220,900)</f>
        <v/>
      </c>
    </row>
    <row r="3566">
      <c r="A3566" t="inlineStr">
        <is>
          <t>chr6</t>
        </is>
      </c>
      <c r="B3566" t="n">
        <v>96028152</v>
      </c>
      <c r="C3566" t="inlineStr">
        <is>
          <t>A</t>
        </is>
      </c>
      <c r="D3566" t="inlineStr">
        <is>
          <t>G</t>
        </is>
      </c>
      <c r="E3566" t="inlineStr">
        <is>
          <t>rs6926151</t>
        </is>
      </c>
      <c r="F3566" t="n">
        <v>0.0009015514199999999</v>
      </c>
      <c r="G3566" t="n">
        <v>0.8902498897632327</v>
      </c>
      <c r="H3566" t="n">
        <v>0.014915394235373</v>
      </c>
      <c r="I3566" t="n">
        <v>0.1655473869726042</v>
      </c>
      <c r="J3566" t="n">
        <v>0.0274056768902129</v>
      </c>
      <c r="K3566" t="n">
        <v>0.7808131379058842</v>
      </c>
      <c r="L3566" t="b">
        <v>0</v>
      </c>
      <c r="M3566" t="b">
        <v>0</v>
      </c>
      <c r="N3566" t="inlineStr">
        <is>
          <t>alt</t>
        </is>
      </c>
      <c r="O3566" t="n">
        <v>40</v>
      </c>
      <c r="P3566" t="n">
        <v>0.004227</v>
      </c>
      <c r="Q3566" t="n">
        <v>-5</v>
      </c>
      <c r="R3566" t="n">
        <v>0.001709</v>
      </c>
      <c r="S3566">
        <f>IMAGE("https://mitra.stanford.edu/kundaje/oak/projects/neuro-variants/variant_position/credible/roussos_2024/variant_figures/roussos_2024.adolescence.GLU/rs6926151_count_position.png",4,220,900)</f>
        <v/>
      </c>
      <c r="T3566">
        <f>IMAGE("https://mitra.stanford.edu/kundaje/oak/projects/neuro-variants/variant_position/credible/roussos_2024/variant_figures/roussos_2024.adolescence.GLU/rs6926151_profile_position.png",4,220,900)</f>
        <v/>
      </c>
    </row>
    <row r="3567">
      <c r="A3567" t="inlineStr">
        <is>
          <t>chr6</t>
        </is>
      </c>
      <c r="B3567" t="n">
        <v>104917850</v>
      </c>
      <c r="C3567" t="inlineStr">
        <is>
          <t>C</t>
        </is>
      </c>
      <c r="D3567" t="inlineStr">
        <is>
          <t>T</t>
        </is>
      </c>
      <c r="E3567" t="inlineStr">
        <is>
          <t>rs1933801</t>
        </is>
      </c>
      <c r="F3567" t="n">
        <v>0.0206905928</v>
      </c>
      <c r="G3567" t="n">
        <v>0.2743621066381654</v>
      </c>
      <c r="H3567" t="n">
        <v>0.0282101611567471</v>
      </c>
      <c r="I3567" t="n">
        <v>0.0114266940508762</v>
      </c>
      <c r="J3567" t="n">
        <v>0.0311250187538846</v>
      </c>
      <c r="K3567" t="n">
        <v>0.7675057177853305</v>
      </c>
      <c r="L3567" t="b">
        <v>1</v>
      </c>
      <c r="M3567" t="b">
        <v>0</v>
      </c>
      <c r="N3567" t="inlineStr">
        <is>
          <t>alt</t>
        </is>
      </c>
      <c r="O3567" t="n">
        <v>15</v>
      </c>
      <c r="P3567" t="n">
        <v>0.00267</v>
      </c>
      <c r="Q3567" t="n">
        <v>90</v>
      </c>
      <c r="R3567" t="n">
        <v>0.01181</v>
      </c>
      <c r="S3567">
        <f>IMAGE("https://mitra.stanford.edu/kundaje/oak/projects/neuro-variants/variant_position/credible/roussos_2024/variant_figures/roussos_2024.adolescence.GLU/rs1933801_count_position.png",4,220,900)</f>
        <v/>
      </c>
      <c r="T3567">
        <f>IMAGE("https://mitra.stanford.edu/kundaje/oak/projects/neuro-variants/variant_position/credible/roussos_2024/variant_figures/roussos_2024.adolescence.GLU/rs1933801_profile_position.png",4,220,900)</f>
        <v/>
      </c>
    </row>
    <row r="3568">
      <c r="A3568" t="inlineStr">
        <is>
          <t>chr6</t>
        </is>
      </c>
      <c r="B3568" t="n">
        <v>104929472</v>
      </c>
      <c r="C3568" t="inlineStr">
        <is>
          <t>C</t>
        </is>
      </c>
      <c r="D3568" t="inlineStr">
        <is>
          <t>T</t>
        </is>
      </c>
      <c r="E3568" t="inlineStr">
        <is>
          <t>rs9391254</t>
        </is>
      </c>
      <c r="F3568" t="n">
        <v>-0.0794992828</v>
      </c>
      <c r="G3568" t="n">
        <v>0.0159142473425673</v>
      </c>
      <c r="H3568" t="n">
        <v>0.0141132999296252</v>
      </c>
      <c r="I3568" t="n">
        <v>0.1974663284511995</v>
      </c>
      <c r="J3568" t="n">
        <v>0.1350751227039886</v>
      </c>
      <c r="K3568" t="n">
        <v>0.5100258266837179</v>
      </c>
      <c r="L3568" t="b">
        <v>1</v>
      </c>
      <c r="M3568" t="b">
        <v>0</v>
      </c>
      <c r="N3568" t="inlineStr">
        <is>
          <t>ref</t>
        </is>
      </c>
      <c r="O3568" t="n">
        <v>-55</v>
      </c>
      <c r="P3568" t="n">
        <v>0.01595</v>
      </c>
      <c r="Q3568" t="n">
        <v>65</v>
      </c>
      <c r="R3568" t="n">
        <v>0.0282</v>
      </c>
      <c r="S3568">
        <f>IMAGE("https://mitra.stanford.edu/kundaje/oak/projects/neuro-variants/variant_position/credible/roussos_2024/variant_figures/roussos_2024.adolescence.GLU/rs9391254_count_position.png",4,220,900)</f>
        <v/>
      </c>
      <c r="T3568">
        <f>IMAGE("https://mitra.stanford.edu/kundaje/oak/projects/neuro-variants/variant_position/credible/roussos_2024/variant_figures/roussos_2024.adolescence.GLU/rs9391254_profile_position.png",4,220,900)</f>
        <v/>
      </c>
    </row>
    <row r="3569">
      <c r="A3569" t="inlineStr">
        <is>
          <t>chr6</t>
        </is>
      </c>
      <c r="B3569" t="n">
        <v>104931079</v>
      </c>
      <c r="C3569" t="inlineStr">
        <is>
          <t>C</t>
        </is>
      </c>
      <c r="D3569" t="inlineStr">
        <is>
          <t>T</t>
        </is>
      </c>
      <c r="E3569" t="inlineStr">
        <is>
          <t>rs7759938</t>
        </is>
      </c>
      <c r="F3569" t="n">
        <v>-0.0406349972</v>
      </c>
      <c r="G3569" t="n">
        <v>0.108206746695679</v>
      </c>
      <c r="H3569" t="n">
        <v>0.015056961556018</v>
      </c>
      <c r="I3569" t="n">
        <v>0.1651069543559062</v>
      </c>
      <c r="J3569" t="n">
        <v>0.1009966350172535</v>
      </c>
      <c r="K3569" t="n">
        <v>0.5759708618048528</v>
      </c>
      <c r="L3569" t="b">
        <v>0</v>
      </c>
      <c r="M3569" t="b">
        <v>0</v>
      </c>
      <c r="N3569" t="inlineStr">
        <is>
          <t>ref</t>
        </is>
      </c>
      <c r="O3569" t="n">
        <v>95</v>
      </c>
      <c r="P3569" t="n">
        <v>0.005196</v>
      </c>
      <c r="Q3569" t="n">
        <v>80</v>
      </c>
      <c r="R3569" t="n">
        <v>0.07525999999999999</v>
      </c>
      <c r="S3569">
        <f>IMAGE("https://mitra.stanford.edu/kundaje/oak/projects/neuro-variants/variant_position/credible/roussos_2024/variant_figures/roussos_2024.adolescence.GLU/rs7759938_count_position.png",4,220,900)</f>
        <v/>
      </c>
      <c r="T3569">
        <f>IMAGE("https://mitra.stanford.edu/kundaje/oak/projects/neuro-variants/variant_position/credible/roussos_2024/variant_figures/roussos_2024.adolescence.GLU/rs7759938_profile_position.png",4,220,900)</f>
        <v/>
      </c>
    </row>
    <row r="3570">
      <c r="A3570" t="inlineStr">
        <is>
          <t>chr6</t>
        </is>
      </c>
      <c r="B3570" t="n">
        <v>104942692</v>
      </c>
      <c r="C3570" t="inlineStr">
        <is>
          <t>C</t>
        </is>
      </c>
      <c r="D3570" t="inlineStr">
        <is>
          <t>T</t>
        </is>
      </c>
      <c r="E3570" t="inlineStr">
        <is>
          <t>rs314265</t>
        </is>
      </c>
      <c r="F3570" t="n">
        <v>-0.009179253659999999</v>
      </c>
      <c r="G3570" t="n">
        <v>0.5351953189846996</v>
      </c>
      <c r="H3570" t="n">
        <v>0.008189102691828499</v>
      </c>
      <c r="I3570" t="n">
        <v>0.7745985183484531</v>
      </c>
      <c r="J3570" t="n">
        <v>0.0272042065856498</v>
      </c>
      <c r="K3570" t="n">
        <v>0.7890807451741267</v>
      </c>
      <c r="L3570" t="b">
        <v>0</v>
      </c>
      <c r="M3570" t="b">
        <v>0</v>
      </c>
      <c r="N3570" t="inlineStr">
        <is>
          <t>ref</t>
        </is>
      </c>
      <c r="O3570" t="n">
        <v>-90</v>
      </c>
      <c r="P3570" t="n">
        <v>0.02191</v>
      </c>
      <c r="Q3570" t="n">
        <v>-65</v>
      </c>
      <c r="R3570" t="n">
        <v>0.04175</v>
      </c>
      <c r="S3570">
        <f>IMAGE("https://mitra.stanford.edu/kundaje/oak/projects/neuro-variants/variant_position/credible/roussos_2024/variant_figures/roussos_2024.adolescence.GLU/rs314265_count_position.png",4,220,900)</f>
        <v/>
      </c>
      <c r="T3570">
        <f>IMAGE("https://mitra.stanford.edu/kundaje/oak/projects/neuro-variants/variant_position/credible/roussos_2024/variant_figures/roussos_2024.adolescence.GLU/rs314265_profile_position.png",4,220,900)</f>
        <v/>
      </c>
    </row>
    <row r="3571">
      <c r="A3571" t="inlineStr">
        <is>
          <t>chr6</t>
        </is>
      </c>
      <c r="B3571" t="n">
        <v>104961091</v>
      </c>
      <c r="C3571" t="inlineStr">
        <is>
          <t>T</t>
        </is>
      </c>
      <c r="D3571" t="inlineStr">
        <is>
          <t>C</t>
        </is>
      </c>
      <c r="E3571" t="inlineStr">
        <is>
          <t>rs314275</t>
        </is>
      </c>
      <c r="F3571" t="n">
        <v>0.000903545078</v>
      </c>
      <c r="G3571" t="n">
        <v>0.8751777997188127</v>
      </c>
      <c r="H3571" t="n">
        <v>0.0183114775603239</v>
      </c>
      <c r="I3571" t="n">
        <v>0.0781971775448161</v>
      </c>
      <c r="J3571" t="n">
        <v>0.004588093247887</v>
      </c>
      <c r="K3571" t="n">
        <v>0.9329290084561505</v>
      </c>
      <c r="L3571" t="b">
        <v>0</v>
      </c>
      <c r="M3571" t="b">
        <v>0</v>
      </c>
      <c r="N3571" t="inlineStr">
        <is>
          <t>alt</t>
        </is>
      </c>
      <c r="O3571" t="n">
        <v>100</v>
      </c>
      <c r="P3571" t="n">
        <v>0.011856</v>
      </c>
      <c r="Q3571" t="n">
        <v>-100</v>
      </c>
      <c r="R3571" t="n">
        <v>0.12305</v>
      </c>
      <c r="S3571">
        <f>IMAGE("https://mitra.stanford.edu/kundaje/oak/projects/neuro-variants/variant_position/credible/roussos_2024/variant_figures/roussos_2024.adolescence.GLU/rs314275_count_position.png",4,220,900)</f>
        <v/>
      </c>
      <c r="T3571">
        <f>IMAGE("https://mitra.stanford.edu/kundaje/oak/projects/neuro-variants/variant_position/credible/roussos_2024/variant_figures/roussos_2024.adolescence.GLU/rs314275_profile_position.png",4,220,900)</f>
        <v/>
      </c>
    </row>
    <row r="3572">
      <c r="A3572" t="inlineStr">
        <is>
          <t>chr6</t>
        </is>
      </c>
      <c r="B3572" t="n">
        <v>105005542</v>
      </c>
      <c r="C3572" t="inlineStr">
        <is>
          <t>A</t>
        </is>
      </c>
      <c r="D3572" t="inlineStr">
        <is>
          <t>C</t>
        </is>
      </c>
      <c r="E3572" t="inlineStr">
        <is>
          <t>rs314261</t>
        </is>
      </c>
      <c r="F3572" t="n">
        <v>0.0115275492899999</v>
      </c>
      <c r="G3572" t="n">
        <v>0.448962879658815</v>
      </c>
      <c r="H3572" t="n">
        <v>0.0111715231819563</v>
      </c>
      <c r="I3572" t="n">
        <v>0.3891371661599445</v>
      </c>
      <c r="J3572" t="n">
        <v>0.0469111458802179</v>
      </c>
      <c r="K3572" t="n">
        <v>0.7060542415879268</v>
      </c>
      <c r="L3572" t="b">
        <v>0</v>
      </c>
      <c r="M3572" t="b">
        <v>0</v>
      </c>
      <c r="N3572" t="inlineStr">
        <is>
          <t>alt</t>
        </is>
      </c>
      <c r="O3572" t="n">
        <v>45</v>
      </c>
      <c r="P3572" t="n">
        <v>0.004433</v>
      </c>
      <c r="Q3572" t="n">
        <v>90</v>
      </c>
      <c r="R3572" t="n">
        <v>0.0401</v>
      </c>
      <c r="S3572">
        <f>IMAGE("https://mitra.stanford.edu/kundaje/oak/projects/neuro-variants/variant_position/credible/roussos_2024/variant_figures/roussos_2024.adolescence.GLU/rs314261_count_position.png",4,220,900)</f>
        <v/>
      </c>
      <c r="T3572">
        <f>IMAGE("https://mitra.stanford.edu/kundaje/oak/projects/neuro-variants/variant_position/credible/roussos_2024/variant_figures/roussos_2024.adolescence.GLU/rs314261_profile_position.png",4,220,900)</f>
        <v/>
      </c>
    </row>
    <row r="3573">
      <c r="A3573" t="inlineStr">
        <is>
          <t>chr6</t>
        </is>
      </c>
      <c r="B3573" t="n">
        <v>105009311</v>
      </c>
      <c r="C3573" t="inlineStr">
        <is>
          <t>T</t>
        </is>
      </c>
      <c r="D3573" t="inlineStr">
        <is>
          <t>G</t>
        </is>
      </c>
      <c r="E3573" t="inlineStr">
        <is>
          <t>rs314260</t>
        </is>
      </c>
      <c r="F3573" t="n">
        <v>0.00215497172</v>
      </c>
      <c r="G3573" t="n">
        <v>0.7968974542264612</v>
      </c>
      <c r="H3573" t="n">
        <v>0.029648730569855</v>
      </c>
      <c r="I3573" t="n">
        <v>0.010854107556074</v>
      </c>
      <c r="J3573" t="n">
        <v>0.0482728565202791</v>
      </c>
      <c r="K3573" t="n">
        <v>0.7016009530821671</v>
      </c>
      <c r="L3573" t="b">
        <v>1</v>
      </c>
      <c r="M3573" t="b">
        <v>0</v>
      </c>
      <c r="N3573" t="inlineStr">
        <is>
          <t>alt</t>
        </is>
      </c>
      <c r="O3573" t="n">
        <v>15</v>
      </c>
      <c r="P3573" t="n">
        <v>0.000763</v>
      </c>
      <c r="Q3573" t="n">
        <v>70</v>
      </c>
      <c r="R3573" t="n">
        <v>0.08264000000000001</v>
      </c>
      <c r="S3573">
        <f>IMAGE("https://mitra.stanford.edu/kundaje/oak/projects/neuro-variants/variant_position/credible/roussos_2024/variant_figures/roussos_2024.adolescence.GLU/rs314260_count_position.png",4,220,900)</f>
        <v/>
      </c>
      <c r="T3573">
        <f>IMAGE("https://mitra.stanford.edu/kundaje/oak/projects/neuro-variants/variant_position/credible/roussos_2024/variant_figures/roussos_2024.adolescence.GLU/rs314260_profile_position.png",4,220,900)</f>
        <v/>
      </c>
    </row>
    <row r="3574">
      <c r="A3574" t="inlineStr">
        <is>
          <t>chr6</t>
        </is>
      </c>
      <c r="B3574" t="n">
        <v>105017065</v>
      </c>
      <c r="C3574" t="inlineStr">
        <is>
          <t>T</t>
        </is>
      </c>
      <c r="D3574" t="inlineStr">
        <is>
          <t>C</t>
        </is>
      </c>
      <c r="E3574" t="inlineStr">
        <is>
          <t>rs191135</t>
        </is>
      </c>
      <c r="F3574" t="n">
        <v>-0.0129645874</v>
      </c>
      <c r="G3574" t="n">
        <v>0.4513669420173104</v>
      </c>
      <c r="H3574" t="n">
        <v>0.020959731312473</v>
      </c>
      <c r="I3574" t="n">
        <v>0.0450285288905603</v>
      </c>
      <c r="J3574" t="n">
        <v>0.02877881846954</v>
      </c>
      <c r="K3574" t="n">
        <v>0.7783276246280924</v>
      </c>
      <c r="L3574" t="b">
        <v>0</v>
      </c>
      <c r="M3574" t="b">
        <v>0</v>
      </c>
      <c r="N3574" t="inlineStr">
        <is>
          <t>ref</t>
        </is>
      </c>
      <c r="O3574" t="n">
        <v>-45</v>
      </c>
      <c r="P3574" t="n">
        <v>0.0429</v>
      </c>
      <c r="Q3574" t="n">
        <v>-100</v>
      </c>
      <c r="R3574" t="n">
        <v>0.02634</v>
      </c>
      <c r="S3574">
        <f>IMAGE("https://mitra.stanford.edu/kundaje/oak/projects/neuro-variants/variant_position/credible/roussos_2024/variant_figures/roussos_2024.adolescence.GLU/rs191135_count_position.png",4,220,900)</f>
        <v/>
      </c>
      <c r="T3574">
        <f>IMAGE("https://mitra.stanford.edu/kundaje/oak/projects/neuro-variants/variant_position/credible/roussos_2024/variant_figures/roussos_2024.adolescence.GLU/rs191135_profile_position.png",4,220,900)</f>
        <v/>
      </c>
    </row>
    <row r="3575">
      <c r="A3575" t="inlineStr">
        <is>
          <t>chr6</t>
        </is>
      </c>
      <c r="B3575" t="n">
        <v>107772376</v>
      </c>
      <c r="C3575" t="inlineStr">
        <is>
          <t>C</t>
        </is>
      </c>
      <c r="D3575" t="inlineStr">
        <is>
          <t>T</t>
        </is>
      </c>
      <c r="E3575" t="inlineStr">
        <is>
          <t>rs6909292</t>
        </is>
      </c>
      <c r="F3575" t="n">
        <v>-0.0516363201999999</v>
      </c>
      <c r="G3575" t="n">
        <v>0.0652356722787476</v>
      </c>
      <c r="H3575" t="n">
        <v>0.0227539175455965</v>
      </c>
      <c r="I3575" t="n">
        <v>0.0377309266908506</v>
      </c>
      <c r="J3575" t="n">
        <v>0.2921862385779911</v>
      </c>
      <c r="K3575" t="n">
        <v>0.2794686896031361</v>
      </c>
      <c r="L3575" t="b">
        <v>0</v>
      </c>
      <c r="M3575" t="b">
        <v>0</v>
      </c>
      <c r="N3575" t="inlineStr">
        <is>
          <t>ref</t>
        </is>
      </c>
      <c r="O3575" t="n">
        <v>-60</v>
      </c>
      <c r="P3575" t="n">
        <v>0.006638</v>
      </c>
      <c r="Q3575" t="n">
        <v>-60</v>
      </c>
      <c r="R3575" t="n">
        <v>0.05432</v>
      </c>
      <c r="S3575">
        <f>IMAGE("https://mitra.stanford.edu/kundaje/oak/projects/neuro-variants/variant_position/credible/roussos_2024/variant_figures/roussos_2024.adolescence.GLU/rs6909292_count_position.png",4,220,900)</f>
        <v/>
      </c>
      <c r="T3575">
        <f>IMAGE("https://mitra.stanford.edu/kundaje/oak/projects/neuro-variants/variant_position/credible/roussos_2024/variant_figures/roussos_2024.adolescence.GLU/rs6909292_profile_position.png",4,220,900)</f>
        <v/>
      </c>
    </row>
    <row r="3576">
      <c r="A3576" t="inlineStr">
        <is>
          <t>chr6</t>
        </is>
      </c>
      <c r="B3576" t="n">
        <v>107775325</v>
      </c>
      <c r="C3576" t="inlineStr">
        <is>
          <t>T</t>
        </is>
      </c>
      <c r="D3576" t="inlineStr">
        <is>
          <t>C</t>
        </is>
      </c>
      <c r="E3576" t="inlineStr">
        <is>
          <t>rs7741285</t>
        </is>
      </c>
      <c r="F3576" t="n">
        <v>-0.004274225108</v>
      </c>
      <c r="G3576" t="n">
        <v>0.6957390024516017</v>
      </c>
      <c r="H3576" t="n">
        <v>0.00764505444425</v>
      </c>
      <c r="I3576" t="n">
        <v>0.8328594743802827</v>
      </c>
      <c r="J3576" t="n">
        <v>0.0519036086046394</v>
      </c>
      <c r="K3576" t="n">
        <v>0.7011275530660226</v>
      </c>
      <c r="L3576" t="b">
        <v>0</v>
      </c>
      <c r="M3576" t="b">
        <v>0</v>
      </c>
      <c r="N3576" t="inlineStr">
        <is>
          <t>ref</t>
        </is>
      </c>
      <c r="O3576" t="n">
        <v>-10</v>
      </c>
      <c r="P3576" t="n">
        <v>0.0001335</v>
      </c>
      <c r="Q3576" t="n">
        <v>35</v>
      </c>
      <c r="R3576" t="n">
        <v>0.09216000000000001</v>
      </c>
      <c r="S3576">
        <f>IMAGE("https://mitra.stanford.edu/kundaje/oak/projects/neuro-variants/variant_position/credible/roussos_2024/variant_figures/roussos_2024.adolescence.GLU/rs7741285_count_position.png",4,220,900)</f>
        <v/>
      </c>
      <c r="T3576">
        <f>IMAGE("https://mitra.stanford.edu/kundaje/oak/projects/neuro-variants/variant_position/credible/roussos_2024/variant_figures/roussos_2024.adolescence.GLU/rs7741285_profile_position.png",4,220,900)</f>
        <v/>
      </c>
    </row>
    <row r="3577">
      <c r="A3577" t="inlineStr">
        <is>
          <t>chr6</t>
        </is>
      </c>
      <c r="B3577" t="n">
        <v>107795478</v>
      </c>
      <c r="C3577" t="inlineStr">
        <is>
          <t>C</t>
        </is>
      </c>
      <c r="D3577" t="inlineStr">
        <is>
          <t>T</t>
        </is>
      </c>
      <c r="E3577" t="inlineStr">
        <is>
          <t>rs9400146</t>
        </is>
      </c>
      <c r="F3577" t="n">
        <v>-0.0515655447999999</v>
      </c>
      <c r="G3577" t="n">
        <v>0.0592628734024671</v>
      </c>
      <c r="H3577" t="n">
        <v>0.0124049646763495</v>
      </c>
      <c r="I3577" t="n">
        <v>0.3030771040880302</v>
      </c>
      <c r="J3577" t="n">
        <v>0.0158361374856219</v>
      </c>
      <c r="K3577" t="n">
        <v>0.8470461720188884</v>
      </c>
      <c r="L3577" t="b">
        <v>0</v>
      </c>
      <c r="M3577" t="b">
        <v>0</v>
      </c>
      <c r="N3577" t="inlineStr">
        <is>
          <t>ref</t>
        </is>
      </c>
      <c r="O3577" t="n">
        <v>-35</v>
      </c>
      <c r="P3577" t="n">
        <v>0.00418</v>
      </c>
      <c r="Q3577" t="n">
        <v>70</v>
      </c>
      <c r="R3577" t="n">
        <v>0.04074</v>
      </c>
      <c r="S3577">
        <f>IMAGE("https://mitra.stanford.edu/kundaje/oak/projects/neuro-variants/variant_position/credible/roussos_2024/variant_figures/roussos_2024.adolescence.GLU/rs9400146_count_position.png",4,220,900)</f>
        <v/>
      </c>
      <c r="T3577">
        <f>IMAGE("https://mitra.stanford.edu/kundaje/oak/projects/neuro-variants/variant_position/credible/roussos_2024/variant_figures/roussos_2024.adolescence.GLU/rs9400146_profile_position.png",4,220,900)</f>
        <v/>
      </c>
    </row>
    <row r="3578">
      <c r="A3578" t="inlineStr">
        <is>
          <t>chr6</t>
        </is>
      </c>
      <c r="B3578" t="n">
        <v>107843577</v>
      </c>
      <c r="C3578" t="inlineStr">
        <is>
          <t>G</t>
        </is>
      </c>
      <c r="D3578" t="inlineStr">
        <is>
          <t>A</t>
        </is>
      </c>
      <c r="E3578" t="inlineStr">
        <is>
          <t>rs75971958</t>
        </is>
      </c>
      <c r="F3578" t="n">
        <v>-0.1316320108</v>
      </c>
      <c r="G3578" t="n">
        <v>0.0034411392277765</v>
      </c>
      <c r="H3578" t="n">
        <v>0.0225695170855118</v>
      </c>
      <c r="I3578" t="n">
        <v>0.0324749010842036</v>
      </c>
      <c r="J3578" t="n">
        <v>0.2944367047459831</v>
      </c>
      <c r="K3578" t="n">
        <v>0.2741787801713991</v>
      </c>
      <c r="L3578" t="b">
        <v>1</v>
      </c>
      <c r="M3578" t="b">
        <v>1</v>
      </c>
      <c r="N3578" t="inlineStr">
        <is>
          <t>ref</t>
        </is>
      </c>
      <c r="O3578" t="n">
        <v>-75</v>
      </c>
      <c r="P3578" t="n">
        <v>0.004856</v>
      </c>
      <c r="Q3578" t="n">
        <v>100</v>
      </c>
      <c r="R3578" t="n">
        <v>0.10034</v>
      </c>
      <c r="S3578">
        <f>IMAGE("https://mitra.stanford.edu/kundaje/oak/projects/neuro-variants/variant_position/credible/roussos_2024/variant_figures/roussos_2024.adolescence.GLU/rs75971958_count_position.png",4,220,900)</f>
        <v/>
      </c>
      <c r="T3578">
        <f>IMAGE("https://mitra.stanford.edu/kundaje/oak/projects/neuro-variants/variant_position/credible/roussos_2024/variant_figures/roussos_2024.adolescence.GLU/rs75971958_profile_position.png",4,220,900)</f>
        <v/>
      </c>
    </row>
    <row r="3579">
      <c r="A3579" t="inlineStr">
        <is>
          <t>chr6</t>
        </is>
      </c>
      <c r="B3579" t="n">
        <v>107845511</v>
      </c>
      <c r="C3579" t="inlineStr">
        <is>
          <t>T</t>
        </is>
      </c>
      <c r="D3579" t="inlineStr">
        <is>
          <t>G</t>
        </is>
      </c>
      <c r="E3579" t="inlineStr">
        <is>
          <t>rs75280747</t>
        </is>
      </c>
      <c r="F3579" t="n">
        <v>0.0083385130399999</v>
      </c>
      <c r="G3579" t="n">
        <v>0.571107865346105</v>
      </c>
      <c r="H3579" t="n">
        <v>0.028903613447615</v>
      </c>
      <c r="I3579" t="n">
        <v>0.0112026329808199</v>
      </c>
      <c r="J3579" t="n">
        <v>0.1865615020254195</v>
      </c>
      <c r="K3579" t="n">
        <v>0.4241905446563144</v>
      </c>
      <c r="L3579" t="b">
        <v>1</v>
      </c>
      <c r="M3579" t="b">
        <v>0</v>
      </c>
      <c r="N3579" t="inlineStr">
        <is>
          <t>alt</t>
        </is>
      </c>
      <c r="O3579" t="n">
        <v>90</v>
      </c>
      <c r="P3579" t="n">
        <v>0.001419</v>
      </c>
      <c r="Q3579" t="n">
        <v>-60</v>
      </c>
      <c r="R3579" t="n">
        <v>0.01129</v>
      </c>
      <c r="S3579">
        <f>IMAGE("https://mitra.stanford.edu/kundaje/oak/projects/neuro-variants/variant_position/credible/roussos_2024/variant_figures/roussos_2024.adolescence.GLU/rs75280747_count_position.png",4,220,900)</f>
        <v/>
      </c>
      <c r="T3579">
        <f>IMAGE("https://mitra.stanford.edu/kundaje/oak/projects/neuro-variants/variant_position/credible/roussos_2024/variant_figures/roussos_2024.adolescence.GLU/rs75280747_profile_position.png",4,220,900)</f>
        <v/>
      </c>
    </row>
    <row r="3580">
      <c r="A3580" t="inlineStr">
        <is>
          <t>chr6</t>
        </is>
      </c>
      <c r="B3580" t="n">
        <v>107846542</v>
      </c>
      <c r="C3580" t="inlineStr">
        <is>
          <t>A</t>
        </is>
      </c>
      <c r="D3580" t="inlineStr">
        <is>
          <t>G</t>
        </is>
      </c>
      <c r="E3580" t="inlineStr">
        <is>
          <t>rs9386678</t>
        </is>
      </c>
      <c r="F3580" t="n">
        <v>0.0216761753999999</v>
      </c>
      <c r="G3580" t="n">
        <v>0.2599620917461314</v>
      </c>
      <c r="H3580" t="n">
        <v>0.009125659193306299</v>
      </c>
      <c r="I3580" t="n">
        <v>0.6455204914581595</v>
      </c>
      <c r="J3580" t="n">
        <v>0.1219381157525487</v>
      </c>
      <c r="K3580" t="n">
        <v>0.5403607416902532</v>
      </c>
      <c r="L3580" t="b">
        <v>0</v>
      </c>
      <c r="M3580" t="b">
        <v>0</v>
      </c>
      <c r="N3580" t="inlineStr">
        <is>
          <t>alt</t>
        </is>
      </c>
      <c r="O3580" t="n">
        <v>90</v>
      </c>
      <c r="P3580" t="n">
        <v>0.004364</v>
      </c>
      <c r="Q3580" t="n">
        <v>-75</v>
      </c>
      <c r="R3580" t="n">
        <v>0.02744</v>
      </c>
      <c r="S3580">
        <f>IMAGE("https://mitra.stanford.edu/kundaje/oak/projects/neuro-variants/variant_position/credible/roussos_2024/variant_figures/roussos_2024.adolescence.GLU/rs9386678_count_position.png",4,220,900)</f>
        <v/>
      </c>
      <c r="T3580">
        <f>IMAGE("https://mitra.stanford.edu/kundaje/oak/projects/neuro-variants/variant_position/credible/roussos_2024/variant_figures/roussos_2024.adolescence.GLU/rs9386678_profile_position.png",4,220,900)</f>
        <v/>
      </c>
    </row>
    <row r="3581">
      <c r="A3581" t="inlineStr">
        <is>
          <t>chr6</t>
        </is>
      </c>
      <c r="B3581" t="n">
        <v>108445865</v>
      </c>
      <c r="C3581" t="inlineStr">
        <is>
          <t>C</t>
        </is>
      </c>
      <c r="D3581" t="inlineStr">
        <is>
          <t>T</t>
        </is>
      </c>
      <c r="E3581" t="inlineStr">
        <is>
          <t>rs2355851</t>
        </is>
      </c>
      <c r="F3581" t="n">
        <v>-0.00484145314</v>
      </c>
      <c r="G3581" t="n">
        <v>0.7460683880305391</v>
      </c>
      <c r="H3581" t="n">
        <v>0.0146156124193001</v>
      </c>
      <c r="I3581" t="n">
        <v>0.1847260507166881</v>
      </c>
      <c r="J3581" t="n">
        <v>0.07389102028277281</v>
      </c>
      <c r="K3581" t="n">
        <v>0.640784613533754</v>
      </c>
      <c r="L3581" t="b">
        <v>0</v>
      </c>
      <c r="M3581" t="b">
        <v>0</v>
      </c>
      <c r="N3581" t="inlineStr">
        <is>
          <t>ref</t>
        </is>
      </c>
      <c r="O3581" t="n">
        <v>100</v>
      </c>
      <c r="P3581" t="n">
        <v>0.008970000000000001</v>
      </c>
      <c r="Q3581" t="n">
        <v>100</v>
      </c>
      <c r="R3581" t="n">
        <v>0.0764</v>
      </c>
      <c r="S3581">
        <f>IMAGE("https://mitra.stanford.edu/kundaje/oak/projects/neuro-variants/variant_position/credible/roussos_2024/variant_figures/roussos_2024.adolescence.GLU/rs2355851_count_position.png",4,220,900)</f>
        <v/>
      </c>
      <c r="T3581">
        <f>IMAGE("https://mitra.stanford.edu/kundaje/oak/projects/neuro-variants/variant_position/credible/roussos_2024/variant_figures/roussos_2024.adolescence.GLU/rs2355851_profile_position.png",4,220,900)</f>
        <v/>
      </c>
    </row>
    <row r="3582">
      <c r="A3582" t="inlineStr">
        <is>
          <t>chr6</t>
        </is>
      </c>
      <c r="B3582" t="n">
        <v>108447854</v>
      </c>
      <c r="C3582" t="inlineStr">
        <is>
          <t>A</t>
        </is>
      </c>
      <c r="D3582" t="inlineStr">
        <is>
          <t>G</t>
        </is>
      </c>
      <c r="E3582" t="inlineStr">
        <is>
          <t>rs7762665</t>
        </is>
      </c>
      <c r="F3582" t="n">
        <v>0.0168906692</v>
      </c>
      <c r="G3582" t="n">
        <v>0.3309249096295186</v>
      </c>
      <c r="H3582" t="n">
        <v>0.0094458872017126</v>
      </c>
      <c r="I3582" t="n">
        <v>0.5998187617588299</v>
      </c>
      <c r="J3582" t="n">
        <v>0.0317637224853719</v>
      </c>
      <c r="K3582" t="n">
        <v>0.7676337622801154</v>
      </c>
      <c r="L3582" t="b">
        <v>0</v>
      </c>
      <c r="M3582" t="b">
        <v>0</v>
      </c>
      <c r="N3582" t="inlineStr">
        <is>
          <t>alt</t>
        </is>
      </c>
      <c r="O3582" t="n">
        <v>90</v>
      </c>
      <c r="P3582" t="n">
        <v>0.00804</v>
      </c>
      <c r="Q3582" t="n">
        <v>55</v>
      </c>
      <c r="R3582" t="n">
        <v>0.03882</v>
      </c>
      <c r="S3582">
        <f>IMAGE("https://mitra.stanford.edu/kundaje/oak/projects/neuro-variants/variant_position/credible/roussos_2024/variant_figures/roussos_2024.adolescence.GLU/rs7762665_count_position.png",4,220,900)</f>
        <v/>
      </c>
      <c r="T3582">
        <f>IMAGE("https://mitra.stanford.edu/kundaje/oak/projects/neuro-variants/variant_position/credible/roussos_2024/variant_figures/roussos_2024.adolescence.GLU/rs7762665_profile_position.png",4,220,900)</f>
        <v/>
      </c>
    </row>
    <row r="3583">
      <c r="A3583" t="inlineStr">
        <is>
          <t>chr6</t>
        </is>
      </c>
      <c r="B3583" t="n">
        <v>108453769</v>
      </c>
      <c r="C3583" t="inlineStr">
        <is>
          <t>A</t>
        </is>
      </c>
      <c r="D3583" t="inlineStr">
        <is>
          <t>G</t>
        </is>
      </c>
      <c r="E3583" t="inlineStr">
        <is>
          <t>rs6568544</t>
        </is>
      </c>
      <c r="F3583" t="n">
        <v>-0.0463438658</v>
      </c>
      <c r="G3583" t="n">
        <v>0.0899380303729678</v>
      </c>
      <c r="H3583" t="n">
        <v>0.0214394035044899</v>
      </c>
      <c r="I3583" t="n">
        <v>0.0457760163709489</v>
      </c>
      <c r="J3583" t="n">
        <v>0.3112516164062556</v>
      </c>
      <c r="K3583" t="n">
        <v>0.2522983077567031</v>
      </c>
      <c r="L3583" t="b">
        <v>0</v>
      </c>
      <c r="M3583" t="b">
        <v>0</v>
      </c>
      <c r="N3583" t="inlineStr">
        <is>
          <t>ref</t>
        </is>
      </c>
      <c r="O3583" t="n">
        <v>20</v>
      </c>
      <c r="P3583" t="n">
        <v>0.000839</v>
      </c>
      <c r="Q3583" t="n">
        <v>90</v>
      </c>
      <c r="R3583" t="n">
        <v>0.1549</v>
      </c>
      <c r="S3583">
        <f>IMAGE("https://mitra.stanford.edu/kundaje/oak/projects/neuro-variants/variant_position/credible/roussos_2024/variant_figures/roussos_2024.adolescence.GLU/rs6568544_count_position.png",4,220,900)</f>
        <v/>
      </c>
      <c r="T3583">
        <f>IMAGE("https://mitra.stanford.edu/kundaje/oak/projects/neuro-variants/variant_position/credible/roussos_2024/variant_figures/roussos_2024.adolescence.GLU/rs6568544_profile_position.png",4,220,900)</f>
        <v/>
      </c>
    </row>
    <row r="3584">
      <c r="A3584" t="inlineStr">
        <is>
          <t>chr6</t>
        </is>
      </c>
      <c r="B3584" t="n">
        <v>108598524</v>
      </c>
      <c r="C3584" t="inlineStr">
        <is>
          <t>G</t>
        </is>
      </c>
      <c r="D3584" t="inlineStr">
        <is>
          <t>A</t>
        </is>
      </c>
      <c r="E3584" t="inlineStr">
        <is>
          <t>rs78061564</t>
        </is>
      </c>
      <c r="F3584" t="n">
        <v>0.01741385474</v>
      </c>
      <c r="G3584" t="n">
        <v>0.2973290510186529</v>
      </c>
      <c r="H3584" t="n">
        <v>0.011447300605309</v>
      </c>
      <c r="I3584" t="n">
        <v>0.3648468826664411</v>
      </c>
      <c r="J3584" t="n">
        <v>0.2231776582292045</v>
      </c>
      <c r="K3584" t="n">
        <v>0.3644288578697778</v>
      </c>
      <c r="L3584" t="b">
        <v>0</v>
      </c>
      <c r="M3584" t="b">
        <v>0</v>
      </c>
      <c r="N3584" t="inlineStr">
        <is>
          <t>alt</t>
        </is>
      </c>
      <c r="O3584" t="n">
        <v>70</v>
      </c>
      <c r="P3584" t="n">
        <v>0.03522</v>
      </c>
      <c r="Q3584" t="n">
        <v>-10</v>
      </c>
      <c r="R3584" t="n">
        <v>0.00415</v>
      </c>
      <c r="S3584">
        <f>IMAGE("https://mitra.stanford.edu/kundaje/oak/projects/neuro-variants/variant_position/credible/roussos_2024/variant_figures/roussos_2024.adolescence.GLU/rs78061564_count_position.png",4,220,900)</f>
        <v/>
      </c>
      <c r="T3584">
        <f>IMAGE("https://mitra.stanford.edu/kundaje/oak/projects/neuro-variants/variant_position/credible/roussos_2024/variant_figures/roussos_2024.adolescence.GLU/rs78061564_profile_position.png",4,220,900)</f>
        <v/>
      </c>
    </row>
    <row r="3585">
      <c r="A3585" t="inlineStr">
        <is>
          <t>chr6</t>
        </is>
      </c>
      <c r="B3585" t="n">
        <v>108673623</v>
      </c>
      <c r="C3585" t="inlineStr">
        <is>
          <t>G</t>
        </is>
      </c>
      <c r="D3585" t="inlineStr">
        <is>
          <t>A</t>
        </is>
      </c>
      <c r="E3585" t="inlineStr">
        <is>
          <t>rs9398172</t>
        </is>
      </c>
      <c r="F3585" t="n">
        <v>-0.0758997828</v>
      </c>
      <c r="G3585" t="n">
        <v>0.0204564932218392</v>
      </c>
      <c r="H3585" t="n">
        <v>0.0136437827423702</v>
      </c>
      <c r="I3585" t="n">
        <v>0.2307017250003442</v>
      </c>
      <c r="J3585" t="n">
        <v>0.2367433254031191</v>
      </c>
      <c r="K3585" t="n">
        <v>0.352461386525787</v>
      </c>
      <c r="L3585" t="b">
        <v>1</v>
      </c>
      <c r="M3585" t="b">
        <v>0</v>
      </c>
      <c r="N3585" t="inlineStr">
        <is>
          <t>ref</t>
        </is>
      </c>
      <c r="O3585" t="n">
        <v>-80</v>
      </c>
      <c r="P3585" t="n">
        <v>0.00528</v>
      </c>
      <c r="Q3585" t="n">
        <v>45</v>
      </c>
      <c r="R3585" t="n">
        <v>0.07049999999999999</v>
      </c>
      <c r="S3585">
        <f>IMAGE("https://mitra.stanford.edu/kundaje/oak/projects/neuro-variants/variant_position/credible/roussos_2024/variant_figures/roussos_2024.adolescence.GLU/rs9398172_count_position.png",4,220,900)</f>
        <v/>
      </c>
      <c r="T3585">
        <f>IMAGE("https://mitra.stanford.edu/kundaje/oak/projects/neuro-variants/variant_position/credible/roussos_2024/variant_figures/roussos_2024.adolescence.GLU/rs9398172_profile_position.png",4,220,900)</f>
        <v/>
      </c>
    </row>
    <row r="3586">
      <c r="A3586" t="inlineStr">
        <is>
          <t>chr6</t>
        </is>
      </c>
      <c r="B3586" t="n">
        <v>108675545</v>
      </c>
      <c r="C3586" t="inlineStr">
        <is>
          <t>T</t>
        </is>
      </c>
      <c r="D3586" t="inlineStr">
        <is>
          <t>G</t>
        </is>
      </c>
      <c r="E3586" t="inlineStr">
        <is>
          <t>rs3800228</t>
        </is>
      </c>
      <c r="F3586" t="n">
        <v>0.008528290480000001</v>
      </c>
      <c r="G3586" t="n">
        <v>0.5680730965564099</v>
      </c>
      <c r="H3586" t="n">
        <v>0.0103332944381767</v>
      </c>
      <c r="I3586" t="n">
        <v>0.488005667821854</v>
      </c>
      <c r="J3586" t="n">
        <v>0.06877853269605839</v>
      </c>
      <c r="K3586" t="n">
        <v>0.6447769469172242</v>
      </c>
      <c r="L3586" t="b">
        <v>0</v>
      </c>
      <c r="M3586" t="b">
        <v>0</v>
      </c>
      <c r="N3586" t="inlineStr">
        <is>
          <t>alt</t>
        </is>
      </c>
      <c r="O3586" t="n">
        <v>45</v>
      </c>
      <c r="P3586" t="n">
        <v>0.00288</v>
      </c>
      <c r="Q3586" t="n">
        <v>-100</v>
      </c>
      <c r="R3586" t="n">
        <v>0.01851</v>
      </c>
      <c r="S3586">
        <f>IMAGE("https://mitra.stanford.edu/kundaje/oak/projects/neuro-variants/variant_position/credible/roussos_2024/variant_figures/roussos_2024.adolescence.GLU/rs3800228_count_position.png",4,220,900)</f>
        <v/>
      </c>
      <c r="T3586">
        <f>IMAGE("https://mitra.stanford.edu/kundaje/oak/projects/neuro-variants/variant_position/credible/roussos_2024/variant_figures/roussos_2024.adolescence.GLU/rs3800228_profile_position.png",4,220,900)</f>
        <v/>
      </c>
    </row>
    <row r="3587">
      <c r="A3587" t="inlineStr">
        <is>
          <t>chr6</t>
        </is>
      </c>
      <c r="B3587" t="n">
        <v>108676232</v>
      </c>
      <c r="C3587" t="inlineStr">
        <is>
          <t>G</t>
        </is>
      </c>
      <c r="D3587" t="inlineStr">
        <is>
          <t>A</t>
        </is>
      </c>
      <c r="E3587" t="inlineStr">
        <is>
          <t>rs9374040</t>
        </is>
      </c>
      <c r="F3587" t="n">
        <v>-0.00107073408</v>
      </c>
      <c r="G3587" t="n">
        <v>0.6599849845063251</v>
      </c>
      <c r="H3587" t="n">
        <v>0.0133418390772537</v>
      </c>
      <c r="I3587" t="n">
        <v>0.2287733140256608</v>
      </c>
      <c r="J3587" t="n">
        <v>0.08442463081638329</v>
      </c>
      <c r="K3587" t="n">
        <v>0.6104302381870016</v>
      </c>
      <c r="L3587" t="b">
        <v>0</v>
      </c>
      <c r="M3587" t="b">
        <v>0</v>
      </c>
      <c r="N3587" t="inlineStr">
        <is>
          <t>ref</t>
        </is>
      </c>
      <c r="O3587" t="n">
        <v>80</v>
      </c>
      <c r="P3587" t="n">
        <v>0.02838</v>
      </c>
      <c r="Q3587" t="n">
        <v>75</v>
      </c>
      <c r="R3587" t="n">
        <v>0.0701</v>
      </c>
      <c r="S3587">
        <f>IMAGE("https://mitra.stanford.edu/kundaje/oak/projects/neuro-variants/variant_position/credible/roussos_2024/variant_figures/roussos_2024.adolescence.GLU/rs9374040_count_position.png",4,220,900)</f>
        <v/>
      </c>
      <c r="T3587">
        <f>IMAGE("https://mitra.stanford.edu/kundaje/oak/projects/neuro-variants/variant_position/credible/roussos_2024/variant_figures/roussos_2024.adolescence.GLU/rs9374040_profile_position.png",4,220,900)</f>
        <v/>
      </c>
    </row>
    <row r="3588">
      <c r="A3588" t="inlineStr">
        <is>
          <t>chr6</t>
        </is>
      </c>
      <c r="B3588" t="n">
        <v>108676408</v>
      </c>
      <c r="C3588" t="inlineStr">
        <is>
          <t>G</t>
        </is>
      </c>
      <c r="D3588" t="inlineStr">
        <is>
          <t>A</t>
        </is>
      </c>
      <c r="E3588" t="inlineStr">
        <is>
          <t>rs9400240</t>
        </is>
      </c>
      <c r="F3588" t="n">
        <v>-0.0043925171999999</v>
      </c>
      <c r="G3588" t="n">
        <v>0.76492397327391</v>
      </c>
      <c r="H3588" t="n">
        <v>0.0181832533034072</v>
      </c>
      <c r="I3588" t="n">
        <v>0.0803345607282594</v>
      </c>
      <c r="J3588" t="n">
        <v>0.1004522365347107</v>
      </c>
      <c r="K3588" t="n">
        <v>0.5754970017569597</v>
      </c>
      <c r="L3588" t="b">
        <v>0</v>
      </c>
      <c r="M3588" t="b">
        <v>0</v>
      </c>
      <c r="N3588" t="inlineStr">
        <is>
          <t>ref</t>
        </is>
      </c>
      <c r="O3588" t="n">
        <v>-15</v>
      </c>
      <c r="P3588" t="n">
        <v>0.0002747</v>
      </c>
      <c r="Q3588" t="n">
        <v>10</v>
      </c>
      <c r="R3588" t="n">
        <v>0.00763</v>
      </c>
      <c r="S3588">
        <f>IMAGE("https://mitra.stanford.edu/kundaje/oak/projects/neuro-variants/variant_position/credible/roussos_2024/variant_figures/roussos_2024.adolescence.GLU/rs9400240_count_position.png",4,220,900)</f>
        <v/>
      </c>
      <c r="T3588">
        <f>IMAGE("https://mitra.stanford.edu/kundaje/oak/projects/neuro-variants/variant_position/credible/roussos_2024/variant_figures/roussos_2024.adolescence.GLU/rs9400240_profile_position.png",4,220,900)</f>
        <v/>
      </c>
    </row>
    <row r="3589">
      <c r="A3589" t="inlineStr">
        <is>
          <t>chr6</t>
        </is>
      </c>
      <c r="B3589" t="n">
        <v>108677063</v>
      </c>
      <c r="C3589" t="inlineStr">
        <is>
          <t>A</t>
        </is>
      </c>
      <c r="D3589" t="inlineStr">
        <is>
          <t>G</t>
        </is>
      </c>
      <c r="E3589" t="inlineStr">
        <is>
          <t>rs3800231</t>
        </is>
      </c>
      <c r="F3589" t="n">
        <v>0.00397950008</v>
      </c>
      <c r="G3589" t="n">
        <v>0.7568410969311219</v>
      </c>
      <c r="H3589" t="n">
        <v>0.008893997110824</v>
      </c>
      <c r="I3589" t="n">
        <v>0.6538585723212605</v>
      </c>
      <c r="J3589" t="n">
        <v>0.1795972022776146</v>
      </c>
      <c r="K3589" t="n">
        <v>0.4361053469851751</v>
      </c>
      <c r="L3589" t="b">
        <v>0</v>
      </c>
      <c r="M3589" t="b">
        <v>0</v>
      </c>
      <c r="N3589" t="inlineStr">
        <is>
          <t>alt</t>
        </is>
      </c>
      <c r="O3589" t="n">
        <v>-5</v>
      </c>
      <c r="P3589" t="n">
        <v>0.0009365</v>
      </c>
      <c r="Q3589" t="n">
        <v>40</v>
      </c>
      <c r="R3589" t="n">
        <v>0.0515</v>
      </c>
      <c r="S3589">
        <f>IMAGE("https://mitra.stanford.edu/kundaje/oak/projects/neuro-variants/variant_position/credible/roussos_2024/variant_figures/roussos_2024.adolescence.GLU/rs3800231_count_position.png",4,220,900)</f>
        <v/>
      </c>
      <c r="T3589">
        <f>IMAGE("https://mitra.stanford.edu/kundaje/oak/projects/neuro-variants/variant_position/credible/roussos_2024/variant_figures/roussos_2024.adolescence.GLU/rs3800231_profile_position.png",4,220,900)</f>
        <v/>
      </c>
    </row>
    <row r="3590">
      <c r="A3590" t="inlineStr">
        <is>
          <t>chr6</t>
        </is>
      </c>
      <c r="B3590" t="n">
        <v>108682786</v>
      </c>
      <c r="C3590" t="inlineStr">
        <is>
          <t>C</t>
        </is>
      </c>
      <c r="D3590" t="inlineStr">
        <is>
          <t>A</t>
        </is>
      </c>
      <c r="E3590" t="inlineStr">
        <is>
          <t>rs9400241</t>
        </is>
      </c>
      <c r="F3590" t="n">
        <v>-0.0073859889788</v>
      </c>
      <c r="G3590" t="n">
        <v>0.6462750670411778</v>
      </c>
      <c r="H3590" t="n">
        <v>0.009282318917135801</v>
      </c>
      <c r="I3590" t="n">
        <v>0.6330752856909921</v>
      </c>
      <c r="J3590" t="n">
        <v>0.2426931292910674</v>
      </c>
      <c r="K3590" t="n">
        <v>0.3446429365693846</v>
      </c>
      <c r="L3590" t="b">
        <v>0</v>
      </c>
      <c r="M3590" t="b">
        <v>0</v>
      </c>
      <c r="N3590" t="inlineStr">
        <is>
          <t>ref</t>
        </is>
      </c>
      <c r="O3590" t="n">
        <v>-15</v>
      </c>
      <c r="P3590" t="n">
        <v>0.002056</v>
      </c>
      <c r="Q3590" t="n">
        <v>100</v>
      </c>
      <c r="R3590" t="n">
        <v>0.0633</v>
      </c>
      <c r="S3590">
        <f>IMAGE("https://mitra.stanford.edu/kundaje/oak/projects/neuro-variants/variant_position/credible/roussos_2024/variant_figures/roussos_2024.adolescence.GLU/rs9400241_count_position.png",4,220,900)</f>
        <v/>
      </c>
      <c r="T3590">
        <f>IMAGE("https://mitra.stanford.edu/kundaje/oak/projects/neuro-variants/variant_position/credible/roussos_2024/variant_figures/roussos_2024.adolescence.GLU/rs9400241_profile_position.png",4,220,900)</f>
        <v/>
      </c>
    </row>
    <row r="3591">
      <c r="A3591" t="inlineStr">
        <is>
          <t>chr6</t>
        </is>
      </c>
      <c r="B3591" t="n">
        <v>111460451</v>
      </c>
      <c r="C3591" t="inlineStr">
        <is>
          <t>A</t>
        </is>
      </c>
      <c r="D3591" t="inlineStr">
        <is>
          <t>G</t>
        </is>
      </c>
      <c r="E3591" t="inlineStr">
        <is>
          <t>rs112540208</t>
        </is>
      </c>
      <c r="F3591" t="n">
        <v>0.00317191152</v>
      </c>
      <c r="G3591" t="n">
        <v>0.7970334226835691</v>
      </c>
      <c r="H3591" t="n">
        <v>0.0301166861187644</v>
      </c>
      <c r="I3591" t="n">
        <v>0.0095099109672787</v>
      </c>
      <c r="J3591" t="n">
        <v>0.050293275035543</v>
      </c>
      <c r="K3591" t="n">
        <v>0.6980599565168567</v>
      </c>
      <c r="L3591" t="b">
        <v>1</v>
      </c>
      <c r="M3591" t="b">
        <v>1</v>
      </c>
      <c r="N3591" t="inlineStr">
        <is>
          <t>alt</t>
        </is>
      </c>
      <c r="O3591" t="n">
        <v>0</v>
      </c>
      <c r="P3591" t="n">
        <v>0</v>
      </c>
      <c r="Q3591" t="n">
        <v>-40</v>
      </c>
      <c r="R3591" t="n">
        <v>0.007324</v>
      </c>
      <c r="S3591">
        <f>IMAGE("https://mitra.stanford.edu/kundaje/oak/projects/neuro-variants/variant_position/credible/roussos_2024/variant_figures/roussos_2024.adolescence.GLU/rs112540208_count_position.png",4,220,900)</f>
        <v/>
      </c>
      <c r="T3591">
        <f>IMAGE("https://mitra.stanford.edu/kundaje/oak/projects/neuro-variants/variant_position/credible/roussos_2024/variant_figures/roussos_2024.adolescence.GLU/rs112540208_profile_position.png",4,220,900)</f>
        <v/>
      </c>
    </row>
    <row r="3592">
      <c r="A3592" t="inlineStr">
        <is>
          <t>chr6</t>
        </is>
      </c>
      <c r="B3592" t="n">
        <v>111490719</v>
      </c>
      <c r="C3592" t="inlineStr">
        <is>
          <t>T</t>
        </is>
      </c>
      <c r="D3592" t="inlineStr">
        <is>
          <t>C</t>
        </is>
      </c>
      <c r="E3592" t="inlineStr">
        <is>
          <t>rs9320364</t>
        </is>
      </c>
      <c r="F3592" t="n">
        <v>-0.00474790397</v>
      </c>
      <c r="G3592" t="n">
        <v>0.7579803659023069</v>
      </c>
      <c r="H3592" t="n">
        <v>0.0148244647342562</v>
      </c>
      <c r="I3592" t="n">
        <v>0.1711040188804974</v>
      </c>
      <c r="J3592" t="n">
        <v>0.0617013524230018</v>
      </c>
      <c r="K3592" t="n">
        <v>0.6644760954109011</v>
      </c>
      <c r="L3592" t="b">
        <v>0</v>
      </c>
      <c r="M3592" t="b">
        <v>0</v>
      </c>
      <c r="N3592" t="inlineStr">
        <is>
          <t>ref</t>
        </is>
      </c>
      <c r="O3592" t="n">
        <v>100</v>
      </c>
      <c r="P3592" t="n">
        <v>0.04425</v>
      </c>
      <c r="Q3592" t="n">
        <v>25</v>
      </c>
      <c r="R3592" t="n">
        <v>0.02106</v>
      </c>
      <c r="S3592">
        <f>IMAGE("https://mitra.stanford.edu/kundaje/oak/projects/neuro-variants/variant_position/credible/roussos_2024/variant_figures/roussos_2024.adolescence.GLU/rs9320364_count_position.png",4,220,900)</f>
        <v/>
      </c>
      <c r="T3592">
        <f>IMAGE("https://mitra.stanford.edu/kundaje/oak/projects/neuro-variants/variant_position/credible/roussos_2024/variant_figures/roussos_2024.adolescence.GLU/rs9320364_profile_position.png",4,220,900)</f>
        <v/>
      </c>
    </row>
    <row r="3593">
      <c r="A3593" t="inlineStr">
        <is>
          <t>chr6</t>
        </is>
      </c>
      <c r="B3593" t="n">
        <v>111501152</v>
      </c>
      <c r="C3593" t="inlineStr">
        <is>
          <t>G</t>
        </is>
      </c>
      <c r="D3593" t="inlineStr">
        <is>
          <t>A</t>
        </is>
      </c>
      <c r="E3593" t="inlineStr">
        <is>
          <t>rs7746225</t>
        </is>
      </c>
      <c r="F3593" t="n">
        <v>0.00046396956</v>
      </c>
      <c r="G3593" t="n">
        <v>0.747490271326137</v>
      </c>
      <c r="H3593" t="n">
        <v>0.0428882175847755</v>
      </c>
      <c r="I3593" t="n">
        <v>0.0021873396210145</v>
      </c>
      <c r="J3593" t="n">
        <v>0.2372577176700888</v>
      </c>
      <c r="K3593" t="n">
        <v>0.3504486869459369</v>
      </c>
      <c r="L3593" t="b">
        <v>1</v>
      </c>
      <c r="M3593" t="b">
        <v>1</v>
      </c>
      <c r="N3593" t="inlineStr">
        <is>
          <t>alt</t>
        </is>
      </c>
      <c r="O3593" t="n">
        <v>100</v>
      </c>
      <c r="P3593" t="n">
        <v>0.00772</v>
      </c>
      <c r="Q3593" t="n">
        <v>5</v>
      </c>
      <c r="R3593" t="n">
        <v>0.003067</v>
      </c>
      <c r="S3593">
        <f>IMAGE("https://mitra.stanford.edu/kundaje/oak/projects/neuro-variants/variant_position/credible/roussos_2024/variant_figures/roussos_2024.adolescence.GLU/rs7746225_count_position.png",4,220,900)</f>
        <v/>
      </c>
      <c r="T3593">
        <f>IMAGE("https://mitra.stanford.edu/kundaje/oak/projects/neuro-variants/variant_position/credible/roussos_2024/variant_figures/roussos_2024.adolescence.GLU/rs7746225_profile_position.png",4,220,900)</f>
        <v/>
      </c>
    </row>
    <row r="3594">
      <c r="A3594" t="inlineStr">
        <is>
          <t>chr6</t>
        </is>
      </c>
      <c r="B3594" t="n">
        <v>111501486</v>
      </c>
      <c r="C3594" t="inlineStr">
        <is>
          <t>A</t>
        </is>
      </c>
      <c r="D3594" t="inlineStr">
        <is>
          <t>G</t>
        </is>
      </c>
      <c r="E3594" t="inlineStr">
        <is>
          <t>rs9487653</t>
        </is>
      </c>
      <c r="F3594" t="n">
        <v>0.00720057946</v>
      </c>
      <c r="G3594" t="n">
        <v>0.5977959307937745</v>
      </c>
      <c r="H3594" t="n">
        <v>0.035016128506569</v>
      </c>
      <c r="I3594" t="n">
        <v>0.004683123157038</v>
      </c>
      <c r="J3594" t="n">
        <v>0.2300662280043723</v>
      </c>
      <c r="K3594" t="n">
        <v>0.3585221363330212</v>
      </c>
      <c r="L3594" t="b">
        <v>1</v>
      </c>
      <c r="M3594" t="b">
        <v>1</v>
      </c>
      <c r="N3594" t="inlineStr">
        <is>
          <t>alt</t>
        </is>
      </c>
      <c r="O3594" t="n">
        <v>-40</v>
      </c>
      <c r="P3594" t="n">
        <v>0.00116</v>
      </c>
      <c r="Q3594" t="n">
        <v>-15</v>
      </c>
      <c r="R3594" t="n">
        <v>0.00958</v>
      </c>
      <c r="S3594">
        <f>IMAGE("https://mitra.stanford.edu/kundaje/oak/projects/neuro-variants/variant_position/credible/roussos_2024/variant_figures/roussos_2024.adolescence.GLU/rs9487653_count_position.png",4,220,900)</f>
        <v/>
      </c>
      <c r="T3594">
        <f>IMAGE("https://mitra.stanford.edu/kundaje/oak/projects/neuro-variants/variant_position/credible/roussos_2024/variant_figures/roussos_2024.adolescence.GLU/rs9487653_profile_position.png",4,220,900)</f>
        <v/>
      </c>
    </row>
    <row r="3595">
      <c r="A3595" t="inlineStr">
        <is>
          <t>chr6</t>
        </is>
      </c>
      <c r="B3595" t="n">
        <v>111515841</v>
      </c>
      <c r="C3595" t="inlineStr">
        <is>
          <t>T</t>
        </is>
      </c>
      <c r="D3595" t="inlineStr">
        <is>
          <t>A</t>
        </is>
      </c>
      <c r="E3595" t="inlineStr">
        <is>
          <t>rs9320366</t>
        </is>
      </c>
      <c r="F3595" t="n">
        <v>-0.0096870104</v>
      </c>
      <c r="G3595" t="n">
        <v>0.5434222271680369</v>
      </c>
      <c r="H3595" t="n">
        <v>0.0300414818289798</v>
      </c>
      <c r="I3595" t="n">
        <v>0.008352053073204401</v>
      </c>
      <c r="J3595" t="n">
        <v>0.0079073522372491</v>
      </c>
      <c r="K3595" t="n">
        <v>0.8949505186895182</v>
      </c>
      <c r="L3595" t="b">
        <v>0</v>
      </c>
      <c r="M3595" t="b">
        <v>0</v>
      </c>
      <c r="N3595" t="inlineStr">
        <is>
          <t>ref</t>
        </is>
      </c>
      <c r="O3595" t="n">
        <v>5</v>
      </c>
      <c r="P3595" t="n">
        <v>0.0002136</v>
      </c>
      <c r="Q3595" t="n">
        <v>-95</v>
      </c>
      <c r="R3595" t="n">
        <v>0.0531</v>
      </c>
      <c r="S3595">
        <f>IMAGE("https://mitra.stanford.edu/kundaje/oak/projects/neuro-variants/variant_position/credible/roussos_2024/variant_figures/roussos_2024.adolescence.GLU/rs9320366_count_position.png",4,220,900)</f>
        <v/>
      </c>
      <c r="T3595">
        <f>IMAGE("https://mitra.stanford.edu/kundaje/oak/projects/neuro-variants/variant_position/credible/roussos_2024/variant_figures/roussos_2024.adolescence.GLU/rs9320366_profile_position.png",4,220,900)</f>
        <v/>
      </c>
    </row>
    <row r="3596">
      <c r="A3596" t="inlineStr">
        <is>
          <t>chr6</t>
        </is>
      </c>
      <c r="B3596" t="n">
        <v>111574657</v>
      </c>
      <c r="C3596" t="inlineStr">
        <is>
          <t>T</t>
        </is>
      </c>
      <c r="D3596" t="inlineStr">
        <is>
          <t>C</t>
        </is>
      </c>
      <c r="E3596" t="inlineStr">
        <is>
          <t>rs4945884</t>
        </is>
      </c>
      <c r="F3596" t="n">
        <v>0.0704733892</v>
      </c>
      <c r="G3596" t="n">
        <v>0.0239531785816433</v>
      </c>
      <c r="H3596" t="n">
        <v>0.0113629734141803</v>
      </c>
      <c r="I3596" t="n">
        <v>0.3920720234662918</v>
      </c>
      <c r="J3596" t="n">
        <v>0.1641697208707518</v>
      </c>
      <c r="K3596" t="n">
        <v>0.4526826298087509</v>
      </c>
      <c r="L3596" t="b">
        <v>0</v>
      </c>
      <c r="M3596" t="b">
        <v>0</v>
      </c>
      <c r="N3596" t="inlineStr">
        <is>
          <t>alt</t>
        </is>
      </c>
      <c r="O3596" t="n">
        <v>-75</v>
      </c>
      <c r="P3596" t="n">
        <v>0.012436</v>
      </c>
      <c r="Q3596" t="n">
        <v>-65</v>
      </c>
      <c r="R3596" t="n">
        <v>0.04932</v>
      </c>
      <c r="S3596">
        <f>IMAGE("https://mitra.stanford.edu/kundaje/oak/projects/neuro-variants/variant_position/credible/roussos_2024/variant_figures/roussos_2024.adolescence.GLU/rs4945884_count_position.png",4,220,900)</f>
        <v/>
      </c>
      <c r="T3596">
        <f>IMAGE("https://mitra.stanford.edu/kundaje/oak/projects/neuro-variants/variant_position/credible/roussos_2024/variant_figures/roussos_2024.adolescence.GLU/rs4945884_profile_position.png",4,220,900)</f>
        <v/>
      </c>
    </row>
    <row r="3597">
      <c r="A3597" t="inlineStr">
        <is>
          <t>chr6</t>
        </is>
      </c>
      <c r="B3597" t="n">
        <v>113065866</v>
      </c>
      <c r="C3597" t="inlineStr">
        <is>
          <t>C</t>
        </is>
      </c>
      <c r="D3597" t="inlineStr">
        <is>
          <t>T</t>
        </is>
      </c>
      <c r="E3597" t="inlineStr">
        <is>
          <t>rs12214623</t>
        </is>
      </c>
      <c r="F3597" t="n">
        <v>-0.0326742602</v>
      </c>
      <c r="G3597" t="n">
        <v>0.1535761193372665</v>
      </c>
      <c r="H3597" t="n">
        <v>0.008527346518452701</v>
      </c>
      <c r="I3597" t="n">
        <v>0.7129708740230529</v>
      </c>
      <c r="J3597" t="n">
        <v>0.0609497681662629</v>
      </c>
      <c r="K3597" t="n">
        <v>0.6675050775117594</v>
      </c>
      <c r="L3597" t="b">
        <v>0</v>
      </c>
      <c r="M3597" t="b">
        <v>0</v>
      </c>
      <c r="N3597" t="inlineStr">
        <is>
          <t>ref</t>
        </is>
      </c>
      <c r="O3597" t="n">
        <v>-75</v>
      </c>
      <c r="P3597" t="n">
        <v>0.00645</v>
      </c>
      <c r="Q3597" t="n">
        <v>-15</v>
      </c>
      <c r="R3597" t="n">
        <v>0.01099</v>
      </c>
      <c r="S3597">
        <f>IMAGE("https://mitra.stanford.edu/kundaje/oak/projects/neuro-variants/variant_position/credible/roussos_2024/variant_figures/roussos_2024.adolescence.GLU/rs12214623_count_position.png",4,220,900)</f>
        <v/>
      </c>
      <c r="T3597">
        <f>IMAGE("https://mitra.stanford.edu/kundaje/oak/projects/neuro-variants/variant_position/credible/roussos_2024/variant_figures/roussos_2024.adolescence.GLU/rs12214623_profile_position.png",4,220,900)</f>
        <v/>
      </c>
    </row>
    <row r="3598">
      <c r="A3598" t="inlineStr">
        <is>
          <t>chr6</t>
        </is>
      </c>
      <c r="B3598" t="n">
        <v>113082872</v>
      </c>
      <c r="C3598" t="inlineStr">
        <is>
          <t>C</t>
        </is>
      </c>
      <c r="D3598" t="inlineStr">
        <is>
          <t>A</t>
        </is>
      </c>
      <c r="E3598" t="inlineStr">
        <is>
          <t>rs1592148</t>
        </is>
      </c>
      <c r="F3598" t="n">
        <v>0.0008221369399999</v>
      </c>
      <c r="G3598" t="n">
        <v>0.6698955037448097</v>
      </c>
      <c r="H3598" t="n">
        <v>0.0117864933238016</v>
      </c>
      <c r="I3598" t="n">
        <v>0.3482032958250561</v>
      </c>
      <c r="J3598" t="n">
        <v>0.0250137528488043</v>
      </c>
      <c r="K3598" t="n">
        <v>0.793604496312968</v>
      </c>
      <c r="L3598" t="b">
        <v>0</v>
      </c>
      <c r="M3598" t="b">
        <v>0</v>
      </c>
      <c r="N3598" t="inlineStr">
        <is>
          <t>alt</t>
        </is>
      </c>
      <c r="O3598" t="n">
        <v>-35</v>
      </c>
      <c r="P3598" t="n">
        <v>0.03326</v>
      </c>
      <c r="Q3598" t="n">
        <v>65</v>
      </c>
      <c r="R3598" t="n">
        <v>0.01807</v>
      </c>
      <c r="S3598">
        <f>IMAGE("https://mitra.stanford.edu/kundaje/oak/projects/neuro-variants/variant_position/credible/roussos_2024/variant_figures/roussos_2024.adolescence.GLU/rs1592148_count_position.png",4,220,900)</f>
        <v/>
      </c>
      <c r="T3598">
        <f>IMAGE("https://mitra.stanford.edu/kundaje/oak/projects/neuro-variants/variant_position/credible/roussos_2024/variant_figures/roussos_2024.adolescence.GLU/rs1592148_profile_position.png",4,220,900)</f>
        <v/>
      </c>
    </row>
    <row r="3599">
      <c r="A3599" t="inlineStr">
        <is>
          <t>chr6</t>
        </is>
      </c>
      <c r="B3599" t="n">
        <v>113086653</v>
      </c>
      <c r="C3599" t="inlineStr">
        <is>
          <t>C</t>
        </is>
      </c>
      <c r="D3599" t="inlineStr">
        <is>
          <t>A</t>
        </is>
      </c>
      <c r="E3599" t="inlineStr">
        <is>
          <t>rs6568750</t>
        </is>
      </c>
      <c r="F3599" t="n">
        <v>-0.0089193547</v>
      </c>
      <c r="G3599" t="n">
        <v>0.3589738817167353</v>
      </c>
      <c r="H3599" t="n">
        <v>0.009185430426973701</v>
      </c>
      <c r="I3599" t="n">
        <v>0.6430838038381523</v>
      </c>
      <c r="J3599" t="n">
        <v>0.0198841188531909</v>
      </c>
      <c r="K3599" t="n">
        <v>0.8183674384454955</v>
      </c>
      <c r="L3599" t="b">
        <v>0</v>
      </c>
      <c r="M3599" t="b">
        <v>0</v>
      </c>
      <c r="N3599" t="inlineStr">
        <is>
          <t>ref</t>
        </is>
      </c>
      <c r="O3599" t="n">
        <v>95</v>
      </c>
      <c r="P3599" t="n">
        <v>0.00735</v>
      </c>
      <c r="Q3599" t="n">
        <v>40</v>
      </c>
      <c r="R3599" t="n">
        <v>0.02197</v>
      </c>
      <c r="S3599">
        <f>IMAGE("https://mitra.stanford.edu/kundaje/oak/projects/neuro-variants/variant_position/credible/roussos_2024/variant_figures/roussos_2024.adolescence.GLU/rs6568750_count_position.png",4,220,900)</f>
        <v/>
      </c>
      <c r="T3599">
        <f>IMAGE("https://mitra.stanford.edu/kundaje/oak/projects/neuro-variants/variant_position/credible/roussos_2024/variant_figures/roussos_2024.adolescence.GLU/rs6568750_profile_position.png",4,220,900)</f>
        <v/>
      </c>
    </row>
    <row r="3600">
      <c r="A3600" t="inlineStr">
        <is>
          <t>chr6</t>
        </is>
      </c>
      <c r="B3600" t="n">
        <v>113092775</v>
      </c>
      <c r="C3600" t="inlineStr">
        <is>
          <t>C</t>
        </is>
      </c>
      <c r="D3600" t="inlineStr">
        <is>
          <t>T</t>
        </is>
      </c>
      <c r="E3600" t="inlineStr">
        <is>
          <t>rs7738702</t>
        </is>
      </c>
      <c r="F3600" t="n">
        <v>-0.06651202520000001</v>
      </c>
      <c r="G3600" t="n">
        <v>0.0293988250280233</v>
      </c>
      <c r="H3600" t="n">
        <v>0.0159865705431611</v>
      </c>
      <c r="I3600" t="n">
        <v>0.1480670466740312</v>
      </c>
      <c r="J3600" t="n">
        <v>0.0803566453050988</v>
      </c>
      <c r="K3600" t="n">
        <v>0.6166821399975746</v>
      </c>
      <c r="L3600" t="b">
        <v>0</v>
      </c>
      <c r="M3600" t="b">
        <v>0</v>
      </c>
      <c r="N3600" t="inlineStr">
        <is>
          <t>ref</t>
        </is>
      </c>
      <c r="O3600" t="n">
        <v>-25</v>
      </c>
      <c r="P3600" t="n">
        <v>0.009520000000000001</v>
      </c>
      <c r="Q3600" t="n">
        <v>60</v>
      </c>
      <c r="R3600" t="n">
        <v>0.04404</v>
      </c>
      <c r="S3600">
        <f>IMAGE("https://mitra.stanford.edu/kundaje/oak/projects/neuro-variants/variant_position/credible/roussos_2024/variant_figures/roussos_2024.adolescence.GLU/rs7738702_count_position.png",4,220,900)</f>
        <v/>
      </c>
      <c r="T3600">
        <f>IMAGE("https://mitra.stanford.edu/kundaje/oak/projects/neuro-variants/variant_position/credible/roussos_2024/variant_figures/roussos_2024.adolescence.GLU/rs7738702_profile_position.png",4,220,900)</f>
        <v/>
      </c>
    </row>
    <row r="3601">
      <c r="A3601" t="inlineStr">
        <is>
          <t>chr6</t>
        </is>
      </c>
      <c r="B3601" t="n">
        <v>113140926</v>
      </c>
      <c r="C3601" t="inlineStr">
        <is>
          <t>T</t>
        </is>
      </c>
      <c r="D3601" t="inlineStr">
        <is>
          <t>A</t>
        </is>
      </c>
      <c r="E3601" t="inlineStr">
        <is>
          <t>rs6937893</t>
        </is>
      </c>
      <c r="F3601" t="n">
        <v>0.01601377716</v>
      </c>
      <c r="G3601" t="n">
        <v>0.3718703451740667</v>
      </c>
      <c r="H3601" t="n">
        <v>0.009955746459993999</v>
      </c>
      <c r="I3601" t="n">
        <v>0.5354214280352597</v>
      </c>
      <c r="J3601" t="n">
        <v>0.0478027591429652</v>
      </c>
      <c r="K3601" t="n">
        <v>0.7075770243978055</v>
      </c>
      <c r="L3601" t="b">
        <v>0</v>
      </c>
      <c r="M3601" t="b">
        <v>0</v>
      </c>
      <c r="N3601" t="inlineStr">
        <is>
          <t>alt</t>
        </is>
      </c>
      <c r="O3601" t="n">
        <v>95</v>
      </c>
      <c r="P3601" t="n">
        <v>0.02351</v>
      </c>
      <c r="Q3601" t="n">
        <v>95</v>
      </c>
      <c r="R3601" t="n">
        <v>0.0547</v>
      </c>
      <c r="S3601">
        <f>IMAGE("https://mitra.stanford.edu/kundaje/oak/projects/neuro-variants/variant_position/credible/roussos_2024/variant_figures/roussos_2024.adolescence.GLU/rs6937893_count_position.png",4,220,900)</f>
        <v/>
      </c>
      <c r="T3601">
        <f>IMAGE("https://mitra.stanford.edu/kundaje/oak/projects/neuro-variants/variant_position/credible/roussos_2024/variant_figures/roussos_2024.adolescence.GLU/rs6937893_profile_position.png",4,220,900)</f>
        <v/>
      </c>
    </row>
    <row r="3602">
      <c r="A3602" t="inlineStr">
        <is>
          <t>chr6</t>
        </is>
      </c>
      <c r="B3602" t="n">
        <v>113142050</v>
      </c>
      <c r="C3602" t="inlineStr">
        <is>
          <t>C</t>
        </is>
      </c>
      <c r="D3602" t="inlineStr">
        <is>
          <t>T</t>
        </is>
      </c>
      <c r="E3602" t="inlineStr">
        <is>
          <t>rs13218679</t>
        </is>
      </c>
      <c r="F3602" t="n">
        <v>-0.0528449726</v>
      </c>
      <c r="G3602" t="n">
        <v>0.0613546709605077</v>
      </c>
      <c r="H3602" t="n">
        <v>0.011358693161628</v>
      </c>
      <c r="I3602" t="n">
        <v>0.3859510157891264</v>
      </c>
      <c r="J3602" t="n">
        <v>0.1184959741660772</v>
      </c>
      <c r="K3602" t="n">
        <v>0.5343302382503118</v>
      </c>
      <c r="L3602" t="b">
        <v>0</v>
      </c>
      <c r="M3602" t="b">
        <v>0</v>
      </c>
      <c r="N3602" t="inlineStr">
        <is>
          <t>ref</t>
        </is>
      </c>
      <c r="O3602" t="n">
        <v>90</v>
      </c>
      <c r="P3602" t="n">
        <v>0.004917</v>
      </c>
      <c r="Q3602" t="n">
        <v>95</v>
      </c>
      <c r="R3602" t="n">
        <v>0.04166</v>
      </c>
      <c r="S3602">
        <f>IMAGE("https://mitra.stanford.edu/kundaje/oak/projects/neuro-variants/variant_position/credible/roussos_2024/variant_figures/roussos_2024.adolescence.GLU/rs13218679_count_position.png",4,220,900)</f>
        <v/>
      </c>
      <c r="T3602">
        <f>IMAGE("https://mitra.stanford.edu/kundaje/oak/projects/neuro-variants/variant_position/credible/roussos_2024/variant_figures/roussos_2024.adolescence.GLU/rs13218679_profile_position.png",4,220,900)</f>
        <v/>
      </c>
    </row>
    <row r="3603">
      <c r="A3603" t="inlineStr">
        <is>
          <t>chr6</t>
        </is>
      </c>
      <c r="B3603" t="n">
        <v>113147292</v>
      </c>
      <c r="C3603" t="inlineStr">
        <is>
          <t>G</t>
        </is>
      </c>
      <c r="D3603" t="inlineStr">
        <is>
          <t>A</t>
        </is>
      </c>
      <c r="E3603" t="inlineStr">
        <is>
          <t>rs2502388</t>
        </is>
      </c>
      <c r="F3603" t="n">
        <v>-0.0534741792</v>
      </c>
      <c r="G3603" t="n">
        <v>0.0552956250297866</v>
      </c>
      <c r="H3603" t="n">
        <v>0.009877298773126</v>
      </c>
      <c r="I3603" t="n">
        <v>0.5304057238094596</v>
      </c>
      <c r="J3603" t="n">
        <v>0.1843581884818998</v>
      </c>
      <c r="K3603" t="n">
        <v>0.4218145492716607</v>
      </c>
      <c r="L3603" t="b">
        <v>0</v>
      </c>
      <c r="M3603" t="b">
        <v>0</v>
      </c>
      <c r="N3603" t="inlineStr">
        <is>
          <t>ref</t>
        </is>
      </c>
      <c r="O3603" t="n">
        <v>95</v>
      </c>
      <c r="P3603" t="n">
        <v>0.01877</v>
      </c>
      <c r="Q3603" t="n">
        <v>-100</v>
      </c>
      <c r="R3603" t="n">
        <v>0.08276</v>
      </c>
      <c r="S3603">
        <f>IMAGE("https://mitra.stanford.edu/kundaje/oak/projects/neuro-variants/variant_position/credible/roussos_2024/variant_figures/roussos_2024.adolescence.GLU/rs2502388_count_position.png",4,220,900)</f>
        <v/>
      </c>
      <c r="T3603">
        <f>IMAGE("https://mitra.stanford.edu/kundaje/oak/projects/neuro-variants/variant_position/credible/roussos_2024/variant_figures/roussos_2024.adolescence.GLU/rs2502388_profile_position.png",4,220,900)</f>
        <v/>
      </c>
    </row>
    <row r="3604">
      <c r="A3604" t="inlineStr">
        <is>
          <t>chr6</t>
        </is>
      </c>
      <c r="B3604" t="n">
        <v>113155934</v>
      </c>
      <c r="C3604" t="inlineStr">
        <is>
          <t>C</t>
        </is>
      </c>
      <c r="D3604" t="inlineStr">
        <is>
          <t>G</t>
        </is>
      </c>
      <c r="E3604" t="inlineStr">
        <is>
          <t>rs13195261</t>
        </is>
      </c>
      <c r="F3604" t="n">
        <v>0.06439043279999999</v>
      </c>
      <c r="G3604" t="n">
        <v>0.0311310708452419</v>
      </c>
      <c r="H3604" t="n">
        <v>0.0145643617843493</v>
      </c>
      <c r="I3604" t="n">
        <v>0.1907065573121975</v>
      </c>
      <c r="J3604" t="n">
        <v>0.1561937829979066</v>
      </c>
      <c r="K3604" t="n">
        <v>0.4656929239830985</v>
      </c>
      <c r="L3604" t="b">
        <v>0</v>
      </c>
      <c r="M3604" t="b">
        <v>0</v>
      </c>
      <c r="N3604" t="inlineStr">
        <is>
          <t>alt</t>
        </is>
      </c>
      <c r="O3604" t="n">
        <v>-15</v>
      </c>
      <c r="P3604" t="n">
        <v>0.005676</v>
      </c>
      <c r="Q3604" t="n">
        <v>75</v>
      </c>
      <c r="R3604" t="n">
        <v>0.03723</v>
      </c>
      <c r="S3604">
        <f>IMAGE("https://mitra.stanford.edu/kundaje/oak/projects/neuro-variants/variant_position/credible/roussos_2024/variant_figures/roussos_2024.adolescence.GLU/rs13195261_count_position.png",4,220,900)</f>
        <v/>
      </c>
      <c r="T3604">
        <f>IMAGE("https://mitra.stanford.edu/kundaje/oak/projects/neuro-variants/variant_position/credible/roussos_2024/variant_figures/roussos_2024.adolescence.GLU/rs13195261_profile_position.png",4,220,900)</f>
        <v/>
      </c>
    </row>
    <row r="3605">
      <c r="A3605" t="inlineStr">
        <is>
          <t>chr6</t>
        </is>
      </c>
      <c r="B3605" t="n">
        <v>113170851</v>
      </c>
      <c r="C3605" t="inlineStr">
        <is>
          <t>A</t>
        </is>
      </c>
      <c r="D3605" t="inlineStr">
        <is>
          <t>G</t>
        </is>
      </c>
      <c r="E3605" t="inlineStr">
        <is>
          <t>rs1321026</t>
        </is>
      </c>
      <c r="F3605" t="n">
        <v>-0.0150181283599999</v>
      </c>
      <c r="G3605" t="n">
        <v>0.4220903280194958</v>
      </c>
      <c r="H3605" t="n">
        <v>0.0262576325944179</v>
      </c>
      <c r="I3605" t="n">
        <v>0.017475993684435</v>
      </c>
      <c r="J3605" t="n">
        <v>0.0429503254245521</v>
      </c>
      <c r="K3605" t="n">
        <v>0.7260621292167266</v>
      </c>
      <c r="L3605" t="b">
        <v>1</v>
      </c>
      <c r="M3605" t="b">
        <v>0</v>
      </c>
      <c r="N3605" t="inlineStr">
        <is>
          <t>ref</t>
        </is>
      </c>
      <c r="O3605" t="n">
        <v>100</v>
      </c>
      <c r="P3605" t="n">
        <v>0.0094</v>
      </c>
      <c r="Q3605" t="n">
        <v>-95</v>
      </c>
      <c r="R3605" t="n">
        <v>0.03375</v>
      </c>
      <c r="S3605">
        <f>IMAGE("https://mitra.stanford.edu/kundaje/oak/projects/neuro-variants/variant_position/credible/roussos_2024/variant_figures/roussos_2024.adolescence.GLU/rs1321026_count_position.png",4,220,900)</f>
        <v/>
      </c>
      <c r="T3605">
        <f>IMAGE("https://mitra.stanford.edu/kundaje/oak/projects/neuro-variants/variant_position/credible/roussos_2024/variant_figures/roussos_2024.adolescence.GLU/rs1321026_profile_position.png",4,220,900)</f>
        <v/>
      </c>
    </row>
    <row r="3606">
      <c r="A3606" t="inlineStr">
        <is>
          <t>chr6</t>
        </is>
      </c>
      <c r="B3606" t="n">
        <v>118787200</v>
      </c>
      <c r="C3606" t="inlineStr">
        <is>
          <t>T</t>
        </is>
      </c>
      <c r="D3606" t="inlineStr">
        <is>
          <t>C</t>
        </is>
      </c>
      <c r="E3606" t="inlineStr">
        <is>
          <t>rs902780</t>
        </is>
      </c>
      <c r="F3606" t="n">
        <v>0.0649273804</v>
      </c>
      <c r="G3606" t="n">
        <v>0.0302919006086758</v>
      </c>
      <c r="H3606" t="n">
        <v>0.0183606902626384</v>
      </c>
      <c r="I3606" t="n">
        <v>0.0761829407213743</v>
      </c>
      <c r="J3606" t="n">
        <v>0.1965992955683677</v>
      </c>
      <c r="K3606" t="n">
        <v>0.4114777987631037</v>
      </c>
      <c r="L3606" t="b">
        <v>0</v>
      </c>
      <c r="M3606" t="b">
        <v>0</v>
      </c>
      <c r="N3606" t="inlineStr">
        <is>
          <t>alt</t>
        </is>
      </c>
      <c r="O3606" t="n">
        <v>-100</v>
      </c>
      <c r="P3606" t="n">
        <v>0.005703</v>
      </c>
      <c r="Q3606" t="n">
        <v>100</v>
      </c>
      <c r="R3606" t="n">
        <v>0.08765000000000001</v>
      </c>
      <c r="S3606">
        <f>IMAGE("https://mitra.stanford.edu/kundaje/oak/projects/neuro-variants/variant_position/credible/roussos_2024/variant_figures/roussos_2024.adolescence.GLU/rs902780_count_position.png",4,220,900)</f>
        <v/>
      </c>
      <c r="T3606">
        <f>IMAGE("https://mitra.stanford.edu/kundaje/oak/projects/neuro-variants/variant_position/credible/roussos_2024/variant_figures/roussos_2024.adolescence.GLU/rs902780_profile_position.png",4,220,900)</f>
        <v/>
      </c>
    </row>
    <row r="3607">
      <c r="A3607" t="inlineStr">
        <is>
          <t>chr6</t>
        </is>
      </c>
      <c r="B3607" t="n">
        <v>118935167</v>
      </c>
      <c r="C3607" t="inlineStr">
        <is>
          <t>A</t>
        </is>
      </c>
      <c r="D3607" t="inlineStr">
        <is>
          <t>C</t>
        </is>
      </c>
      <c r="E3607" t="inlineStr">
        <is>
          <t>rs114000233</t>
        </is>
      </c>
      <c r="F3607" t="n">
        <v>0.0267982864</v>
      </c>
      <c r="G3607" t="n">
        <v>0.1975273100964412</v>
      </c>
      <c r="H3607" t="n">
        <v>0.0218541972267981</v>
      </c>
      <c r="I3607" t="n">
        <v>0.0392418437817444</v>
      </c>
      <c r="J3607" t="n">
        <v>0.8356873923884232</v>
      </c>
      <c r="K3607" t="n">
        <v>0.0061379461563079</v>
      </c>
      <c r="L3607" t="b">
        <v>0</v>
      </c>
      <c r="M3607" t="b">
        <v>0</v>
      </c>
      <c r="N3607" t="inlineStr">
        <is>
          <t>alt</t>
        </is>
      </c>
      <c r="O3607" t="n">
        <v>-60</v>
      </c>
      <c r="P3607" t="n">
        <v>0.01917</v>
      </c>
      <c r="Q3607" t="n">
        <v>-60</v>
      </c>
      <c r="R3607" t="n">
        <v>0.1157</v>
      </c>
      <c r="S3607">
        <f>IMAGE("https://mitra.stanford.edu/kundaje/oak/projects/neuro-variants/variant_position/credible/roussos_2024/variant_figures/roussos_2024.adolescence.GLU/rs114000233_count_position.png",4,220,900)</f>
        <v/>
      </c>
      <c r="T3607">
        <f>IMAGE("https://mitra.stanford.edu/kundaje/oak/projects/neuro-variants/variant_position/credible/roussos_2024/variant_figures/roussos_2024.adolescence.GLU/rs114000233_profile_position.png",4,220,900)</f>
        <v/>
      </c>
    </row>
    <row r="3608">
      <c r="A3608" t="inlineStr">
        <is>
          <t>chr6</t>
        </is>
      </c>
      <c r="B3608" t="n">
        <v>118945469</v>
      </c>
      <c r="C3608" t="inlineStr">
        <is>
          <t>C</t>
        </is>
      </c>
      <c r="D3608" t="inlineStr">
        <is>
          <t>T</t>
        </is>
      </c>
      <c r="E3608" t="inlineStr">
        <is>
          <t>rs6901738</t>
        </is>
      </c>
      <c r="F3608" t="n">
        <v>-0.00607327622</v>
      </c>
      <c r="G3608" t="n">
        <v>0.6805738765106906</v>
      </c>
      <c r="H3608" t="n">
        <v>0.0184743027231834</v>
      </c>
      <c r="I3608" t="n">
        <v>0.07412500268134629</v>
      </c>
      <c r="J3608" t="n">
        <v>0.0077873273749562</v>
      </c>
      <c r="K3608" t="n">
        <v>0.9018175280630196</v>
      </c>
      <c r="L3608" t="b">
        <v>0</v>
      </c>
      <c r="M3608" t="b">
        <v>0</v>
      </c>
      <c r="N3608" t="inlineStr">
        <is>
          <t>ref</t>
        </is>
      </c>
      <c r="O3608" t="n">
        <v>-70</v>
      </c>
      <c r="P3608" t="n">
        <v>0.013824</v>
      </c>
      <c r="Q3608" t="n">
        <v>20</v>
      </c>
      <c r="R3608" t="n">
        <v>0.003662</v>
      </c>
      <c r="S3608">
        <f>IMAGE("https://mitra.stanford.edu/kundaje/oak/projects/neuro-variants/variant_position/credible/roussos_2024/variant_figures/roussos_2024.adolescence.GLU/rs6901738_count_position.png",4,220,900)</f>
        <v/>
      </c>
      <c r="T3608">
        <f>IMAGE("https://mitra.stanford.edu/kundaje/oak/projects/neuro-variants/variant_position/credible/roussos_2024/variant_figures/roussos_2024.adolescence.GLU/rs6901738_profile_position.png",4,220,900)</f>
        <v/>
      </c>
    </row>
    <row r="3609">
      <c r="A3609" t="inlineStr">
        <is>
          <t>chr6</t>
        </is>
      </c>
      <c r="B3609" t="n">
        <v>118979312</v>
      </c>
      <c r="C3609" t="inlineStr">
        <is>
          <t>A</t>
        </is>
      </c>
      <c r="D3609" t="inlineStr">
        <is>
          <t>G</t>
        </is>
      </c>
      <c r="E3609" t="inlineStr">
        <is>
          <t>rs4946382</t>
        </is>
      </c>
      <c r="F3609" t="n">
        <v>7.869067480000009e-05</v>
      </c>
      <c r="G3609" t="n">
        <v>0.8877397707450319</v>
      </c>
      <c r="H3609" t="n">
        <v>0.0255783378943425</v>
      </c>
      <c r="I3609" t="n">
        <v>0.0196333905417164</v>
      </c>
      <c r="J3609" t="n">
        <v>0.0195954876367247</v>
      </c>
      <c r="K3609" t="n">
        <v>0.8171385059393986</v>
      </c>
      <c r="L3609" t="b">
        <v>1</v>
      </c>
      <c r="M3609" t="b">
        <v>0</v>
      </c>
      <c r="N3609" t="inlineStr">
        <is>
          <t>alt</t>
        </is>
      </c>
      <c r="O3609" t="n">
        <v>70</v>
      </c>
      <c r="P3609" t="n">
        <v>0.00482</v>
      </c>
      <c r="Q3609" t="n">
        <v>85</v>
      </c>
      <c r="R3609" t="n">
        <v>0.04077</v>
      </c>
      <c r="S3609">
        <f>IMAGE("https://mitra.stanford.edu/kundaje/oak/projects/neuro-variants/variant_position/credible/roussos_2024/variant_figures/roussos_2024.adolescence.GLU/rs4946382_count_position.png",4,220,900)</f>
        <v/>
      </c>
      <c r="T3609">
        <f>IMAGE("https://mitra.stanford.edu/kundaje/oak/projects/neuro-variants/variant_position/credible/roussos_2024/variant_figures/roussos_2024.adolescence.GLU/rs4946382_profile_position.png",4,220,900)</f>
        <v/>
      </c>
    </row>
    <row r="3610">
      <c r="A3610" t="inlineStr">
        <is>
          <t>chr6</t>
        </is>
      </c>
      <c r="B3610" t="n">
        <v>119012273</v>
      </c>
      <c r="C3610" t="inlineStr">
        <is>
          <t>A</t>
        </is>
      </c>
      <c r="D3610" t="inlineStr">
        <is>
          <t>T</t>
        </is>
      </c>
      <c r="E3610" t="inlineStr">
        <is>
          <t>rs1775620</t>
        </is>
      </c>
      <c r="F3610" t="n">
        <v>0.00999934448</v>
      </c>
      <c r="G3610" t="n">
        <v>0.502162135925182</v>
      </c>
      <c r="H3610" t="n">
        <v>0.009434185200737201</v>
      </c>
      <c r="I3610" t="n">
        <v>0.590310574750427</v>
      </c>
      <c r="J3610" t="n">
        <v>0.09095598373948879</v>
      </c>
      <c r="K3610" t="n">
        <v>0.5896185780272138</v>
      </c>
      <c r="L3610" t="b">
        <v>0</v>
      </c>
      <c r="M3610" t="b">
        <v>0</v>
      </c>
      <c r="N3610" t="inlineStr">
        <is>
          <t>alt</t>
        </is>
      </c>
      <c r="O3610" t="n">
        <v>65</v>
      </c>
      <c r="P3610" t="n">
        <v>0.003319</v>
      </c>
      <c r="Q3610" t="n">
        <v>-100</v>
      </c>
      <c r="R3610" t="n">
        <v>0.06945999999999999</v>
      </c>
      <c r="S3610">
        <f>IMAGE("https://mitra.stanford.edu/kundaje/oak/projects/neuro-variants/variant_position/credible/roussos_2024/variant_figures/roussos_2024.adolescence.GLU/rs1775620_count_position.png",4,220,900)</f>
        <v/>
      </c>
      <c r="T3610">
        <f>IMAGE("https://mitra.stanford.edu/kundaje/oak/projects/neuro-variants/variant_position/credible/roussos_2024/variant_figures/roussos_2024.adolescence.GLU/rs1775620_profile_position.png",4,220,900)</f>
        <v/>
      </c>
    </row>
    <row r="3611">
      <c r="A3611" t="inlineStr">
        <is>
          <t>chr6</t>
        </is>
      </c>
      <c r="B3611" t="n">
        <v>119020840</v>
      </c>
      <c r="C3611" t="inlineStr">
        <is>
          <t>C</t>
        </is>
      </c>
      <c r="D3611" t="inlineStr">
        <is>
          <t>G</t>
        </is>
      </c>
      <c r="E3611" t="inlineStr">
        <is>
          <t>rs6931074</t>
        </is>
      </c>
      <c r="F3611" t="n">
        <v>0.07377574119999999</v>
      </c>
      <c r="G3611" t="n">
        <v>0.0204657761374891</v>
      </c>
      <c r="H3611" t="n">
        <v>0.0151994007732138</v>
      </c>
      <c r="I3611" t="n">
        <v>0.1631748328433928</v>
      </c>
      <c r="J3611" t="n">
        <v>0.1645540862035707</v>
      </c>
      <c r="K3611" t="n">
        <v>0.4537831468597621</v>
      </c>
      <c r="L3611" t="b">
        <v>0</v>
      </c>
      <c r="M3611" t="b">
        <v>0</v>
      </c>
      <c r="N3611" t="inlineStr">
        <is>
          <t>alt</t>
        </is>
      </c>
      <c r="O3611" t="n">
        <v>-95</v>
      </c>
      <c r="P3611" t="n">
        <v>0.02841</v>
      </c>
      <c r="Q3611" t="n">
        <v>-100</v>
      </c>
      <c r="R3611" t="n">
        <v>0.03046</v>
      </c>
      <c r="S3611">
        <f>IMAGE("https://mitra.stanford.edu/kundaje/oak/projects/neuro-variants/variant_position/credible/roussos_2024/variant_figures/roussos_2024.adolescence.GLU/rs6931074_count_position.png",4,220,900)</f>
        <v/>
      </c>
      <c r="T3611">
        <f>IMAGE("https://mitra.stanford.edu/kundaje/oak/projects/neuro-variants/variant_position/credible/roussos_2024/variant_figures/roussos_2024.adolescence.GLU/rs6931074_profile_position.png",4,220,900)</f>
        <v/>
      </c>
    </row>
    <row r="3612">
      <c r="A3612" t="inlineStr">
        <is>
          <t>chr6</t>
        </is>
      </c>
      <c r="B3612" t="n">
        <v>119023364</v>
      </c>
      <c r="C3612" t="inlineStr">
        <is>
          <t>C</t>
        </is>
      </c>
      <c r="D3612" t="inlineStr">
        <is>
          <t>T</t>
        </is>
      </c>
      <c r="E3612" t="inlineStr">
        <is>
          <t>rs2357023</t>
        </is>
      </c>
      <c r="F3612" t="n">
        <v>-0.104372164</v>
      </c>
      <c r="G3612" t="n">
        <v>0.0079979634661926</v>
      </c>
      <c r="H3612" t="n">
        <v>0.0224102245786056</v>
      </c>
      <c r="I3612" t="n">
        <v>0.0420837965536212</v>
      </c>
      <c r="J3612" t="n">
        <v>0.1170442448792964</v>
      </c>
      <c r="K3612" t="n">
        <v>0.5401724241754096</v>
      </c>
      <c r="L3612" t="b">
        <v>1</v>
      </c>
      <c r="M3612" t="b">
        <v>1</v>
      </c>
      <c r="N3612" t="inlineStr">
        <is>
          <t>ref</t>
        </is>
      </c>
      <c r="O3612" t="n">
        <v>100</v>
      </c>
      <c r="P3612" t="n">
        <v>0.00409</v>
      </c>
      <c r="Q3612" t="n">
        <v>100</v>
      </c>
      <c r="R3612" t="n">
        <v>0.10034</v>
      </c>
      <c r="S3612">
        <f>IMAGE("https://mitra.stanford.edu/kundaje/oak/projects/neuro-variants/variant_position/credible/roussos_2024/variant_figures/roussos_2024.adolescence.GLU/rs2357023_count_position.png",4,220,900)</f>
        <v/>
      </c>
      <c r="T3612">
        <f>IMAGE("https://mitra.stanford.edu/kundaje/oak/projects/neuro-variants/variant_position/credible/roussos_2024/variant_figures/roussos_2024.adolescence.GLU/rs2357023_profile_position.png",4,220,900)</f>
        <v/>
      </c>
    </row>
    <row r="3613">
      <c r="A3613" t="inlineStr">
        <is>
          <t>chr6</t>
        </is>
      </c>
      <c r="B3613" t="n">
        <v>119025747</v>
      </c>
      <c r="C3613" t="inlineStr">
        <is>
          <t>G</t>
        </is>
      </c>
      <c r="D3613" t="inlineStr">
        <is>
          <t>A</t>
        </is>
      </c>
      <c r="E3613" t="inlineStr">
        <is>
          <t>rs6929403</t>
        </is>
      </c>
      <c r="F3613" t="n">
        <v>-0.0790399688</v>
      </c>
      <c r="G3613" t="n">
        <v>0.0169547793938368</v>
      </c>
      <c r="H3613" t="n">
        <v>0.0134930107785755</v>
      </c>
      <c r="I3613" t="n">
        <v>0.2387498425316001</v>
      </c>
      <c r="J3613" t="n">
        <v>0.2822256038750884</v>
      </c>
      <c r="K3613" t="n">
        <v>0.2908208029812926</v>
      </c>
      <c r="L3613" t="b">
        <v>1</v>
      </c>
      <c r="M3613" t="b">
        <v>0</v>
      </c>
      <c r="N3613" t="inlineStr">
        <is>
          <t>ref</t>
        </is>
      </c>
      <c r="O3613" t="n">
        <v>100</v>
      </c>
      <c r="P3613" t="n">
        <v>0.03044</v>
      </c>
      <c r="Q3613" t="n">
        <v>100</v>
      </c>
      <c r="R3613" t="n">
        <v>0.05298</v>
      </c>
      <c r="S3613">
        <f>IMAGE("https://mitra.stanford.edu/kundaje/oak/projects/neuro-variants/variant_position/credible/roussos_2024/variant_figures/roussos_2024.adolescence.GLU/rs6929403_count_position.png",4,220,900)</f>
        <v/>
      </c>
      <c r="T3613">
        <f>IMAGE("https://mitra.stanford.edu/kundaje/oak/projects/neuro-variants/variant_position/credible/roussos_2024/variant_figures/roussos_2024.adolescence.GLU/rs6929403_profile_position.png",4,220,900)</f>
        <v/>
      </c>
    </row>
    <row r="3614">
      <c r="A3614" t="inlineStr">
        <is>
          <t>chr6</t>
        </is>
      </c>
      <c r="B3614" t="n">
        <v>119027102</v>
      </c>
      <c r="C3614" t="inlineStr">
        <is>
          <t>C</t>
        </is>
      </c>
      <c r="D3614" t="inlineStr">
        <is>
          <t>A</t>
        </is>
      </c>
      <c r="E3614" t="inlineStr">
        <is>
          <t>rs794249</t>
        </is>
      </c>
      <c r="F3614" t="n">
        <v>0.0271256284</v>
      </c>
      <c r="G3614" t="n">
        <v>0.190324640258353</v>
      </c>
      <c r="H3614" t="n">
        <v>0.0176302829834395</v>
      </c>
      <c r="I3614" t="n">
        <v>0.0940336276042823</v>
      </c>
      <c r="J3614" t="n">
        <v>0.1884676111480235</v>
      </c>
      <c r="K3614" t="n">
        <v>0.42403293986808</v>
      </c>
      <c r="L3614" t="b">
        <v>0</v>
      </c>
      <c r="M3614" t="b">
        <v>0</v>
      </c>
      <c r="N3614" t="inlineStr">
        <is>
          <t>alt</t>
        </is>
      </c>
      <c r="O3614" t="n">
        <v>-85</v>
      </c>
      <c r="P3614" t="n">
        <v>0.010544</v>
      </c>
      <c r="Q3614" t="n">
        <v>85</v>
      </c>
      <c r="R3614" t="n">
        <v>0.03058</v>
      </c>
      <c r="S3614">
        <f>IMAGE("https://mitra.stanford.edu/kundaje/oak/projects/neuro-variants/variant_position/credible/roussos_2024/variant_figures/roussos_2024.adolescence.GLU/rs794249_count_position.png",4,220,900)</f>
        <v/>
      </c>
      <c r="T3614">
        <f>IMAGE("https://mitra.stanford.edu/kundaje/oak/projects/neuro-variants/variant_position/credible/roussos_2024/variant_figures/roussos_2024.adolescence.GLU/rs794249_profile_position.png",4,220,900)</f>
        <v/>
      </c>
    </row>
    <row r="3615">
      <c r="A3615" t="inlineStr">
        <is>
          <t>chr6</t>
        </is>
      </c>
      <c r="B3615" t="n">
        <v>143306931</v>
      </c>
      <c r="C3615" t="inlineStr">
        <is>
          <t>C</t>
        </is>
      </c>
      <c r="D3615" t="inlineStr">
        <is>
          <t>T</t>
        </is>
      </c>
      <c r="E3615" t="inlineStr">
        <is>
          <t>rs7451540</t>
        </is>
      </c>
      <c r="F3615" t="n">
        <v>0.00618251166</v>
      </c>
      <c r="G3615" t="n">
        <v>0.6494401979711617</v>
      </c>
      <c r="H3615" t="n">
        <v>0.0125823341895304</v>
      </c>
      <c r="I3615" t="n">
        <v>0.2715118632906266</v>
      </c>
      <c r="J3615" t="n">
        <v>0.2664580520250623</v>
      </c>
      <c r="K3615" t="n">
        <v>0.3116177554157312</v>
      </c>
      <c r="L3615" t="b">
        <v>0</v>
      </c>
      <c r="M3615" t="b">
        <v>0</v>
      </c>
      <c r="N3615" t="inlineStr">
        <is>
          <t>alt</t>
        </is>
      </c>
      <c r="O3615" t="n">
        <v>100</v>
      </c>
      <c r="P3615" t="n">
        <v>0.02112</v>
      </c>
      <c r="Q3615" t="n">
        <v>100</v>
      </c>
      <c r="R3615" t="n">
        <v>0.02151</v>
      </c>
      <c r="S3615">
        <f>IMAGE("https://mitra.stanford.edu/kundaje/oak/projects/neuro-variants/variant_position/credible/roussos_2024/variant_figures/roussos_2024.adolescence.GLU/rs7451540_count_position.png",4,220,900)</f>
        <v/>
      </c>
      <c r="T3615">
        <f>IMAGE("https://mitra.stanford.edu/kundaje/oak/projects/neuro-variants/variant_position/credible/roussos_2024/variant_figures/roussos_2024.adolescence.GLU/rs7451540_profile_position.png",4,220,900)</f>
        <v/>
      </c>
    </row>
    <row r="3616">
      <c r="A3616" t="inlineStr">
        <is>
          <t>chr6</t>
        </is>
      </c>
      <c r="B3616" t="n">
        <v>143323898</v>
      </c>
      <c r="C3616" t="inlineStr">
        <is>
          <t>G</t>
        </is>
      </c>
      <c r="D3616" t="inlineStr">
        <is>
          <t>T</t>
        </is>
      </c>
      <c r="E3616" t="inlineStr">
        <is>
          <t>rs9376742</t>
        </is>
      </c>
      <c r="F3616" t="n">
        <v>-0.01263281188</v>
      </c>
      <c r="G3616" t="n">
        <v>0.4470041855116252</v>
      </c>
      <c r="H3616" t="n">
        <v>0.008049747959307799</v>
      </c>
      <c r="I3616" t="n">
        <v>0.7849746739205082</v>
      </c>
      <c r="J3616" t="n">
        <v>0.1870158818612426</v>
      </c>
      <c r="K3616" t="n">
        <v>0.41997508659814</v>
      </c>
      <c r="L3616" t="b">
        <v>0</v>
      </c>
      <c r="M3616" t="b">
        <v>0</v>
      </c>
      <c r="N3616" t="inlineStr">
        <is>
          <t>ref</t>
        </is>
      </c>
      <c r="O3616" t="n">
        <v>30</v>
      </c>
      <c r="P3616" t="n">
        <v>0.002113</v>
      </c>
      <c r="Q3616" t="n">
        <v>-100</v>
      </c>
      <c r="R3616" t="n">
        <v>0.0735</v>
      </c>
      <c r="S3616">
        <f>IMAGE("https://mitra.stanford.edu/kundaje/oak/projects/neuro-variants/variant_position/credible/roussos_2024/variant_figures/roussos_2024.adolescence.GLU/rs9376742_count_position.png",4,220,900)</f>
        <v/>
      </c>
      <c r="T3616">
        <f>IMAGE("https://mitra.stanford.edu/kundaje/oak/projects/neuro-variants/variant_position/credible/roussos_2024/variant_figures/roussos_2024.adolescence.GLU/rs9376742_profile_position.png",4,220,900)</f>
        <v/>
      </c>
    </row>
    <row r="3617">
      <c r="A3617" t="inlineStr">
        <is>
          <t>chr6</t>
        </is>
      </c>
      <c r="B3617" t="n">
        <v>143333488</v>
      </c>
      <c r="C3617" t="inlineStr">
        <is>
          <t>C</t>
        </is>
      </c>
      <c r="D3617" t="inlineStr">
        <is>
          <t>T</t>
        </is>
      </c>
      <c r="E3617" t="inlineStr">
        <is>
          <t>rs2303386</t>
        </is>
      </c>
      <c r="F3617" t="n">
        <v>-0.0583975192</v>
      </c>
      <c r="G3617" t="n">
        <v>0.0410954973828873</v>
      </c>
      <c r="H3617" t="n">
        <v>0.0103787374054136</v>
      </c>
      <c r="I3617" t="n">
        <v>0.4786220026821984</v>
      </c>
      <c r="J3617" t="n">
        <v>0.2270598909774167</v>
      </c>
      <c r="K3617" t="n">
        <v>0.3605771211910985</v>
      </c>
      <c r="L3617" t="b">
        <v>0</v>
      </c>
      <c r="M3617" t="b">
        <v>0</v>
      </c>
      <c r="N3617" t="inlineStr">
        <is>
          <t>ref</t>
        </is>
      </c>
      <c r="O3617" t="n">
        <v>90</v>
      </c>
      <c r="P3617" t="n">
        <v>0.00763</v>
      </c>
      <c r="Q3617" t="n">
        <v>-95</v>
      </c>
      <c r="R3617" t="n">
        <v>0.04797</v>
      </c>
      <c r="S3617">
        <f>IMAGE("https://mitra.stanford.edu/kundaje/oak/projects/neuro-variants/variant_position/credible/roussos_2024/variant_figures/roussos_2024.adolescence.GLU/rs2303386_count_position.png",4,220,900)</f>
        <v/>
      </c>
      <c r="T3617">
        <f>IMAGE("https://mitra.stanford.edu/kundaje/oak/projects/neuro-variants/variant_position/credible/roussos_2024/variant_figures/roussos_2024.adolescence.GLU/rs2303386_profile_position.png",4,220,900)</f>
        <v/>
      </c>
    </row>
    <row r="3618">
      <c r="A3618" t="inlineStr">
        <is>
          <t>chr6</t>
        </is>
      </c>
      <c r="B3618" t="n">
        <v>144569896</v>
      </c>
      <c r="C3618" t="inlineStr">
        <is>
          <t>A</t>
        </is>
      </c>
      <c r="D3618" t="inlineStr">
        <is>
          <t>G</t>
        </is>
      </c>
      <c r="E3618" t="inlineStr">
        <is>
          <t>rs9376824</t>
        </is>
      </c>
      <c r="F3618" t="n">
        <v>-0.0460279548</v>
      </c>
      <c r="G3618" t="n">
        <v>0.09767214065535811</v>
      </c>
      <c r="H3618" t="n">
        <v>0.0268973902741972</v>
      </c>
      <c r="I3618" t="n">
        <v>0.0238287777464781</v>
      </c>
      <c r="J3618" t="n">
        <v>0.007965935800987299</v>
      </c>
      <c r="K3618" t="n">
        <v>0.8972965742852107</v>
      </c>
      <c r="L3618" t="b">
        <v>0</v>
      </c>
      <c r="M3618" t="b">
        <v>0</v>
      </c>
      <c r="N3618" t="inlineStr">
        <is>
          <t>ref</t>
        </is>
      </c>
      <c r="O3618" t="n">
        <v>100</v>
      </c>
      <c r="P3618" t="n">
        <v>0.003433</v>
      </c>
      <c r="Q3618" t="n">
        <v>-40</v>
      </c>
      <c r="R3618" t="n">
        <v>0.003906</v>
      </c>
      <c r="S3618">
        <f>IMAGE("https://mitra.stanford.edu/kundaje/oak/projects/neuro-variants/variant_position/credible/roussos_2024/variant_figures/roussos_2024.adolescence.GLU/rs9376824_count_position.png",4,220,900)</f>
        <v/>
      </c>
      <c r="T3618">
        <f>IMAGE("https://mitra.stanford.edu/kundaje/oak/projects/neuro-variants/variant_position/credible/roussos_2024/variant_figures/roussos_2024.adolescence.GLU/rs9376824_profile_position.png",4,220,900)</f>
        <v/>
      </c>
    </row>
    <row r="3619">
      <c r="A3619" t="inlineStr">
        <is>
          <t>chr6</t>
        </is>
      </c>
      <c r="B3619" t="n">
        <v>144588611</v>
      </c>
      <c r="C3619" t="inlineStr">
        <is>
          <t>G</t>
        </is>
      </c>
      <c r="D3619" t="inlineStr">
        <is>
          <t>A</t>
        </is>
      </c>
      <c r="E3619" t="inlineStr">
        <is>
          <t>rs4896728</t>
        </is>
      </c>
      <c r="F3619" t="n">
        <v>-0.00523595176</v>
      </c>
      <c r="G3619" t="n">
        <v>0.7226514167630833</v>
      </c>
      <c r="H3619" t="n">
        <v>0.0160726963625524</v>
      </c>
      <c r="I3619" t="n">
        <v>0.1309435324458317</v>
      </c>
      <c r="J3619" t="n">
        <v>0.0229919054661322</v>
      </c>
      <c r="K3619" t="n">
        <v>0.8071345454932066</v>
      </c>
      <c r="L3619" t="b">
        <v>0</v>
      </c>
      <c r="M3619" t="b">
        <v>0</v>
      </c>
      <c r="N3619" t="inlineStr">
        <is>
          <t>ref</t>
        </is>
      </c>
      <c r="O3619" t="n">
        <v>70</v>
      </c>
      <c r="P3619" t="n">
        <v>0.004185</v>
      </c>
      <c r="Q3619" t="n">
        <v>15</v>
      </c>
      <c r="R3619" t="n">
        <v>0.00961</v>
      </c>
      <c r="S3619">
        <f>IMAGE("https://mitra.stanford.edu/kundaje/oak/projects/neuro-variants/variant_position/credible/roussos_2024/variant_figures/roussos_2024.adolescence.GLU/rs4896728_count_position.png",4,220,900)</f>
        <v/>
      </c>
      <c r="T3619">
        <f>IMAGE("https://mitra.stanford.edu/kundaje/oak/projects/neuro-variants/variant_position/credible/roussos_2024/variant_figures/roussos_2024.adolescence.GLU/rs4896728_profile_position.png",4,220,900)</f>
        <v/>
      </c>
    </row>
    <row r="3620">
      <c r="A3620" t="inlineStr">
        <is>
          <t>chr6</t>
        </is>
      </c>
      <c r="B3620" t="n">
        <v>144593189</v>
      </c>
      <c r="C3620" t="inlineStr">
        <is>
          <t>A</t>
        </is>
      </c>
      <c r="D3620" t="inlineStr">
        <is>
          <t>G</t>
        </is>
      </c>
      <c r="E3620" t="inlineStr">
        <is>
          <t>rs9376826</t>
        </is>
      </c>
      <c r="F3620" t="n">
        <v>0.0117205243</v>
      </c>
      <c r="G3620" t="n">
        <v>0.4520708801189526</v>
      </c>
      <c r="H3620" t="n">
        <v>0.0122549506629781</v>
      </c>
      <c r="I3620" t="n">
        <v>0.3244015627046772</v>
      </c>
      <c r="J3620" t="n">
        <v>0.4780590265126347</v>
      </c>
      <c r="K3620" t="n">
        <v>0.1005735711181018</v>
      </c>
      <c r="L3620" t="b">
        <v>0</v>
      </c>
      <c r="M3620" t="b">
        <v>0</v>
      </c>
      <c r="N3620" t="inlineStr">
        <is>
          <t>alt</t>
        </is>
      </c>
      <c r="O3620" t="n">
        <v>30</v>
      </c>
      <c r="P3620" t="n">
        <v>0.03906</v>
      </c>
      <c r="Q3620" t="n">
        <v>100</v>
      </c>
      <c r="R3620" t="n">
        <v>0.02185</v>
      </c>
      <c r="S3620">
        <f>IMAGE("https://mitra.stanford.edu/kundaje/oak/projects/neuro-variants/variant_position/credible/roussos_2024/variant_figures/roussos_2024.adolescence.GLU/rs9376826_count_position.png",4,220,900)</f>
        <v/>
      </c>
      <c r="T3620">
        <f>IMAGE("https://mitra.stanford.edu/kundaje/oak/projects/neuro-variants/variant_position/credible/roussos_2024/variant_figures/roussos_2024.adolescence.GLU/rs9376826_profile_position.png",4,220,900)</f>
        <v/>
      </c>
    </row>
    <row r="3621">
      <c r="A3621" t="inlineStr">
        <is>
          <t>chr6</t>
        </is>
      </c>
      <c r="B3621" t="n">
        <v>144674342</v>
      </c>
      <c r="C3621" t="inlineStr">
        <is>
          <t>A</t>
        </is>
      </c>
      <c r="D3621" t="inlineStr">
        <is>
          <t>C</t>
        </is>
      </c>
      <c r="E3621" t="inlineStr">
        <is>
          <t>rs9399485</t>
        </is>
      </c>
      <c r="F3621" t="n">
        <v>0.00558786674</v>
      </c>
      <c r="G3621" t="n">
        <v>0.657632210037539</v>
      </c>
      <c r="H3621" t="n">
        <v>0.0177003354095014</v>
      </c>
      <c r="I3621" t="n">
        <v>0.0998966180556332</v>
      </c>
      <c r="J3621" t="n">
        <v>0.0116609869187188</v>
      </c>
      <c r="K3621" t="n">
        <v>0.8665904736155653</v>
      </c>
      <c r="L3621" t="b">
        <v>0</v>
      </c>
      <c r="M3621" t="b">
        <v>0</v>
      </c>
      <c r="N3621" t="inlineStr">
        <is>
          <t>alt</t>
        </is>
      </c>
      <c r="O3621" t="n">
        <v>-50</v>
      </c>
      <c r="P3621" t="n">
        <v>0.005737</v>
      </c>
      <c r="Q3621" t="n">
        <v>15</v>
      </c>
      <c r="R3621" t="n">
        <v>0.01817</v>
      </c>
      <c r="S3621">
        <f>IMAGE("https://mitra.stanford.edu/kundaje/oak/projects/neuro-variants/variant_position/credible/roussos_2024/variant_figures/roussos_2024.adolescence.GLU/rs9399485_count_position.png",4,220,900)</f>
        <v/>
      </c>
      <c r="T3621">
        <f>IMAGE("https://mitra.stanford.edu/kundaje/oak/projects/neuro-variants/variant_position/credible/roussos_2024/variant_figures/roussos_2024.adolescence.GLU/rs9399485_profile_position.png",4,220,900)</f>
        <v/>
      </c>
    </row>
    <row r="3622">
      <c r="A3622" t="inlineStr">
        <is>
          <t>chr6</t>
        </is>
      </c>
      <c r="B3622" t="n">
        <v>144730672</v>
      </c>
      <c r="C3622" t="inlineStr">
        <is>
          <t>A</t>
        </is>
      </c>
      <c r="D3622" t="inlineStr">
        <is>
          <t>C</t>
        </is>
      </c>
      <c r="E3622" t="inlineStr">
        <is>
          <t>rs9403593</t>
        </is>
      </c>
      <c r="F3622" t="n">
        <v>-0.0021186073799999</v>
      </c>
      <c r="G3622" t="n">
        <v>0.8104985180498973</v>
      </c>
      <c r="H3622" t="n">
        <v>0.0327786654500567</v>
      </c>
      <c r="I3622" t="n">
        <v>0.005592029358832</v>
      </c>
      <c r="J3622" t="n">
        <v>0.0018189482107007</v>
      </c>
      <c r="K3622" t="n">
        <v>0.9559396235327852</v>
      </c>
      <c r="L3622" t="b">
        <v>0</v>
      </c>
      <c r="M3622" t="b">
        <v>0</v>
      </c>
      <c r="N3622" t="inlineStr">
        <is>
          <t>ref</t>
        </is>
      </c>
      <c r="O3622" t="n">
        <v>-5</v>
      </c>
      <c r="P3622" t="n">
        <v>0.000412</v>
      </c>
      <c r="Q3622" t="n">
        <v>-100</v>
      </c>
      <c r="R3622" t="n">
        <v>0.06696000000000001</v>
      </c>
      <c r="S3622">
        <f>IMAGE("https://mitra.stanford.edu/kundaje/oak/projects/neuro-variants/variant_position/credible/roussos_2024/variant_figures/roussos_2024.adolescence.GLU/rs9403593_count_position.png",4,220,900)</f>
        <v/>
      </c>
      <c r="T3622">
        <f>IMAGE("https://mitra.stanford.edu/kundaje/oak/projects/neuro-variants/variant_position/credible/roussos_2024/variant_figures/roussos_2024.adolescence.GLU/rs9403593_profile_position.png",4,220,900)</f>
        <v/>
      </c>
    </row>
    <row r="3623">
      <c r="A3623" t="inlineStr">
        <is>
          <t>chr6</t>
        </is>
      </c>
      <c r="B3623" t="n">
        <v>144752704</v>
      </c>
      <c r="C3623" t="inlineStr">
        <is>
          <t>A</t>
        </is>
      </c>
      <c r="D3623" t="inlineStr">
        <is>
          <t>G</t>
        </is>
      </c>
      <c r="E3623" t="inlineStr">
        <is>
          <t>rs4131500</t>
        </is>
      </c>
      <c r="F3623" t="n">
        <v>0.0451563478</v>
      </c>
      <c r="G3623" t="n">
        <v>0.0892160078446342</v>
      </c>
      <c r="H3623" t="n">
        <v>0.0190217622368755</v>
      </c>
      <c r="I3623" t="n">
        <v>0.0842229198296897</v>
      </c>
      <c r="J3623" t="n">
        <v>0.0049510255695822</v>
      </c>
      <c r="K3623" t="n">
        <v>0.9208501461364028</v>
      </c>
      <c r="L3623" t="b">
        <v>0</v>
      </c>
      <c r="M3623" t="b">
        <v>0</v>
      </c>
      <c r="N3623" t="inlineStr">
        <is>
          <t>alt</t>
        </is>
      </c>
      <c r="O3623" t="n">
        <v>-85</v>
      </c>
      <c r="P3623" t="n">
        <v>0.002954</v>
      </c>
      <c r="Q3623" t="n">
        <v>60</v>
      </c>
      <c r="R3623" t="n">
        <v>0.06836</v>
      </c>
      <c r="S3623">
        <f>IMAGE("https://mitra.stanford.edu/kundaje/oak/projects/neuro-variants/variant_position/credible/roussos_2024/variant_figures/roussos_2024.adolescence.GLU/rs4131500_count_position.png",4,220,900)</f>
        <v/>
      </c>
      <c r="T3623">
        <f>IMAGE("https://mitra.stanford.edu/kundaje/oak/projects/neuro-variants/variant_position/credible/roussos_2024/variant_figures/roussos_2024.adolescence.GLU/rs4131500_profile_position.png",4,220,900)</f>
        <v/>
      </c>
    </row>
    <row r="3624">
      <c r="A3624" t="inlineStr">
        <is>
          <t>chr6</t>
        </is>
      </c>
      <c r="B3624" t="n">
        <v>144757558</v>
      </c>
      <c r="C3624" t="inlineStr">
        <is>
          <t>T</t>
        </is>
      </c>
      <c r="D3624" t="inlineStr">
        <is>
          <t>C</t>
        </is>
      </c>
      <c r="E3624" t="inlineStr">
        <is>
          <t>rs6927442</t>
        </is>
      </c>
      <c r="F3624" t="n">
        <v>0.0470323206</v>
      </c>
      <c r="G3624" t="n">
        <v>0.0713496592414689</v>
      </c>
      <c r="H3624" t="n">
        <v>0.0128761645507492</v>
      </c>
      <c r="I3624" t="n">
        <v>0.259588447343155</v>
      </c>
      <c r="J3624" t="n">
        <v>0.0423087639582484</v>
      </c>
      <c r="K3624" t="n">
        <v>0.7224958754648488</v>
      </c>
      <c r="L3624" t="b">
        <v>0</v>
      </c>
      <c r="M3624" t="b">
        <v>0</v>
      </c>
      <c r="N3624" t="inlineStr">
        <is>
          <t>alt</t>
        </is>
      </c>
      <c r="O3624" t="n">
        <v>-65</v>
      </c>
      <c r="P3624" t="n">
        <v>0.007668</v>
      </c>
      <c r="Q3624" t="n">
        <v>-60</v>
      </c>
      <c r="R3624" t="n">
        <v>0.0373</v>
      </c>
      <c r="S3624">
        <f>IMAGE("https://mitra.stanford.edu/kundaje/oak/projects/neuro-variants/variant_position/credible/roussos_2024/variant_figures/roussos_2024.adolescence.GLU/rs6927442_count_position.png",4,220,900)</f>
        <v/>
      </c>
      <c r="T3624">
        <f>IMAGE("https://mitra.stanford.edu/kundaje/oak/projects/neuro-variants/variant_position/credible/roussos_2024/variant_figures/roussos_2024.adolescence.GLU/rs6927442_profile_position.png",4,220,900)</f>
        <v/>
      </c>
    </row>
    <row r="3625">
      <c r="A3625" t="inlineStr">
        <is>
          <t>chr6</t>
        </is>
      </c>
      <c r="B3625" t="n">
        <v>144799546</v>
      </c>
      <c r="C3625" t="inlineStr">
        <is>
          <t>A</t>
        </is>
      </c>
      <c r="D3625" t="inlineStr">
        <is>
          <t>G</t>
        </is>
      </c>
      <c r="E3625" t="inlineStr">
        <is>
          <t>rs9376859</t>
        </is>
      </c>
      <c r="F3625" t="n">
        <v>0.02164954966</v>
      </c>
      <c r="G3625" t="n">
        <v>0.2965679345985365</v>
      </c>
      <c r="H3625" t="n">
        <v>0.0127130960739219</v>
      </c>
      <c r="I3625" t="n">
        <v>0.3227085125782772</v>
      </c>
      <c r="J3625" t="n">
        <v>0.0474383979538618</v>
      </c>
      <c r="K3625" t="n">
        <v>0.7155617155191423</v>
      </c>
      <c r="L3625" t="b">
        <v>0</v>
      </c>
      <c r="M3625" t="b">
        <v>0</v>
      </c>
      <c r="N3625" t="inlineStr">
        <is>
          <t>alt</t>
        </is>
      </c>
      <c r="O3625" t="n">
        <v>-80</v>
      </c>
      <c r="P3625" t="n">
        <v>0.002914</v>
      </c>
      <c r="Q3625" t="n">
        <v>-75</v>
      </c>
      <c r="R3625" t="n">
        <v>0.06088</v>
      </c>
      <c r="S3625">
        <f>IMAGE("https://mitra.stanford.edu/kundaje/oak/projects/neuro-variants/variant_position/credible/roussos_2024/variant_figures/roussos_2024.adolescence.GLU/rs9376859_count_position.png",4,220,900)</f>
        <v/>
      </c>
      <c r="T3625">
        <f>IMAGE("https://mitra.stanford.edu/kundaje/oak/projects/neuro-variants/variant_position/credible/roussos_2024/variant_figures/roussos_2024.adolescence.GLU/rs9376859_profile_position.png",4,220,900)</f>
        <v/>
      </c>
    </row>
    <row r="3626">
      <c r="A3626" t="inlineStr">
        <is>
          <t>chr6</t>
        </is>
      </c>
      <c r="B3626" t="n">
        <v>146424720</v>
      </c>
      <c r="C3626" t="inlineStr">
        <is>
          <t>C</t>
        </is>
      </c>
      <c r="D3626" t="inlineStr">
        <is>
          <t>T</t>
        </is>
      </c>
      <c r="E3626" t="inlineStr">
        <is>
          <t>rs2268665</t>
        </is>
      </c>
      <c r="F3626" t="n">
        <v>0.0035686691</v>
      </c>
      <c r="G3626" t="n">
        <v>0.7023846991126234</v>
      </c>
      <c r="H3626" t="n">
        <v>0.0075094456670623</v>
      </c>
      <c r="I3626" t="n">
        <v>0.8658574181349354</v>
      </c>
      <c r="J3626" t="n">
        <v>0.1228911703138506</v>
      </c>
      <c r="K3626" t="n">
        <v>0.5328409042185773</v>
      </c>
      <c r="L3626" t="b">
        <v>0</v>
      </c>
      <c r="M3626" t="b">
        <v>0</v>
      </c>
      <c r="N3626" t="inlineStr">
        <is>
          <t>alt</t>
        </is>
      </c>
      <c r="O3626" t="n">
        <v>-85</v>
      </c>
      <c r="P3626" t="n">
        <v>0.02277</v>
      </c>
      <c r="Q3626" t="n">
        <v>-100</v>
      </c>
      <c r="R3626" t="n">
        <v>0.01376</v>
      </c>
      <c r="S3626">
        <f>IMAGE("https://mitra.stanford.edu/kundaje/oak/projects/neuro-variants/variant_position/credible/roussos_2024/variant_figures/roussos_2024.adolescence.GLU/rs2268665_count_position.png",4,220,900)</f>
        <v/>
      </c>
      <c r="T3626">
        <f>IMAGE("https://mitra.stanford.edu/kundaje/oak/projects/neuro-variants/variant_position/credible/roussos_2024/variant_figures/roussos_2024.adolescence.GLU/rs2268665_profile_position.png",4,220,900)</f>
        <v/>
      </c>
    </row>
    <row r="3627">
      <c r="A3627" t="inlineStr">
        <is>
          <t>chr6</t>
        </is>
      </c>
      <c r="B3627" t="n">
        <v>146426194</v>
      </c>
      <c r="C3627" t="inlineStr">
        <is>
          <t>G</t>
        </is>
      </c>
      <c r="D3627" t="inlineStr">
        <is>
          <t>A</t>
        </is>
      </c>
      <c r="E3627" t="inlineStr">
        <is>
          <t>rs4896868</t>
        </is>
      </c>
      <c r="F3627" t="n">
        <v>0.0023011382999999</v>
      </c>
      <c r="G3627" t="n">
        <v>0.6080490999655797</v>
      </c>
      <c r="H3627" t="n">
        <v>0.0104962837066771</v>
      </c>
      <c r="I3627" t="n">
        <v>0.4843322500637072</v>
      </c>
      <c r="J3627" t="n">
        <v>0.3788170406727107</v>
      </c>
      <c r="K3627" t="n">
        <v>0.1864377935437978</v>
      </c>
      <c r="L3627" t="b">
        <v>0</v>
      </c>
      <c r="M3627" t="b">
        <v>0</v>
      </c>
      <c r="N3627" t="inlineStr">
        <is>
          <t>alt</t>
        </is>
      </c>
      <c r="O3627" t="n">
        <v>90</v>
      </c>
      <c r="P3627" t="n">
        <v>0.00941</v>
      </c>
      <c r="Q3627" t="n">
        <v>100</v>
      </c>
      <c r="R3627" t="n">
        <v>0.06494</v>
      </c>
      <c r="S3627">
        <f>IMAGE("https://mitra.stanford.edu/kundaje/oak/projects/neuro-variants/variant_position/credible/roussos_2024/variant_figures/roussos_2024.adolescence.GLU/rs4896868_count_position.png",4,220,900)</f>
        <v/>
      </c>
      <c r="T3627">
        <f>IMAGE("https://mitra.stanford.edu/kundaje/oak/projects/neuro-variants/variant_position/credible/roussos_2024/variant_figures/roussos_2024.adolescence.GLU/rs4896868_profile_position.png",4,220,900)</f>
        <v/>
      </c>
    </row>
    <row r="3628">
      <c r="A3628" t="inlineStr">
        <is>
          <t>chr6</t>
        </is>
      </c>
      <c r="B3628" t="n">
        <v>146430879</v>
      </c>
      <c r="C3628" t="inlineStr">
        <is>
          <t>T</t>
        </is>
      </c>
      <c r="D3628" t="inlineStr">
        <is>
          <t>A</t>
        </is>
      </c>
      <c r="E3628" t="inlineStr">
        <is>
          <t>rs2206959</t>
        </is>
      </c>
      <c r="F3628" t="n">
        <v>-0.00148395601</v>
      </c>
      <c r="G3628" t="n">
        <v>0.8500064290992926</v>
      </c>
      <c r="H3628" t="n">
        <v>0.0055439011817862</v>
      </c>
      <c r="I3628" t="n">
        <v>0.9903910886072792</v>
      </c>
      <c r="J3628" t="n">
        <v>0.0523865657886276</v>
      </c>
      <c r="K3628" t="n">
        <v>0.6888475886854851</v>
      </c>
      <c r="L3628" t="b">
        <v>0</v>
      </c>
      <c r="M3628" t="b">
        <v>0</v>
      </c>
      <c r="N3628" t="inlineStr">
        <is>
          <t>ref</t>
        </is>
      </c>
      <c r="O3628" t="n">
        <v>100</v>
      </c>
      <c r="P3628" t="n">
        <v>0.009950000000000001</v>
      </c>
      <c r="Q3628" t="n">
        <v>60</v>
      </c>
      <c r="R3628" t="n">
        <v>0.1017</v>
      </c>
      <c r="S3628">
        <f>IMAGE("https://mitra.stanford.edu/kundaje/oak/projects/neuro-variants/variant_position/credible/roussos_2024/variant_figures/roussos_2024.adolescence.GLU/rs2206959_count_position.png",4,220,900)</f>
        <v/>
      </c>
      <c r="T3628">
        <f>IMAGE("https://mitra.stanford.edu/kundaje/oak/projects/neuro-variants/variant_position/credible/roussos_2024/variant_figures/roussos_2024.adolescence.GLU/rs2206959_profile_position.png",4,220,900)</f>
        <v/>
      </c>
    </row>
    <row r="3629">
      <c r="A3629" t="inlineStr">
        <is>
          <t>chr6</t>
        </is>
      </c>
      <c r="B3629" t="n">
        <v>156835433</v>
      </c>
      <c r="C3629" t="inlineStr">
        <is>
          <t>A</t>
        </is>
      </c>
      <c r="D3629" t="inlineStr">
        <is>
          <t>G</t>
        </is>
      </c>
      <c r="E3629" t="inlineStr">
        <is>
          <t>rs9372017</t>
        </is>
      </c>
      <c r="F3629" t="n">
        <v>0.00759719284</v>
      </c>
      <c r="G3629" t="n">
        <v>0.5998826107376922</v>
      </c>
      <c r="H3629" t="n">
        <v>0.0147828282974035</v>
      </c>
      <c r="I3629" t="n">
        <v>0.1758475669098392</v>
      </c>
      <c r="J3629" t="n">
        <v>0.08974287530988551</v>
      </c>
      <c r="K3629" t="n">
        <v>0.5916641358181538</v>
      </c>
      <c r="L3629" t="b">
        <v>0</v>
      </c>
      <c r="M3629" t="b">
        <v>0</v>
      </c>
      <c r="N3629" t="inlineStr">
        <is>
          <t>alt</t>
        </is>
      </c>
      <c r="O3629" t="n">
        <v>-75</v>
      </c>
      <c r="P3629" t="n">
        <v>0.09485</v>
      </c>
      <c r="Q3629" t="n">
        <v>100</v>
      </c>
      <c r="R3629" t="n">
        <v>0.1068</v>
      </c>
      <c r="S3629">
        <f>IMAGE("https://mitra.stanford.edu/kundaje/oak/projects/neuro-variants/variant_position/credible/roussos_2024/variant_figures/roussos_2024.adolescence.GLU/rs9372017_count_position.png",4,220,900)</f>
        <v/>
      </c>
      <c r="T3629">
        <f>IMAGE("https://mitra.stanford.edu/kundaje/oak/projects/neuro-variants/variant_position/credible/roussos_2024/variant_figures/roussos_2024.adolescence.GLU/rs9372017_profile_position.png",4,220,900)</f>
        <v/>
      </c>
    </row>
    <row r="3630">
      <c r="A3630" t="inlineStr">
        <is>
          <t>chr6</t>
        </is>
      </c>
      <c r="B3630" t="n">
        <v>156903078</v>
      </c>
      <c r="C3630" t="inlineStr">
        <is>
          <t>T</t>
        </is>
      </c>
      <c r="D3630" t="inlineStr">
        <is>
          <t>G</t>
        </is>
      </c>
      <c r="E3630" t="inlineStr">
        <is>
          <t>rs287943</t>
        </is>
      </c>
      <c r="F3630" t="n">
        <v>0.0163839712</v>
      </c>
      <c r="G3630" t="n">
        <v>0.3341423742110236</v>
      </c>
      <c r="H3630" t="n">
        <v>0.009977637350158001</v>
      </c>
      <c r="I3630" t="n">
        <v>0.5412579860462132</v>
      </c>
      <c r="J3630" t="n">
        <v>0.0062127154910659</v>
      </c>
      <c r="K3630" t="n">
        <v>0.9063627529459432</v>
      </c>
      <c r="L3630" t="b">
        <v>0</v>
      </c>
      <c r="M3630" t="b">
        <v>0</v>
      </c>
      <c r="N3630" t="inlineStr">
        <is>
          <t>alt</t>
        </is>
      </c>
      <c r="O3630" t="n">
        <v>100</v>
      </c>
      <c r="P3630" t="n">
        <v>0.0054</v>
      </c>
      <c r="Q3630" t="n">
        <v>-45</v>
      </c>
      <c r="R3630" t="n">
        <v>0.02988</v>
      </c>
      <c r="S3630">
        <f>IMAGE("https://mitra.stanford.edu/kundaje/oak/projects/neuro-variants/variant_position/credible/roussos_2024/variant_figures/roussos_2024.adolescence.GLU/rs287943_count_position.png",4,220,900)</f>
        <v/>
      </c>
      <c r="T3630">
        <f>IMAGE("https://mitra.stanford.edu/kundaje/oak/projects/neuro-variants/variant_position/credible/roussos_2024/variant_figures/roussos_2024.adolescence.GLU/rs287943_profile_position.png",4,220,900)</f>
        <v/>
      </c>
    </row>
    <row r="3631">
      <c r="A3631" t="inlineStr">
        <is>
          <t>chr6</t>
        </is>
      </c>
      <c r="B3631" t="n">
        <v>157015101</v>
      </c>
      <c r="C3631" t="inlineStr">
        <is>
          <t>G</t>
        </is>
      </c>
      <c r="D3631" t="inlineStr">
        <is>
          <t>A</t>
        </is>
      </c>
      <c r="E3631" t="inlineStr">
        <is>
          <t>rs6928411</t>
        </is>
      </c>
      <c r="F3631" t="n">
        <v>-0.025614671</v>
      </c>
      <c r="G3631" t="n">
        <v>0.2267654068707621</v>
      </c>
      <c r="H3631" t="n">
        <v>0.0107522447581896</v>
      </c>
      <c r="I3631" t="n">
        <v>0.4530934707772258</v>
      </c>
      <c r="J3631" t="n">
        <v>0.1456144487072322</v>
      </c>
      <c r="K3631" t="n">
        <v>0.4924627681664271</v>
      </c>
      <c r="L3631" t="b">
        <v>0</v>
      </c>
      <c r="M3631" t="b">
        <v>0</v>
      </c>
      <c r="N3631" t="inlineStr">
        <is>
          <t>ref</t>
        </is>
      </c>
      <c r="O3631" t="n">
        <v>-90</v>
      </c>
      <c r="P3631" t="n">
        <v>0.014404</v>
      </c>
      <c r="Q3631" t="n">
        <v>35</v>
      </c>
      <c r="R3631" t="n">
        <v>0.05847</v>
      </c>
      <c r="S3631">
        <f>IMAGE("https://mitra.stanford.edu/kundaje/oak/projects/neuro-variants/variant_position/credible/roussos_2024/variant_figures/roussos_2024.adolescence.GLU/rs6928411_count_position.png",4,220,900)</f>
        <v/>
      </c>
      <c r="T3631">
        <f>IMAGE("https://mitra.stanford.edu/kundaje/oak/projects/neuro-variants/variant_position/credible/roussos_2024/variant_figures/roussos_2024.adolescence.GLU/rs6928411_profile_position.png",4,220,900)</f>
        <v/>
      </c>
    </row>
    <row r="3632">
      <c r="A3632" t="inlineStr">
        <is>
          <t>chr6</t>
        </is>
      </c>
      <c r="B3632" t="n">
        <v>157019196</v>
      </c>
      <c r="C3632" t="inlineStr">
        <is>
          <t>T</t>
        </is>
      </c>
      <c r="D3632" t="inlineStr">
        <is>
          <t>C</t>
        </is>
      </c>
      <c r="E3632" t="inlineStr">
        <is>
          <t>rs1407509</t>
        </is>
      </c>
      <c r="F3632" t="n">
        <v>0.0121327201999999</v>
      </c>
      <c r="G3632" t="n">
        <v>0.372413710280555</v>
      </c>
      <c r="H3632" t="n">
        <v>0.009406083703300599</v>
      </c>
      <c r="I3632" t="n">
        <v>0.5896001500585802</v>
      </c>
      <c r="J3632" t="n">
        <v>0.1859456601724643</v>
      </c>
      <c r="K3632" t="n">
        <v>0.4251677773368971</v>
      </c>
      <c r="L3632" t="b">
        <v>0</v>
      </c>
      <c r="M3632" t="b">
        <v>0</v>
      </c>
      <c r="N3632" t="inlineStr">
        <is>
          <t>alt</t>
        </is>
      </c>
      <c r="O3632" t="n">
        <v>-55</v>
      </c>
      <c r="P3632" t="n">
        <v>0.01241</v>
      </c>
      <c r="Q3632" t="n">
        <v>100</v>
      </c>
      <c r="R3632" t="n">
        <v>0.07049999999999999</v>
      </c>
      <c r="S3632">
        <f>IMAGE("https://mitra.stanford.edu/kundaje/oak/projects/neuro-variants/variant_position/credible/roussos_2024/variant_figures/roussos_2024.adolescence.GLU/rs1407509_count_position.png",4,220,900)</f>
        <v/>
      </c>
      <c r="T3632">
        <f>IMAGE("https://mitra.stanford.edu/kundaje/oak/projects/neuro-variants/variant_position/credible/roussos_2024/variant_figures/roussos_2024.adolescence.GLU/rs1407509_profile_position.png",4,220,900)</f>
        <v/>
      </c>
    </row>
    <row r="3633">
      <c r="A3633" t="inlineStr">
        <is>
          <t>chr6</t>
        </is>
      </c>
      <c r="B3633" t="n">
        <v>164657500</v>
      </c>
      <c r="C3633" t="inlineStr">
        <is>
          <t>G</t>
        </is>
      </c>
      <c r="D3633" t="inlineStr">
        <is>
          <t>A</t>
        </is>
      </c>
      <c r="E3633" t="inlineStr">
        <is>
          <t>rs147044092</t>
        </is>
      </c>
      <c r="F3633" t="n">
        <v>-0.077298557</v>
      </c>
      <c r="G3633" t="n">
        <v>0.0170009247138033</v>
      </c>
      <c r="H3633" t="n">
        <v>0.0144791267946128</v>
      </c>
      <c r="I3633" t="n">
        <v>0.1791235731305291</v>
      </c>
      <c r="J3633" t="n">
        <v>0.4388923419851255</v>
      </c>
      <c r="K3633" t="n">
        <v>0.1313734073022784</v>
      </c>
      <c r="L3633" t="b">
        <v>1</v>
      </c>
      <c r="M3633" t="b">
        <v>0</v>
      </c>
      <c r="N3633" t="inlineStr">
        <is>
          <t>ref</t>
        </is>
      </c>
      <c r="O3633" t="n">
        <v>-100</v>
      </c>
      <c r="P3633" t="n">
        <v>0.01534</v>
      </c>
      <c r="Q3633" t="n">
        <v>-100</v>
      </c>
      <c r="R3633" t="n">
        <v>0.223</v>
      </c>
      <c r="S3633">
        <f>IMAGE("https://mitra.stanford.edu/kundaje/oak/projects/neuro-variants/variant_position/credible/roussos_2024/variant_figures/roussos_2024.adolescence.GLU/rs147044092_count_position.png",4,220,900)</f>
        <v/>
      </c>
      <c r="T3633">
        <f>IMAGE("https://mitra.stanford.edu/kundaje/oak/projects/neuro-variants/variant_position/credible/roussos_2024/variant_figures/roussos_2024.adolescence.GLU/rs147044092_profile_position.png",4,220,900)</f>
        <v/>
      </c>
    </row>
    <row r="3634">
      <c r="A3634" t="inlineStr">
        <is>
          <t>chr6</t>
        </is>
      </c>
      <c r="B3634" t="n">
        <v>164660964</v>
      </c>
      <c r="C3634" t="inlineStr">
        <is>
          <t>A</t>
        </is>
      </c>
      <c r="D3634" t="inlineStr">
        <is>
          <t>G</t>
        </is>
      </c>
      <c r="E3634" t="inlineStr">
        <is>
          <t>rs59034682</t>
        </is>
      </c>
      <c r="F3634" t="n">
        <v>0.0005819661799999</v>
      </c>
      <c r="G3634" t="n">
        <v>0.7773230178618712</v>
      </c>
      <c r="H3634" t="n">
        <v>0.0128889743288662</v>
      </c>
      <c r="I3634" t="n">
        <v>0.2682535330086899</v>
      </c>
      <c r="J3634" t="n">
        <v>0.010445020754299</v>
      </c>
      <c r="K3634" t="n">
        <v>0.8747320618314185</v>
      </c>
      <c r="L3634" t="b">
        <v>0</v>
      </c>
      <c r="M3634" t="b">
        <v>0</v>
      </c>
      <c r="N3634" t="inlineStr">
        <is>
          <t>alt</t>
        </is>
      </c>
      <c r="O3634" t="n">
        <v>-70</v>
      </c>
      <c r="P3634" t="n">
        <v>0.02771</v>
      </c>
      <c r="Q3634" t="n">
        <v>-20</v>
      </c>
      <c r="R3634" t="n">
        <v>0.007263</v>
      </c>
      <c r="S3634">
        <f>IMAGE("https://mitra.stanford.edu/kundaje/oak/projects/neuro-variants/variant_position/credible/roussos_2024/variant_figures/roussos_2024.adolescence.GLU/rs59034682_count_position.png",4,220,900)</f>
        <v/>
      </c>
      <c r="T3634">
        <f>IMAGE("https://mitra.stanford.edu/kundaje/oak/projects/neuro-variants/variant_position/credible/roussos_2024/variant_figures/roussos_2024.adolescence.GLU/rs59034682_profile_position.png",4,220,900)</f>
        <v/>
      </c>
    </row>
    <row r="3635">
      <c r="A3635" t="inlineStr">
        <is>
          <t>chr6</t>
        </is>
      </c>
      <c r="B3635" t="n">
        <v>164665028</v>
      </c>
      <c r="C3635" t="inlineStr">
        <is>
          <t>C</t>
        </is>
      </c>
      <c r="D3635" t="inlineStr">
        <is>
          <t>A</t>
        </is>
      </c>
      <c r="E3635" t="inlineStr">
        <is>
          <t>rs113650580</t>
        </is>
      </c>
      <c r="F3635" t="n">
        <v>-0.0247190011</v>
      </c>
      <c r="G3635" t="n">
        <v>0.2405410267718377</v>
      </c>
      <c r="H3635" t="n">
        <v>0.0128614619500317</v>
      </c>
      <c r="I3635" t="n">
        <v>0.287847344038096</v>
      </c>
      <c r="J3635" t="n">
        <v>0.1839995427624293</v>
      </c>
      <c r="K3635" t="n">
        <v>0.4214211709313506</v>
      </c>
      <c r="L3635" t="b">
        <v>0</v>
      </c>
      <c r="M3635" t="b">
        <v>0</v>
      </c>
      <c r="N3635" t="inlineStr">
        <is>
          <t>ref</t>
        </is>
      </c>
      <c r="O3635" t="n">
        <v>100</v>
      </c>
      <c r="P3635" t="n">
        <v>0.01973</v>
      </c>
      <c r="Q3635" t="n">
        <v>30</v>
      </c>
      <c r="R3635" t="n">
        <v>0.02692</v>
      </c>
      <c r="S3635">
        <f>IMAGE("https://mitra.stanford.edu/kundaje/oak/projects/neuro-variants/variant_position/credible/roussos_2024/variant_figures/roussos_2024.adolescence.GLU/rs113650580_count_position.png",4,220,900)</f>
        <v/>
      </c>
      <c r="T3635">
        <f>IMAGE("https://mitra.stanford.edu/kundaje/oak/projects/neuro-variants/variant_position/credible/roussos_2024/variant_figures/roussos_2024.adolescence.GLU/rs113650580_profile_position.png",4,220,900)</f>
        <v/>
      </c>
    </row>
    <row r="3636">
      <c r="A3636" t="inlineStr">
        <is>
          <t>chr6</t>
        </is>
      </c>
      <c r="B3636" t="n">
        <v>164687522</v>
      </c>
      <c r="C3636" t="inlineStr">
        <is>
          <t>T</t>
        </is>
      </c>
      <c r="D3636" t="inlineStr">
        <is>
          <t>G</t>
        </is>
      </c>
      <c r="E3636" t="inlineStr">
        <is>
          <t>rs79222572</t>
        </is>
      </c>
      <c r="F3636" t="n">
        <v>0.050104284</v>
      </c>
      <c r="G3636" t="n">
        <v>0.0601792879236771</v>
      </c>
      <c r="H3636" t="n">
        <v>0.009995309840975301</v>
      </c>
      <c r="I3636" t="n">
        <v>0.537339805996024</v>
      </c>
      <c r="J3636" t="n">
        <v>0.1016067614005757</v>
      </c>
      <c r="K3636" t="n">
        <v>0.5729769328734308</v>
      </c>
      <c r="L3636" t="b">
        <v>0</v>
      </c>
      <c r="M3636" t="b">
        <v>0</v>
      </c>
      <c r="N3636" t="inlineStr">
        <is>
          <t>alt</t>
        </is>
      </c>
      <c r="O3636" t="n">
        <v>90</v>
      </c>
      <c r="P3636" t="n">
        <v>0.013756</v>
      </c>
      <c r="Q3636" t="n">
        <v>90</v>
      </c>
      <c r="R3636" t="n">
        <v>0.07666000000000001</v>
      </c>
      <c r="S3636">
        <f>IMAGE("https://mitra.stanford.edu/kundaje/oak/projects/neuro-variants/variant_position/credible/roussos_2024/variant_figures/roussos_2024.adolescence.GLU/rs79222572_count_position.png",4,220,900)</f>
        <v/>
      </c>
      <c r="T3636">
        <f>IMAGE("https://mitra.stanford.edu/kundaje/oak/projects/neuro-variants/variant_position/credible/roussos_2024/variant_figures/roussos_2024.adolescence.GLU/rs79222572_profile_position.png",4,220,900)</f>
        <v/>
      </c>
    </row>
    <row r="3637">
      <c r="A3637" t="inlineStr">
        <is>
          <t>chr6</t>
        </is>
      </c>
      <c r="B3637" t="n">
        <v>164715189</v>
      </c>
      <c r="C3637" t="inlineStr">
        <is>
          <t>A</t>
        </is>
      </c>
      <c r="D3637" t="inlineStr">
        <is>
          <t>G</t>
        </is>
      </c>
      <c r="E3637" t="inlineStr">
        <is>
          <t>rs55855028</t>
        </is>
      </c>
      <c r="F3637" t="n">
        <v>0.0146620539999999</v>
      </c>
      <c r="G3637" t="n">
        <v>0.3843199338775786</v>
      </c>
      <c r="H3637" t="n">
        <v>0.0160264740605382</v>
      </c>
      <c r="I3637" t="n">
        <v>0.1358705328020532</v>
      </c>
      <c r="J3637" t="n">
        <v>0.0567660443949103</v>
      </c>
      <c r="K3637" t="n">
        <v>0.6758519763926756</v>
      </c>
      <c r="L3637" t="b">
        <v>0</v>
      </c>
      <c r="M3637" t="b">
        <v>0</v>
      </c>
      <c r="N3637" t="inlineStr">
        <is>
          <t>alt</t>
        </is>
      </c>
      <c r="O3637" t="n">
        <v>10</v>
      </c>
      <c r="P3637" t="n">
        <v>0.001099</v>
      </c>
      <c r="Q3637" t="n">
        <v>25</v>
      </c>
      <c r="R3637" t="n">
        <v>0.01288</v>
      </c>
      <c r="S3637">
        <f>IMAGE("https://mitra.stanford.edu/kundaje/oak/projects/neuro-variants/variant_position/credible/roussos_2024/variant_figures/roussos_2024.adolescence.GLU/rs55855028_count_position.png",4,220,900)</f>
        <v/>
      </c>
      <c r="T3637">
        <f>IMAGE("https://mitra.stanford.edu/kundaje/oak/projects/neuro-variants/variant_position/credible/roussos_2024/variant_figures/roussos_2024.adolescence.GLU/rs55855028_profile_position.png",4,220,900)</f>
        <v/>
      </c>
    </row>
    <row r="3638">
      <c r="A3638" t="inlineStr">
        <is>
          <t>chr6</t>
        </is>
      </c>
      <c r="B3638" t="n">
        <v>164716933</v>
      </c>
      <c r="C3638" t="inlineStr">
        <is>
          <t>A</t>
        </is>
      </c>
      <c r="D3638" t="inlineStr">
        <is>
          <t>G</t>
        </is>
      </c>
      <c r="E3638" t="inlineStr">
        <is>
          <t>rs75952763</t>
        </is>
      </c>
      <c r="F3638" t="n">
        <v>0.00565026673</v>
      </c>
      <c r="G3638" t="n">
        <v>0.6697854104656686</v>
      </c>
      <c r="H3638" t="n">
        <v>0.008387996194405299</v>
      </c>
      <c r="I3638" t="n">
        <v>0.7305001852357634</v>
      </c>
      <c r="J3638" t="n">
        <v>0.0015903294253809</v>
      </c>
      <c r="K3638" t="n">
        <v>0.9640268112398096</v>
      </c>
      <c r="L3638" t="b">
        <v>0</v>
      </c>
      <c r="M3638" t="b">
        <v>0</v>
      </c>
      <c r="N3638" t="inlineStr">
        <is>
          <t>alt</t>
        </is>
      </c>
      <c r="O3638" t="n">
        <v>100</v>
      </c>
      <c r="P3638" t="n">
        <v>0.007645</v>
      </c>
      <c r="Q3638" t="n">
        <v>-55</v>
      </c>
      <c r="R3638" t="n">
        <v>0.02997</v>
      </c>
      <c r="S3638">
        <f>IMAGE("https://mitra.stanford.edu/kundaje/oak/projects/neuro-variants/variant_position/credible/roussos_2024/variant_figures/roussos_2024.adolescence.GLU/rs75952763_count_position.png",4,220,900)</f>
        <v/>
      </c>
      <c r="T3638">
        <f>IMAGE("https://mitra.stanford.edu/kundaje/oak/projects/neuro-variants/variant_position/credible/roussos_2024/variant_figures/roussos_2024.adolescence.GLU/rs75952763_profile_position.png",4,220,900)</f>
        <v/>
      </c>
    </row>
    <row r="3639">
      <c r="A3639" t="inlineStr">
        <is>
          <t>chr6</t>
        </is>
      </c>
      <c r="B3639" t="n">
        <v>164718895</v>
      </c>
      <c r="C3639" t="inlineStr">
        <is>
          <t>A</t>
        </is>
      </c>
      <c r="D3639" t="inlineStr">
        <is>
          <t>G</t>
        </is>
      </c>
      <c r="E3639" t="inlineStr">
        <is>
          <t>rs9347029</t>
        </is>
      </c>
      <c r="F3639" t="n">
        <v>0.0053699996599999</v>
      </c>
      <c r="G3639" t="n">
        <v>0.6895371451970388</v>
      </c>
      <c r="H3639" t="n">
        <v>0.0198558607762228</v>
      </c>
      <c r="I3639" t="n">
        <v>0.0578364168888106</v>
      </c>
      <c r="J3639" t="n">
        <v>0.004576662308621</v>
      </c>
      <c r="K3639" t="n">
        <v>0.9280124511126464</v>
      </c>
      <c r="L3639" t="b">
        <v>0</v>
      </c>
      <c r="M3639" t="b">
        <v>0</v>
      </c>
      <c r="N3639" t="inlineStr">
        <is>
          <t>alt</t>
        </is>
      </c>
      <c r="O3639" t="n">
        <v>-100</v>
      </c>
      <c r="P3639" t="n">
        <v>0.003235</v>
      </c>
      <c r="Q3639" t="n">
        <v>-100</v>
      </c>
      <c r="R3639" t="n">
        <v>0.04343</v>
      </c>
      <c r="S3639">
        <f>IMAGE("https://mitra.stanford.edu/kundaje/oak/projects/neuro-variants/variant_position/credible/roussos_2024/variant_figures/roussos_2024.adolescence.GLU/rs9347029_count_position.png",4,220,900)</f>
        <v/>
      </c>
      <c r="T3639">
        <f>IMAGE("https://mitra.stanford.edu/kundaje/oak/projects/neuro-variants/variant_position/credible/roussos_2024/variant_figures/roussos_2024.adolescence.GLU/rs9347029_profile_position.png",4,220,900)</f>
        <v/>
      </c>
    </row>
    <row r="3640">
      <c r="A3640" t="inlineStr">
        <is>
          <t>chr6</t>
        </is>
      </c>
      <c r="B3640" t="n">
        <v>164734384</v>
      </c>
      <c r="C3640" t="inlineStr">
        <is>
          <t>G</t>
        </is>
      </c>
      <c r="D3640" t="inlineStr">
        <is>
          <t>A</t>
        </is>
      </c>
      <c r="E3640" t="inlineStr">
        <is>
          <t>rs1912669</t>
        </is>
      </c>
      <c r="F3640" t="n">
        <v>-0.0444606843999999</v>
      </c>
      <c r="G3640" t="n">
        <v>0.0964159368583602</v>
      </c>
      <c r="H3640" t="n">
        <v>0.0097216068931885</v>
      </c>
      <c r="I3640" t="n">
        <v>0.5607736596555949</v>
      </c>
      <c r="J3640" t="n">
        <v>0.1873416636303234</v>
      </c>
      <c r="K3640" t="n">
        <v>0.4175510599805003</v>
      </c>
      <c r="L3640" t="b">
        <v>0</v>
      </c>
      <c r="M3640" t="b">
        <v>0</v>
      </c>
      <c r="N3640" t="inlineStr">
        <is>
          <t>ref</t>
        </is>
      </c>
      <c r="O3640" t="n">
        <v>55</v>
      </c>
      <c r="P3640" t="n">
        <v>0.06270000000000001</v>
      </c>
      <c r="Q3640" t="n">
        <v>-35</v>
      </c>
      <c r="R3640" t="n">
        <v>0.01282</v>
      </c>
      <c r="S3640">
        <f>IMAGE("https://mitra.stanford.edu/kundaje/oak/projects/neuro-variants/variant_position/credible/roussos_2024/variant_figures/roussos_2024.adolescence.GLU/rs1912669_count_position.png",4,220,900)</f>
        <v/>
      </c>
      <c r="T3640">
        <f>IMAGE("https://mitra.stanford.edu/kundaje/oak/projects/neuro-variants/variant_position/credible/roussos_2024/variant_figures/roussos_2024.adolescence.GLU/rs1912669_profile_position.png",4,220,900)</f>
        <v/>
      </c>
    </row>
    <row r="3641">
      <c r="A3641" t="inlineStr">
        <is>
          <t>chr6</t>
        </is>
      </c>
      <c r="B3641" t="n">
        <v>164751626</v>
      </c>
      <c r="C3641" t="inlineStr">
        <is>
          <t>G</t>
        </is>
      </c>
      <c r="D3641" t="inlineStr">
        <is>
          <t>A</t>
        </is>
      </c>
      <c r="E3641" t="inlineStr">
        <is>
          <t>rs978164</t>
        </is>
      </c>
      <c r="F3641" t="n">
        <v>-0.0288834882</v>
      </c>
      <c r="G3641" t="n">
        <v>0.1918331431318972</v>
      </c>
      <c r="H3641" t="n">
        <v>0.0077573120283769</v>
      </c>
      <c r="I3641" t="n">
        <v>0.7779371363285402</v>
      </c>
      <c r="J3641" t="n">
        <v>0.4518907487979653</v>
      </c>
      <c r="K3641" t="n">
        <v>0.123126609805089</v>
      </c>
      <c r="L3641" t="b">
        <v>0</v>
      </c>
      <c r="M3641" t="b">
        <v>0</v>
      </c>
      <c r="N3641" t="inlineStr">
        <is>
          <t>ref</t>
        </is>
      </c>
      <c r="O3641" t="n">
        <v>65</v>
      </c>
      <c r="P3641" t="n">
        <v>0.004253</v>
      </c>
      <c r="Q3641" t="n">
        <v>-35</v>
      </c>
      <c r="R3641" t="n">
        <v>0.02576</v>
      </c>
      <c r="S3641">
        <f>IMAGE("https://mitra.stanford.edu/kundaje/oak/projects/neuro-variants/variant_position/credible/roussos_2024/variant_figures/roussos_2024.adolescence.GLU/rs978164_count_position.png",4,220,900)</f>
        <v/>
      </c>
      <c r="T3641">
        <f>IMAGE("https://mitra.stanford.edu/kundaje/oak/projects/neuro-variants/variant_position/credible/roussos_2024/variant_figures/roussos_2024.adolescence.GLU/rs978164_profile_position.png",4,220,900)</f>
        <v/>
      </c>
    </row>
    <row r="3642">
      <c r="A3642" t="inlineStr">
        <is>
          <t>chr6</t>
        </is>
      </c>
      <c r="B3642" t="n">
        <v>164753774</v>
      </c>
      <c r="C3642" t="inlineStr">
        <is>
          <t>G</t>
        </is>
      </c>
      <c r="D3642" t="inlineStr">
        <is>
          <t>A</t>
        </is>
      </c>
      <c r="E3642" t="inlineStr">
        <is>
          <t>rs1467085</t>
        </is>
      </c>
      <c r="F3642" t="n">
        <v>-0.00478103804</v>
      </c>
      <c r="G3642" t="n">
        <v>0.5934501513209932</v>
      </c>
      <c r="H3642" t="n">
        <v>0.0108691555348023</v>
      </c>
      <c r="I3642" t="n">
        <v>0.4435120899822981</v>
      </c>
      <c r="J3642" t="n">
        <v>0.0865736473983896</v>
      </c>
      <c r="K3642" t="n">
        <v>0.5951239013404912</v>
      </c>
      <c r="L3642" t="b">
        <v>0</v>
      </c>
      <c r="M3642" t="b">
        <v>0</v>
      </c>
      <c r="N3642" t="inlineStr">
        <is>
          <t>ref</t>
        </is>
      </c>
      <c r="O3642" t="n">
        <v>-30</v>
      </c>
      <c r="P3642" t="n">
        <v>0.003868</v>
      </c>
      <c r="Q3642" t="n">
        <v>-95</v>
      </c>
      <c r="R3642" t="n">
        <v>0.03992</v>
      </c>
      <c r="S3642">
        <f>IMAGE("https://mitra.stanford.edu/kundaje/oak/projects/neuro-variants/variant_position/credible/roussos_2024/variant_figures/roussos_2024.adolescence.GLU/rs1467085_count_position.png",4,220,900)</f>
        <v/>
      </c>
      <c r="T3642">
        <f>IMAGE("https://mitra.stanford.edu/kundaje/oak/projects/neuro-variants/variant_position/credible/roussos_2024/variant_figures/roussos_2024.adolescence.GLU/rs1467085_profile_position.png",4,220,900)</f>
        <v/>
      </c>
    </row>
    <row r="3643">
      <c r="A3643" t="inlineStr">
        <is>
          <t>chr6</t>
        </is>
      </c>
      <c r="B3643" t="n">
        <v>164757079</v>
      </c>
      <c r="C3643" t="inlineStr">
        <is>
          <t>C</t>
        </is>
      </c>
      <c r="D3643" t="inlineStr">
        <is>
          <t>A</t>
        </is>
      </c>
      <c r="E3643" t="inlineStr">
        <is>
          <t>rs1995942</t>
        </is>
      </c>
      <c r="F3643" t="n">
        <v>0.0060672885399999</v>
      </c>
      <c r="G3643" t="n">
        <v>0.5944585298208864</v>
      </c>
      <c r="H3643" t="n">
        <v>0.0297285353917641</v>
      </c>
      <c r="I3643" t="n">
        <v>0.008578797864779501</v>
      </c>
      <c r="J3643" t="n">
        <v>0.1239985425552435</v>
      </c>
      <c r="K3643" t="n">
        <v>0.5261496374110987</v>
      </c>
      <c r="L3643" t="b">
        <v>1</v>
      </c>
      <c r="M3643" t="b">
        <v>1</v>
      </c>
      <c r="N3643" t="inlineStr">
        <is>
          <t>alt</t>
        </is>
      </c>
      <c r="O3643" t="n">
        <v>40</v>
      </c>
      <c r="P3643" t="n">
        <v>0.00839</v>
      </c>
      <c r="Q3643" t="n">
        <v>-90</v>
      </c>
      <c r="R3643" t="n">
        <v>0.02856</v>
      </c>
      <c r="S3643">
        <f>IMAGE("https://mitra.stanford.edu/kundaje/oak/projects/neuro-variants/variant_position/credible/roussos_2024/variant_figures/roussos_2024.adolescence.GLU/rs1995942_count_position.png",4,220,900)</f>
        <v/>
      </c>
      <c r="T3643">
        <f>IMAGE("https://mitra.stanford.edu/kundaje/oak/projects/neuro-variants/variant_position/credible/roussos_2024/variant_figures/roussos_2024.adolescence.GLU/rs1995942_profile_position.png",4,220,900)</f>
        <v/>
      </c>
    </row>
    <row r="3644">
      <c r="A3644" t="inlineStr">
        <is>
          <t>chr6</t>
        </is>
      </c>
      <c r="B3644" t="n">
        <v>170341644</v>
      </c>
      <c r="C3644" t="inlineStr">
        <is>
          <t>T</t>
        </is>
      </c>
      <c r="D3644" t="inlineStr">
        <is>
          <t>C</t>
        </is>
      </c>
      <c r="E3644" t="inlineStr">
        <is>
          <t>rs2092778</t>
        </is>
      </c>
      <c r="F3644" t="n">
        <v>-0.0176783136</v>
      </c>
      <c r="G3644" t="n">
        <v>0.3369089875453019</v>
      </c>
      <c r="H3644" t="n">
        <v>0.0108760919172736</v>
      </c>
      <c r="I3644" t="n">
        <v>0.4396093174188525</v>
      </c>
      <c r="J3644" t="n">
        <v>0.4644619242557387</v>
      </c>
      <c r="K3644" t="n">
        <v>0.1146215893315662</v>
      </c>
      <c r="L3644" t="b">
        <v>0</v>
      </c>
      <c r="M3644" t="b">
        <v>0</v>
      </c>
      <c r="N3644" t="inlineStr">
        <is>
          <t>ref</t>
        </is>
      </c>
      <c r="O3644" t="n">
        <v>-85</v>
      </c>
      <c r="P3644" t="n">
        <v>0.00641</v>
      </c>
      <c r="Q3644" t="n">
        <v>35</v>
      </c>
      <c r="R3644" t="n">
        <v>0.01624</v>
      </c>
      <c r="S3644">
        <f>IMAGE("https://mitra.stanford.edu/kundaje/oak/projects/neuro-variants/variant_position/credible/roussos_2024/variant_figures/roussos_2024.adolescence.GLU/rs2092778_count_position.png",4,220,900)</f>
        <v/>
      </c>
      <c r="T3644">
        <f>IMAGE("https://mitra.stanford.edu/kundaje/oak/projects/neuro-variants/variant_position/credible/roussos_2024/variant_figures/roussos_2024.adolescence.GLU/rs2092778_profile_position.png",4,220,900)</f>
        <v/>
      </c>
    </row>
    <row r="3645">
      <c r="A3645" t="inlineStr">
        <is>
          <t>chr6</t>
        </is>
      </c>
      <c r="B3645" t="n">
        <v>170365688</v>
      </c>
      <c r="C3645" t="inlineStr">
        <is>
          <t>T</t>
        </is>
      </c>
      <c r="D3645" t="inlineStr">
        <is>
          <t>C</t>
        </is>
      </c>
      <c r="E3645" t="inlineStr">
        <is>
          <t>rs6914386</t>
        </is>
      </c>
      <c r="F3645" t="n">
        <v>-0.0152296938</v>
      </c>
      <c r="G3645" t="n">
        <v>0.4068486543918361</v>
      </c>
      <c r="H3645" t="n">
        <v>0.0102589616692489</v>
      </c>
      <c r="I3645" t="n">
        <v>0.4850795140187736</v>
      </c>
      <c r="J3645" t="n">
        <v>0.4723378414100063</v>
      </c>
      <c r="K3645" t="n">
        <v>0.1081309460389748</v>
      </c>
      <c r="L3645" t="b">
        <v>0</v>
      </c>
      <c r="M3645" t="b">
        <v>0</v>
      </c>
      <c r="N3645" t="inlineStr">
        <is>
          <t>ref</t>
        </is>
      </c>
      <c r="O3645" t="n">
        <v>-5</v>
      </c>
      <c r="P3645" t="n">
        <v>0.0004883</v>
      </c>
      <c r="Q3645" t="n">
        <v>100</v>
      </c>
      <c r="R3645" t="n">
        <v>0.01526</v>
      </c>
      <c r="S3645">
        <f>IMAGE("https://mitra.stanford.edu/kundaje/oak/projects/neuro-variants/variant_position/credible/roussos_2024/variant_figures/roussos_2024.adolescence.GLU/rs6914386_count_position.png",4,220,900)</f>
        <v/>
      </c>
      <c r="T3645">
        <f>IMAGE("https://mitra.stanford.edu/kundaje/oak/projects/neuro-variants/variant_position/credible/roussos_2024/variant_figures/roussos_2024.adolescence.GLU/rs6914386_profile_position.png",4,220,900)</f>
        <v/>
      </c>
    </row>
    <row r="3646">
      <c r="A3646" t="inlineStr">
        <is>
          <t>chr6</t>
        </is>
      </c>
      <c r="B3646" t="n">
        <v>170374845</v>
      </c>
      <c r="C3646" t="inlineStr">
        <is>
          <t>C</t>
        </is>
      </c>
      <c r="D3646" t="inlineStr">
        <is>
          <t>T</t>
        </is>
      </c>
      <c r="E3646" t="inlineStr">
        <is>
          <t>rs78450636</t>
        </is>
      </c>
      <c r="F3646" t="n">
        <v>-0.0375202792</v>
      </c>
      <c r="G3646" t="n">
        <v>0.1291438597523068</v>
      </c>
      <c r="H3646" t="n">
        <v>0.0107027859397413</v>
      </c>
      <c r="I3646" t="n">
        <v>0.4510072268291485</v>
      </c>
      <c r="J3646" t="n">
        <v>0.2374320394938951</v>
      </c>
      <c r="K3646" t="n">
        <v>0.3517986915618041</v>
      </c>
      <c r="L3646" t="b">
        <v>0</v>
      </c>
      <c r="M3646" t="b">
        <v>0</v>
      </c>
      <c r="N3646" t="inlineStr">
        <is>
          <t>ref</t>
        </is>
      </c>
      <c r="O3646" t="n">
        <v>-55</v>
      </c>
      <c r="P3646" t="n">
        <v>0.001654</v>
      </c>
      <c r="Q3646" t="n">
        <v>-95</v>
      </c>
      <c r="R3646" t="n">
        <v>0.04755</v>
      </c>
      <c r="S3646">
        <f>IMAGE("https://mitra.stanford.edu/kundaje/oak/projects/neuro-variants/variant_position/credible/roussos_2024/variant_figures/roussos_2024.adolescence.GLU/rs78450636_count_position.png",4,220,900)</f>
        <v/>
      </c>
      <c r="T3646">
        <f>IMAGE("https://mitra.stanford.edu/kundaje/oak/projects/neuro-variants/variant_position/credible/roussos_2024/variant_figures/roussos_2024.adolescence.GLU/rs78450636_profile_position.png",4,220,900)</f>
        <v/>
      </c>
    </row>
    <row r="3647">
      <c r="A3647" t="inlineStr">
        <is>
          <t>chr6</t>
        </is>
      </c>
      <c r="B3647" t="n">
        <v>170378583</v>
      </c>
      <c r="C3647" t="inlineStr">
        <is>
          <t>G</t>
        </is>
      </c>
      <c r="D3647" t="inlineStr">
        <is>
          <t>A</t>
        </is>
      </c>
      <c r="E3647" t="inlineStr">
        <is>
          <t>rs9366218</t>
        </is>
      </c>
      <c r="F3647" t="n">
        <v>-0.048163068</v>
      </c>
      <c r="G3647" t="n">
        <v>0.07405760001580711</v>
      </c>
      <c r="H3647" t="n">
        <v>0.009366332324679099</v>
      </c>
      <c r="I3647" t="n">
        <v>0.6028702341848141</v>
      </c>
      <c r="J3647" t="n">
        <v>0.5367440398368234</v>
      </c>
      <c r="K3647" t="n">
        <v>0.0668290881460482</v>
      </c>
      <c r="L3647" t="b">
        <v>0</v>
      </c>
      <c r="M3647" t="b">
        <v>0</v>
      </c>
      <c r="N3647" t="inlineStr">
        <is>
          <t>ref</t>
        </is>
      </c>
      <c r="O3647" t="n">
        <v>-100</v>
      </c>
      <c r="P3647" t="n">
        <v>0.000839</v>
      </c>
      <c r="Q3647" t="n">
        <v>85</v>
      </c>
      <c r="R3647" t="n">
        <v>0.03235</v>
      </c>
      <c r="S3647">
        <f>IMAGE("https://mitra.stanford.edu/kundaje/oak/projects/neuro-variants/variant_position/credible/roussos_2024/variant_figures/roussos_2024.adolescence.GLU/rs9366218_count_position.png",4,220,900)</f>
        <v/>
      </c>
      <c r="T3647">
        <f>IMAGE("https://mitra.stanford.edu/kundaje/oak/projects/neuro-variants/variant_position/credible/roussos_2024/variant_figures/roussos_2024.adolescence.GLU/rs9366218_profile_position.png",4,220,900)</f>
        <v/>
      </c>
    </row>
    <row r="3648">
      <c r="A3648" t="inlineStr">
        <is>
          <t>chr6</t>
        </is>
      </c>
      <c r="B3648" t="n">
        <v>170407171</v>
      </c>
      <c r="C3648" t="inlineStr">
        <is>
          <t>C</t>
        </is>
      </c>
      <c r="D3648" t="inlineStr">
        <is>
          <t>T</t>
        </is>
      </c>
      <c r="E3648" t="inlineStr">
        <is>
          <t>rs10081152</t>
        </is>
      </c>
      <c r="F3648" t="n">
        <v>-0.0564525174</v>
      </c>
      <c r="G3648" t="n">
        <v>0.0555928716343469</v>
      </c>
      <c r="H3648" t="n">
        <v>0.0138009675649894</v>
      </c>
      <c r="I3648" t="n">
        <v>0.243117265970987</v>
      </c>
      <c r="J3648" t="n">
        <v>0.3007565852926678</v>
      </c>
      <c r="K3648" t="n">
        <v>0.2685182449273696</v>
      </c>
      <c r="L3648" t="b">
        <v>0</v>
      </c>
      <c r="M3648" t="b">
        <v>0</v>
      </c>
      <c r="N3648" t="inlineStr">
        <is>
          <t>ref</t>
        </is>
      </c>
      <c r="O3648" t="n">
        <v>-95</v>
      </c>
      <c r="P3648" t="n">
        <v>0.02075</v>
      </c>
      <c r="Q3648" t="n">
        <v>100</v>
      </c>
      <c r="R3648" t="n">
        <v>0.1027</v>
      </c>
      <c r="S3648">
        <f>IMAGE("https://mitra.stanford.edu/kundaje/oak/projects/neuro-variants/variant_position/credible/roussos_2024/variant_figures/roussos_2024.adolescence.GLU/rs10081152_count_position.png",4,220,900)</f>
        <v/>
      </c>
      <c r="T3648">
        <f>IMAGE("https://mitra.stanford.edu/kundaje/oak/projects/neuro-variants/variant_position/credible/roussos_2024/variant_figures/roussos_2024.adolescence.GLU/rs10081152_profile_position.png",4,220,900)</f>
        <v/>
      </c>
    </row>
    <row r="3649">
      <c r="A3649" t="inlineStr">
        <is>
          <t>chr7</t>
        </is>
      </c>
      <c r="B3649" t="n">
        <v>1885818</v>
      </c>
      <c r="C3649" t="inlineStr">
        <is>
          <t>T</t>
        </is>
      </c>
      <c r="D3649" t="inlineStr">
        <is>
          <t>C</t>
        </is>
      </c>
      <c r="E3649" t="inlineStr">
        <is>
          <t>rs12532128</t>
        </is>
      </c>
      <c r="F3649" t="n">
        <v>0.0526453688</v>
      </c>
      <c r="G3649" t="n">
        <v>0.054833405088858</v>
      </c>
      <c r="H3649" t="n">
        <v>0.0169564993372336</v>
      </c>
      <c r="I3649" t="n">
        <v>0.112334632859907</v>
      </c>
      <c r="J3649" t="n">
        <v>0.6214830214830215</v>
      </c>
      <c r="K3649" t="n">
        <v>0.0311925669224713</v>
      </c>
      <c r="L3649" t="b">
        <v>0</v>
      </c>
      <c r="M3649" t="b">
        <v>0</v>
      </c>
      <c r="N3649" t="inlineStr">
        <is>
          <t>alt</t>
        </is>
      </c>
      <c r="O3649" t="n">
        <v>-80</v>
      </c>
      <c r="P3649" t="n">
        <v>0.01945</v>
      </c>
      <c r="Q3649" t="n">
        <v>-100</v>
      </c>
      <c r="R3649" t="n">
        <v>0.2502</v>
      </c>
      <c r="S3649">
        <f>IMAGE("https://mitra.stanford.edu/kundaje/oak/projects/neuro-variants/variant_position/credible/roussos_2024/variant_figures/roussos_2024.adolescence.GLU/rs12532128_count_position.png",4,220,900)</f>
        <v/>
      </c>
      <c r="T3649">
        <f>IMAGE("https://mitra.stanford.edu/kundaje/oak/projects/neuro-variants/variant_position/credible/roussos_2024/variant_figures/roussos_2024.adolescence.GLU/rs12532128_profile_position.png",4,220,900)</f>
        <v/>
      </c>
    </row>
    <row r="3650">
      <c r="A3650" t="inlineStr">
        <is>
          <t>chr7</t>
        </is>
      </c>
      <c r="B3650" t="n">
        <v>1902634</v>
      </c>
      <c r="C3650" t="inlineStr">
        <is>
          <t>C</t>
        </is>
      </c>
      <c r="D3650" t="inlineStr">
        <is>
          <t>T</t>
        </is>
      </c>
      <c r="E3650" t="inlineStr">
        <is>
          <t>rs4236277</t>
        </is>
      </c>
      <c r="F3650" t="n">
        <v>-0.03892811</v>
      </c>
      <c r="G3650" t="n">
        <v>0.119613637962896</v>
      </c>
      <c r="H3650" t="n">
        <v>0.0145217218909552</v>
      </c>
      <c r="I3650" t="n">
        <v>0.1884272891412094</v>
      </c>
      <c r="J3650" t="n">
        <v>0.7474834072772218</v>
      </c>
      <c r="K3650" t="n">
        <v>0.0108975746463853</v>
      </c>
      <c r="L3650" t="b">
        <v>0</v>
      </c>
      <c r="M3650" t="b">
        <v>0</v>
      </c>
      <c r="N3650" t="inlineStr">
        <is>
          <t>ref</t>
        </is>
      </c>
      <c r="O3650" t="n">
        <v>95</v>
      </c>
      <c r="P3650" t="n">
        <v>0.02019</v>
      </c>
      <c r="Q3650" t="n">
        <v>95</v>
      </c>
      <c r="R3650" t="n">
        <v>0.1799</v>
      </c>
      <c r="S3650">
        <f>IMAGE("https://mitra.stanford.edu/kundaje/oak/projects/neuro-variants/variant_position/credible/roussos_2024/variant_figures/roussos_2024.adolescence.GLU/rs4236277_count_position.png",4,220,900)</f>
        <v/>
      </c>
      <c r="T3650">
        <f>IMAGE("https://mitra.stanford.edu/kundaje/oak/projects/neuro-variants/variant_position/credible/roussos_2024/variant_figures/roussos_2024.adolescence.GLU/rs4236277_profile_position.png",4,220,900)</f>
        <v/>
      </c>
    </row>
    <row r="3651">
      <c r="A3651" t="inlineStr">
        <is>
          <t>chr7</t>
        </is>
      </c>
      <c r="B3651" t="n">
        <v>1903230</v>
      </c>
      <c r="C3651" t="inlineStr">
        <is>
          <t>T</t>
        </is>
      </c>
      <c r="D3651" t="inlineStr">
        <is>
          <t>C</t>
        </is>
      </c>
      <c r="E3651" t="inlineStr">
        <is>
          <t>rs12699439</t>
        </is>
      </c>
      <c r="F3651" t="n">
        <v>0.00224856926</v>
      </c>
      <c r="G3651" t="n">
        <v>0.6144008606528586</v>
      </c>
      <c r="H3651" t="n">
        <v>0.0108494536951951</v>
      </c>
      <c r="I3651" t="n">
        <v>0.4321189947021942</v>
      </c>
      <c r="J3651" t="n">
        <v>0.8910331425795344</v>
      </c>
      <c r="K3651" t="n">
        <v>0.003312020321539</v>
      </c>
      <c r="L3651" t="b">
        <v>0</v>
      </c>
      <c r="M3651" t="b">
        <v>0</v>
      </c>
      <c r="N3651" t="inlineStr">
        <is>
          <t>alt</t>
        </is>
      </c>
      <c r="O3651" t="n">
        <v>-40</v>
      </c>
      <c r="P3651" t="n">
        <v>0.002277</v>
      </c>
      <c r="Q3651" t="n">
        <v>-15</v>
      </c>
      <c r="R3651" t="n">
        <v>0.01416</v>
      </c>
      <c r="S3651">
        <f>IMAGE("https://mitra.stanford.edu/kundaje/oak/projects/neuro-variants/variant_position/credible/roussos_2024/variant_figures/roussos_2024.adolescence.GLU/rs12699439_count_position.png",4,220,900)</f>
        <v/>
      </c>
      <c r="T3651">
        <f>IMAGE("https://mitra.stanford.edu/kundaje/oak/projects/neuro-variants/variant_position/credible/roussos_2024/variant_figures/roussos_2024.adolescence.GLU/rs12699439_profile_position.png",4,220,900)</f>
        <v/>
      </c>
    </row>
    <row r="3652">
      <c r="A3652" t="inlineStr">
        <is>
          <t>chr7</t>
        </is>
      </c>
      <c r="B3652" t="n">
        <v>2444663</v>
      </c>
      <c r="C3652" t="inlineStr">
        <is>
          <t>A</t>
        </is>
      </c>
      <c r="D3652" t="inlineStr">
        <is>
          <t>G</t>
        </is>
      </c>
      <c r="E3652" t="inlineStr">
        <is>
          <t>rs79606759</t>
        </is>
      </c>
      <c r="F3652" t="n">
        <v>0.0614196289999999</v>
      </c>
      <c r="G3652" t="n">
        <v>0.0355136555531401</v>
      </c>
      <c r="H3652" t="n">
        <v>0.0087541807243335</v>
      </c>
      <c r="I3652" t="n">
        <v>0.6578084143561564</v>
      </c>
      <c r="J3652" t="n">
        <v>0.5055704395910582</v>
      </c>
      <c r="K3652" t="n">
        <v>0.0856332210913419</v>
      </c>
      <c r="L3652" t="b">
        <v>0</v>
      </c>
      <c r="M3652" t="b">
        <v>0</v>
      </c>
      <c r="N3652" t="inlineStr">
        <is>
          <t>alt</t>
        </is>
      </c>
      <c r="O3652" t="n">
        <v>-90</v>
      </c>
      <c r="P3652" t="n">
        <v>0.003227</v>
      </c>
      <c r="Q3652" t="n">
        <v>20</v>
      </c>
      <c r="R3652" t="n">
        <v>0.02527</v>
      </c>
      <c r="S3652">
        <f>IMAGE("https://mitra.stanford.edu/kundaje/oak/projects/neuro-variants/variant_position/credible/roussos_2024/variant_figures/roussos_2024.adolescence.GLU/rs79606759_count_position.png",4,220,900)</f>
        <v/>
      </c>
      <c r="T3652">
        <f>IMAGE("https://mitra.stanford.edu/kundaje/oak/projects/neuro-variants/variant_position/credible/roussos_2024/variant_figures/roussos_2024.adolescence.GLU/rs79606759_profile_position.png",4,220,900)</f>
        <v/>
      </c>
    </row>
    <row r="3653">
      <c r="A3653" t="inlineStr">
        <is>
          <t>chr7</t>
        </is>
      </c>
      <c r="B3653" t="n">
        <v>2444919</v>
      </c>
      <c r="C3653" t="inlineStr">
        <is>
          <t>T</t>
        </is>
      </c>
      <c r="D3653" t="inlineStr">
        <is>
          <t>A</t>
        </is>
      </c>
      <c r="E3653" t="inlineStr">
        <is>
          <t>rs76150572</t>
        </is>
      </c>
      <c r="F3653" t="n">
        <v>0.0145352124</v>
      </c>
      <c r="G3653" t="n">
        <v>0.3768167163661471</v>
      </c>
      <c r="H3653" t="n">
        <v>0.026903988657608</v>
      </c>
      <c r="I3653" t="n">
        <v>0.0155972412817233</v>
      </c>
      <c r="J3653" t="n">
        <v>0.517277150266841</v>
      </c>
      <c r="K3653" t="n">
        <v>0.07838533187627859</v>
      </c>
      <c r="L3653" t="b">
        <v>1</v>
      </c>
      <c r="M3653" t="b">
        <v>0</v>
      </c>
      <c r="N3653" t="inlineStr">
        <is>
          <t>alt</t>
        </is>
      </c>
      <c r="O3653" t="n">
        <v>55</v>
      </c>
      <c r="P3653" t="n">
        <v>0.001831</v>
      </c>
      <c r="Q3653" t="n">
        <v>-100</v>
      </c>
      <c r="R3653" t="n">
        <v>0.0761</v>
      </c>
      <c r="S3653">
        <f>IMAGE("https://mitra.stanford.edu/kundaje/oak/projects/neuro-variants/variant_position/credible/roussos_2024/variant_figures/roussos_2024.adolescence.GLU/rs76150572_count_position.png",4,220,900)</f>
        <v/>
      </c>
      <c r="T3653">
        <f>IMAGE("https://mitra.stanford.edu/kundaje/oak/projects/neuro-variants/variant_position/credible/roussos_2024/variant_figures/roussos_2024.adolescence.GLU/rs76150572_profile_position.png",4,220,900)</f>
        <v/>
      </c>
    </row>
    <row r="3654">
      <c r="A3654" t="inlineStr">
        <is>
          <t>chr7</t>
        </is>
      </c>
      <c r="B3654" t="n">
        <v>6003864</v>
      </c>
      <c r="C3654" t="inlineStr">
        <is>
          <t>T</t>
        </is>
      </c>
      <c r="D3654" t="inlineStr">
        <is>
          <t>C</t>
        </is>
      </c>
      <c r="E3654" t="inlineStr">
        <is>
          <t>rs117831773</t>
        </is>
      </c>
      <c r="F3654" t="n">
        <v>0.0311336544</v>
      </c>
      <c r="G3654" t="n">
        <v>0.160605959379603</v>
      </c>
      <c r="H3654" t="n">
        <v>0.0173565496851944</v>
      </c>
      <c r="I3654" t="n">
        <v>0.1022011251461197</v>
      </c>
      <c r="J3654" t="n">
        <v>0.0174607597288009</v>
      </c>
      <c r="K3654" t="n">
        <v>0.8343161696876816</v>
      </c>
      <c r="L3654" t="b">
        <v>0</v>
      </c>
      <c r="M3654" t="b">
        <v>0</v>
      </c>
      <c r="N3654" t="inlineStr">
        <is>
          <t>alt</t>
        </is>
      </c>
      <c r="O3654" t="n">
        <v>-50</v>
      </c>
      <c r="P3654" t="n">
        <v>0.002253</v>
      </c>
      <c r="Q3654" t="n">
        <v>-90</v>
      </c>
      <c r="R3654" t="n">
        <v>0.0445</v>
      </c>
      <c r="S3654">
        <f>IMAGE("https://mitra.stanford.edu/kundaje/oak/projects/neuro-variants/variant_position/credible/roussos_2024/variant_figures/roussos_2024.adolescence.GLU/rs117831773_count_position.png",4,220,900)</f>
        <v/>
      </c>
      <c r="T3654">
        <f>IMAGE("https://mitra.stanford.edu/kundaje/oak/projects/neuro-variants/variant_position/credible/roussos_2024/variant_figures/roussos_2024.adolescence.GLU/rs117831773_profile_position.png",4,220,900)</f>
        <v/>
      </c>
    </row>
    <row r="3655">
      <c r="A3655" t="inlineStr">
        <is>
          <t>chr7</t>
        </is>
      </c>
      <c r="B3655" t="n">
        <v>6011278</v>
      </c>
      <c r="C3655" t="inlineStr">
        <is>
          <t>C</t>
        </is>
      </c>
      <c r="D3655" t="inlineStr">
        <is>
          <t>A</t>
        </is>
      </c>
      <c r="E3655" t="inlineStr">
        <is>
          <t>rs75285243</t>
        </is>
      </c>
      <c r="F3655" t="n">
        <v>-0.01878868294</v>
      </c>
      <c r="G3655" t="n">
        <v>0.301355721703237</v>
      </c>
      <c r="H3655" t="n">
        <v>0.012313562710842</v>
      </c>
      <c r="I3655" t="n">
        <v>0.3208885127019467</v>
      </c>
      <c r="J3655" t="n">
        <v>0.2135142279472175</v>
      </c>
      <c r="K3655" t="n">
        <v>0.385400005245106</v>
      </c>
      <c r="L3655" t="b">
        <v>0</v>
      </c>
      <c r="M3655" t="b">
        <v>0</v>
      </c>
      <c r="N3655" t="inlineStr">
        <is>
          <t>ref</t>
        </is>
      </c>
      <c r="O3655" t="n">
        <v>-100</v>
      </c>
      <c r="P3655" t="n">
        <v>0.003803</v>
      </c>
      <c r="Q3655" t="n">
        <v>-65</v>
      </c>
      <c r="R3655" t="n">
        <v>0.0393</v>
      </c>
      <c r="S3655">
        <f>IMAGE("https://mitra.stanford.edu/kundaje/oak/projects/neuro-variants/variant_position/credible/roussos_2024/variant_figures/roussos_2024.adolescence.GLU/rs75285243_count_position.png",4,220,900)</f>
        <v/>
      </c>
      <c r="T3655">
        <f>IMAGE("https://mitra.stanford.edu/kundaje/oak/projects/neuro-variants/variant_position/credible/roussos_2024/variant_figures/roussos_2024.adolescence.GLU/rs75285243_profile_position.png",4,220,900)</f>
        <v/>
      </c>
    </row>
    <row r="3656">
      <c r="A3656" t="inlineStr">
        <is>
          <t>chr7</t>
        </is>
      </c>
      <c r="B3656" t="n">
        <v>6011649</v>
      </c>
      <c r="C3656" t="inlineStr">
        <is>
          <t>A</t>
        </is>
      </c>
      <c r="D3656" t="inlineStr">
        <is>
          <t>G</t>
        </is>
      </c>
      <c r="E3656" t="inlineStr">
        <is>
          <t>rs76124438</t>
        </is>
      </c>
      <c r="F3656" t="n">
        <v>0.0729422426</v>
      </c>
      <c r="G3656" t="n">
        <v>0.0192235868092124</v>
      </c>
      <c r="H3656" t="n">
        <v>0.0102430612447233</v>
      </c>
      <c r="I3656" t="n">
        <v>0.4950568643888427</v>
      </c>
      <c r="J3656" t="n">
        <v>0.1717584356759613</v>
      </c>
      <c r="K3656" t="n">
        <v>0.448105197500328</v>
      </c>
      <c r="L3656" t="b">
        <v>0</v>
      </c>
      <c r="M3656" t="b">
        <v>0</v>
      </c>
      <c r="N3656" t="inlineStr">
        <is>
          <t>alt</t>
        </is>
      </c>
      <c r="O3656" t="n">
        <v>35</v>
      </c>
      <c r="P3656" t="n">
        <v>0.005013</v>
      </c>
      <c r="Q3656" t="n">
        <v>-100</v>
      </c>
      <c r="R3656" t="n">
        <v>0.03406</v>
      </c>
      <c r="S3656">
        <f>IMAGE("https://mitra.stanford.edu/kundaje/oak/projects/neuro-variants/variant_position/credible/roussos_2024/variant_figures/roussos_2024.adolescence.GLU/rs76124438_count_position.png",4,220,900)</f>
        <v/>
      </c>
      <c r="T3656">
        <f>IMAGE("https://mitra.stanford.edu/kundaje/oak/projects/neuro-variants/variant_position/credible/roussos_2024/variant_figures/roussos_2024.adolescence.GLU/rs76124438_profile_position.png",4,220,900)</f>
        <v/>
      </c>
    </row>
    <row r="3657">
      <c r="A3657" t="inlineStr">
        <is>
          <t>chr7</t>
        </is>
      </c>
      <c r="B3657" t="n">
        <v>6016571</v>
      </c>
      <c r="C3657" t="inlineStr">
        <is>
          <t>G</t>
        </is>
      </c>
      <c r="D3657" t="inlineStr">
        <is>
          <t>A</t>
        </is>
      </c>
      <c r="E3657" t="inlineStr">
        <is>
          <t>rs112393694</t>
        </is>
      </c>
      <c r="F3657" t="n">
        <v>-0.1403764787999999</v>
      </c>
      <c r="G3657" t="n">
        <v>0.0032910870508633</v>
      </c>
      <c r="H3657" t="n">
        <v>0.0343688613335071</v>
      </c>
      <c r="I3657" t="n">
        <v>0.0048997459733583</v>
      </c>
      <c r="J3657" t="n">
        <v>0.4345400118595994</v>
      </c>
      <c r="K3657" t="n">
        <v>0.1378001864410945</v>
      </c>
      <c r="L3657" t="b">
        <v>1</v>
      </c>
      <c r="M3657" t="b">
        <v>1</v>
      </c>
      <c r="N3657" t="inlineStr">
        <is>
          <t>ref</t>
        </is>
      </c>
      <c r="O3657" t="n">
        <v>100</v>
      </c>
      <c r="P3657" t="n">
        <v>0.003418</v>
      </c>
      <c r="Q3657" t="n">
        <v>100</v>
      </c>
      <c r="R3657" t="n">
        <v>0.1586</v>
      </c>
      <c r="S3657">
        <f>IMAGE("https://mitra.stanford.edu/kundaje/oak/projects/neuro-variants/variant_position/credible/roussos_2024/variant_figures/roussos_2024.adolescence.GLU/rs112393694_count_position.png",4,220,900)</f>
        <v/>
      </c>
      <c r="T3657">
        <f>IMAGE("https://mitra.stanford.edu/kundaje/oak/projects/neuro-variants/variant_position/credible/roussos_2024/variant_figures/roussos_2024.adolescence.GLU/rs112393694_profile_position.png",4,220,900)</f>
        <v/>
      </c>
    </row>
    <row r="3658">
      <c r="A3658" t="inlineStr">
        <is>
          <t>chr7</t>
        </is>
      </c>
      <c r="B3658" t="n">
        <v>6019143</v>
      </c>
      <c r="C3658" t="inlineStr">
        <is>
          <t>T</t>
        </is>
      </c>
      <c r="D3658" t="inlineStr">
        <is>
          <t>C</t>
        </is>
      </c>
      <c r="E3658" t="inlineStr">
        <is>
          <t>rs79231966</t>
        </is>
      </c>
      <c r="F3658" t="n">
        <v>-0.0382752126</v>
      </c>
      <c r="G3658" t="n">
        <v>0.1250693438077283</v>
      </c>
      <c r="H3658" t="n">
        <v>0.0168573552304682</v>
      </c>
      <c r="I3658" t="n">
        <v>0.1121827702793651</v>
      </c>
      <c r="J3658" t="n">
        <v>0.2809453386772974</v>
      </c>
      <c r="K3658" t="n">
        <v>0.2940078064997923</v>
      </c>
      <c r="L3658" t="b">
        <v>0</v>
      </c>
      <c r="M3658" t="b">
        <v>0</v>
      </c>
      <c r="N3658" t="inlineStr">
        <is>
          <t>ref</t>
        </is>
      </c>
      <c r="O3658" t="n">
        <v>80</v>
      </c>
      <c r="P3658" t="n">
        <v>0.03937</v>
      </c>
      <c r="Q3658" t="n">
        <v>-15</v>
      </c>
      <c r="R3658" t="n">
        <v>0.00482</v>
      </c>
      <c r="S3658">
        <f>IMAGE("https://mitra.stanford.edu/kundaje/oak/projects/neuro-variants/variant_position/credible/roussos_2024/variant_figures/roussos_2024.adolescence.GLU/rs79231966_count_position.png",4,220,900)</f>
        <v/>
      </c>
      <c r="T3658">
        <f>IMAGE("https://mitra.stanford.edu/kundaje/oak/projects/neuro-variants/variant_position/credible/roussos_2024/variant_figures/roussos_2024.adolescence.GLU/rs79231966_profile_position.png",4,220,900)</f>
        <v/>
      </c>
    </row>
    <row r="3659">
      <c r="A3659" t="inlineStr">
        <is>
          <t>chr7</t>
        </is>
      </c>
      <c r="B3659" t="n">
        <v>8509557</v>
      </c>
      <c r="C3659" t="inlineStr">
        <is>
          <t>C</t>
        </is>
      </c>
      <c r="D3659" t="inlineStr">
        <is>
          <t>G</t>
        </is>
      </c>
      <c r="E3659" t="inlineStr">
        <is>
          <t>rs11972718</t>
        </is>
      </c>
      <c r="F3659" t="n">
        <v>0.00388397124</v>
      </c>
      <c r="G3659" t="n">
        <v>0.7187290351193741</v>
      </c>
      <c r="H3659" t="n">
        <v>0.007879297522648199</v>
      </c>
      <c r="I3659" t="n">
        <v>0.7717284283893439</v>
      </c>
      <c r="J3659" t="n">
        <v>0.0768330582763572</v>
      </c>
      <c r="K3659" t="n">
        <v>0.6247575090239844</v>
      </c>
      <c r="L3659" t="b">
        <v>0</v>
      </c>
      <c r="M3659" t="b">
        <v>0</v>
      </c>
      <c r="N3659" t="inlineStr">
        <is>
          <t>alt</t>
        </is>
      </c>
      <c r="O3659" t="n">
        <v>-25</v>
      </c>
      <c r="P3659" t="n">
        <v>0.002762</v>
      </c>
      <c r="Q3659" t="n">
        <v>-50</v>
      </c>
      <c r="R3659" t="n">
        <v>0.006836</v>
      </c>
      <c r="S3659">
        <f>IMAGE("https://mitra.stanford.edu/kundaje/oak/projects/neuro-variants/variant_position/credible/roussos_2024/variant_figures/roussos_2024.adolescence.GLU/rs11972718_count_position.png",4,220,900)</f>
        <v/>
      </c>
      <c r="T3659">
        <f>IMAGE("https://mitra.stanford.edu/kundaje/oak/projects/neuro-variants/variant_position/credible/roussos_2024/variant_figures/roussos_2024.adolescence.GLU/rs11972718_profile_position.png",4,220,900)</f>
        <v/>
      </c>
    </row>
    <row r="3660">
      <c r="A3660" t="inlineStr">
        <is>
          <t>chr7</t>
        </is>
      </c>
      <c r="B3660" t="n">
        <v>8522315</v>
      </c>
      <c r="C3660" t="inlineStr">
        <is>
          <t>T</t>
        </is>
      </c>
      <c r="D3660" t="inlineStr">
        <is>
          <t>C</t>
        </is>
      </c>
      <c r="E3660" t="inlineStr">
        <is>
          <t>rs2040765</t>
        </is>
      </c>
      <c r="F3660" t="n">
        <v>0.0413026686</v>
      </c>
      <c r="G3660" t="n">
        <v>0.0947720819102484</v>
      </c>
      <c r="H3660" t="n">
        <v>0.0098614553662241</v>
      </c>
      <c r="I3660" t="n">
        <v>0.539633756304624</v>
      </c>
      <c r="J3660" t="n">
        <v>0.08285287666730951</v>
      </c>
      <c r="K3660" t="n">
        <v>0.6049902210166987</v>
      </c>
      <c r="L3660" t="b">
        <v>0</v>
      </c>
      <c r="M3660" t="b">
        <v>0</v>
      </c>
      <c r="N3660" t="inlineStr">
        <is>
          <t>alt</t>
        </is>
      </c>
      <c r="O3660" t="n">
        <v>-80</v>
      </c>
      <c r="P3660" t="n">
        <v>0.001648</v>
      </c>
      <c r="Q3660" t="n">
        <v>-85</v>
      </c>
      <c r="R3660" t="n">
        <v>0.01901</v>
      </c>
      <c r="S3660">
        <f>IMAGE("https://mitra.stanford.edu/kundaje/oak/projects/neuro-variants/variant_position/credible/roussos_2024/variant_figures/roussos_2024.adolescence.GLU/rs2040765_count_position.png",4,220,900)</f>
        <v/>
      </c>
      <c r="T3660">
        <f>IMAGE("https://mitra.stanford.edu/kundaje/oak/projects/neuro-variants/variant_position/credible/roussos_2024/variant_figures/roussos_2024.adolescence.GLU/rs2040765_profile_position.png",4,220,900)</f>
        <v/>
      </c>
    </row>
    <row r="3661">
      <c r="A3661" t="inlineStr">
        <is>
          <t>chr7</t>
        </is>
      </c>
      <c r="B3661" t="n">
        <v>8522330</v>
      </c>
      <c r="C3661" t="inlineStr">
        <is>
          <t>A</t>
        </is>
      </c>
      <c r="D3661" t="inlineStr">
        <is>
          <t>G</t>
        </is>
      </c>
      <c r="E3661" t="inlineStr">
        <is>
          <t>rs2040766</t>
        </is>
      </c>
      <c r="F3661" t="n">
        <v>0.0119531413</v>
      </c>
      <c r="G3661" t="n">
        <v>0.4571525048021159</v>
      </c>
      <c r="H3661" t="n">
        <v>0.0103584452634196</v>
      </c>
      <c r="I3661" t="n">
        <v>0.4804216920584609</v>
      </c>
      <c r="J3661" t="n">
        <v>0.0725164498360374</v>
      </c>
      <c r="K3661" t="n">
        <v>0.6307036953221191</v>
      </c>
      <c r="L3661" t="b">
        <v>0</v>
      </c>
      <c r="M3661" t="b">
        <v>0</v>
      </c>
      <c r="N3661" t="inlineStr">
        <is>
          <t>alt</t>
        </is>
      </c>
      <c r="O3661" t="n">
        <v>-15</v>
      </c>
      <c r="P3661" t="n">
        <v>0.0001907</v>
      </c>
      <c r="Q3661" t="n">
        <v>-100</v>
      </c>
      <c r="R3661" t="n">
        <v>0.01889</v>
      </c>
      <c r="S3661">
        <f>IMAGE("https://mitra.stanford.edu/kundaje/oak/projects/neuro-variants/variant_position/credible/roussos_2024/variant_figures/roussos_2024.adolescence.GLU/rs2040766_count_position.png",4,220,900)</f>
        <v/>
      </c>
      <c r="T3661">
        <f>IMAGE("https://mitra.stanford.edu/kundaje/oak/projects/neuro-variants/variant_position/credible/roussos_2024/variant_figures/roussos_2024.adolescence.GLU/rs2040766_profile_position.png",4,220,900)</f>
        <v/>
      </c>
    </row>
    <row r="3662">
      <c r="A3662" t="inlineStr">
        <is>
          <t>chr7</t>
        </is>
      </c>
      <c r="B3662" t="n">
        <v>8522348</v>
      </c>
      <c r="C3662" t="inlineStr">
        <is>
          <t>T</t>
        </is>
      </c>
      <c r="D3662" t="inlineStr">
        <is>
          <t>C</t>
        </is>
      </c>
      <c r="E3662" t="inlineStr">
        <is>
          <t>rs2040767</t>
        </is>
      </c>
      <c r="F3662" t="n">
        <v>0.00829244944</v>
      </c>
      <c r="G3662" t="n">
        <v>0.5654373681081167</v>
      </c>
      <c r="H3662" t="n">
        <v>0.0078663496082932</v>
      </c>
      <c r="I3662" t="n">
        <v>0.8217630422850604</v>
      </c>
      <c r="J3662" t="n">
        <v>0.0710018503832936</v>
      </c>
      <c r="K3662" t="n">
        <v>0.6349961877628519</v>
      </c>
      <c r="L3662" t="b">
        <v>0</v>
      </c>
      <c r="M3662" t="b">
        <v>0</v>
      </c>
      <c r="N3662" t="inlineStr">
        <is>
          <t>alt</t>
        </is>
      </c>
      <c r="O3662" t="n">
        <v>100</v>
      </c>
      <c r="P3662" t="n">
        <v>0.003235</v>
      </c>
      <c r="Q3662" t="n">
        <v>-75</v>
      </c>
      <c r="R3662" t="n">
        <v>0.02412</v>
      </c>
      <c r="S3662">
        <f>IMAGE("https://mitra.stanford.edu/kundaje/oak/projects/neuro-variants/variant_position/credible/roussos_2024/variant_figures/roussos_2024.adolescence.GLU/rs2040767_count_position.png",4,220,900)</f>
        <v/>
      </c>
      <c r="T3662">
        <f>IMAGE("https://mitra.stanford.edu/kundaje/oak/projects/neuro-variants/variant_position/credible/roussos_2024/variant_figures/roussos_2024.adolescence.GLU/rs2040767_profile_position.png",4,220,900)</f>
        <v/>
      </c>
    </row>
    <row r="3663">
      <c r="A3663" t="inlineStr">
        <is>
          <t>chr7</t>
        </is>
      </c>
      <c r="B3663" t="n">
        <v>8527374</v>
      </c>
      <c r="C3663" t="inlineStr">
        <is>
          <t>G</t>
        </is>
      </c>
      <c r="D3663" t="inlineStr">
        <is>
          <t>T</t>
        </is>
      </c>
      <c r="E3663" t="inlineStr">
        <is>
          <t>rs1557841</t>
        </is>
      </c>
      <c r="F3663" t="n">
        <v>0.0102942992</v>
      </c>
      <c r="G3663" t="n">
        <v>0.4648137692215182</v>
      </c>
      <c r="H3663" t="n">
        <v>0.0147938058647375</v>
      </c>
      <c r="I3663" t="n">
        <v>0.183683022195625</v>
      </c>
      <c r="J3663" t="n">
        <v>0.3250030363432425</v>
      </c>
      <c r="K3663" t="n">
        <v>0.2392786317041012</v>
      </c>
      <c r="L3663" t="b">
        <v>0</v>
      </c>
      <c r="M3663" t="b">
        <v>0</v>
      </c>
      <c r="N3663" t="inlineStr">
        <is>
          <t>alt</t>
        </is>
      </c>
      <c r="O3663" t="n">
        <v>-20</v>
      </c>
      <c r="P3663" t="n">
        <v>0.001709</v>
      </c>
      <c r="Q3663" t="n">
        <v>-75</v>
      </c>
      <c r="R3663" t="n">
        <v>0.0359</v>
      </c>
      <c r="S3663">
        <f>IMAGE("https://mitra.stanford.edu/kundaje/oak/projects/neuro-variants/variant_position/credible/roussos_2024/variant_figures/roussos_2024.adolescence.GLU/rs1557841_count_position.png",4,220,900)</f>
        <v/>
      </c>
      <c r="T3663">
        <f>IMAGE("https://mitra.stanford.edu/kundaje/oak/projects/neuro-variants/variant_position/credible/roussos_2024/variant_figures/roussos_2024.adolescence.GLU/rs1557841_profile_position.png",4,220,900)</f>
        <v/>
      </c>
    </row>
    <row r="3664">
      <c r="A3664" t="inlineStr">
        <is>
          <t>chr7</t>
        </is>
      </c>
      <c r="B3664" t="n">
        <v>16524243</v>
      </c>
      <c r="C3664" t="inlineStr">
        <is>
          <t>T</t>
        </is>
      </c>
      <c r="D3664" t="inlineStr">
        <is>
          <t>G</t>
        </is>
      </c>
      <c r="E3664" t="inlineStr">
        <is>
          <t>rs17464820</t>
        </is>
      </c>
      <c r="F3664" t="n">
        <v>0.0429707438</v>
      </c>
      <c r="G3664" t="n">
        <v>0.08626950788599889</v>
      </c>
      <c r="H3664" t="n">
        <v>0.0180583762942541</v>
      </c>
      <c r="I3664" t="n">
        <v>0.0827395169778825</v>
      </c>
      <c r="J3664" t="n">
        <v>0.0231276478699158</v>
      </c>
      <c r="K3664" t="n">
        <v>0.8034391879097513</v>
      </c>
      <c r="L3664" t="b">
        <v>0</v>
      </c>
      <c r="M3664" t="b">
        <v>0</v>
      </c>
      <c r="N3664" t="inlineStr">
        <is>
          <t>alt</t>
        </is>
      </c>
      <c r="O3664" t="n">
        <v>-40</v>
      </c>
      <c r="P3664" t="n">
        <v>0.00515</v>
      </c>
      <c r="Q3664" t="n">
        <v>60</v>
      </c>
      <c r="R3664" t="n">
        <v>0.03656</v>
      </c>
      <c r="S3664">
        <f>IMAGE("https://mitra.stanford.edu/kundaje/oak/projects/neuro-variants/variant_position/credible/roussos_2024/variant_figures/roussos_2024.adolescence.GLU/rs17464820_count_position.png",4,220,900)</f>
        <v/>
      </c>
      <c r="T3664">
        <f>IMAGE("https://mitra.stanford.edu/kundaje/oak/projects/neuro-variants/variant_position/credible/roussos_2024/variant_figures/roussos_2024.adolescence.GLU/rs17464820_profile_position.png",4,220,900)</f>
        <v/>
      </c>
    </row>
    <row r="3665">
      <c r="A3665" t="inlineStr">
        <is>
          <t>chr7</t>
        </is>
      </c>
      <c r="B3665" t="n">
        <v>21439273</v>
      </c>
      <c r="C3665" t="inlineStr">
        <is>
          <t>G</t>
        </is>
      </c>
      <c r="D3665" t="inlineStr">
        <is>
          <t>T</t>
        </is>
      </c>
      <c r="E3665" t="inlineStr">
        <is>
          <t>rs9639377</t>
        </is>
      </c>
      <c r="F3665" t="n">
        <v>-0.0056222619599999</v>
      </c>
      <c r="G3665" t="n">
        <v>0.6849372036014214</v>
      </c>
      <c r="H3665" t="n">
        <v>0.0145825822406802</v>
      </c>
      <c r="I3665" t="n">
        <v>0.1777282701656519</v>
      </c>
      <c r="J3665" t="n">
        <v>0.06604653821148659</v>
      </c>
      <c r="K3665" t="n">
        <v>0.654395379595048</v>
      </c>
      <c r="L3665" t="b">
        <v>0</v>
      </c>
      <c r="M3665" t="b">
        <v>0</v>
      </c>
      <c r="N3665" t="inlineStr">
        <is>
          <t>ref</t>
        </is>
      </c>
      <c r="O3665" t="n">
        <v>50</v>
      </c>
      <c r="P3665" t="n">
        <v>0.009639999999999999</v>
      </c>
      <c r="Q3665" t="n">
        <v>90</v>
      </c>
      <c r="R3665" t="n">
        <v>0.0978</v>
      </c>
      <c r="S3665">
        <f>IMAGE("https://mitra.stanford.edu/kundaje/oak/projects/neuro-variants/variant_position/credible/roussos_2024/variant_figures/roussos_2024.adolescence.GLU/rs9639377_count_position.png",4,220,900)</f>
        <v/>
      </c>
      <c r="T3665">
        <f>IMAGE("https://mitra.stanford.edu/kundaje/oak/projects/neuro-variants/variant_position/credible/roussos_2024/variant_figures/roussos_2024.adolescence.GLU/rs9639377_profile_position.png",4,220,900)</f>
        <v/>
      </c>
    </row>
    <row r="3666">
      <c r="A3666" t="inlineStr">
        <is>
          <t>chr7</t>
        </is>
      </c>
      <c r="B3666" t="n">
        <v>21460239</v>
      </c>
      <c r="C3666" t="inlineStr">
        <is>
          <t>A</t>
        </is>
      </c>
      <c r="D3666" t="inlineStr">
        <is>
          <t>G</t>
        </is>
      </c>
      <c r="E3666" t="inlineStr">
        <is>
          <t>rs7796796</t>
        </is>
      </c>
      <c r="F3666" t="n">
        <v>0.050800156</v>
      </c>
      <c r="G3666" t="n">
        <v>0.0580437360127896</v>
      </c>
      <c r="H3666" t="n">
        <v>0.009928181916087001</v>
      </c>
      <c r="I3666" t="n">
        <v>0.5338737745548411</v>
      </c>
      <c r="J3666" t="n">
        <v>0.4568646362460795</v>
      </c>
      <c r="K3666" t="n">
        <v>0.1159056912336575</v>
      </c>
      <c r="L3666" t="b">
        <v>0</v>
      </c>
      <c r="M3666" t="b">
        <v>0</v>
      </c>
      <c r="N3666" t="inlineStr">
        <is>
          <t>alt</t>
        </is>
      </c>
      <c r="O3666" t="n">
        <v>60</v>
      </c>
      <c r="P3666" t="n">
        <v>0.005188</v>
      </c>
      <c r="Q3666" t="n">
        <v>85</v>
      </c>
      <c r="R3666" t="n">
        <v>0.0873</v>
      </c>
      <c r="S3666">
        <f>IMAGE("https://mitra.stanford.edu/kundaje/oak/projects/neuro-variants/variant_position/credible/roussos_2024/variant_figures/roussos_2024.adolescence.GLU/rs7796796_count_position.png",4,220,900)</f>
        <v/>
      </c>
      <c r="T3666">
        <f>IMAGE("https://mitra.stanford.edu/kundaje/oak/projects/neuro-variants/variant_position/credible/roussos_2024/variant_figures/roussos_2024.adolescence.GLU/rs7796796_profile_position.png",4,220,900)</f>
        <v/>
      </c>
    </row>
    <row r="3667">
      <c r="A3667" t="inlineStr">
        <is>
          <t>chr7</t>
        </is>
      </c>
      <c r="B3667" t="n">
        <v>21483576</v>
      </c>
      <c r="C3667" t="inlineStr">
        <is>
          <t>T</t>
        </is>
      </c>
      <c r="D3667" t="inlineStr">
        <is>
          <t>C</t>
        </is>
      </c>
      <c r="E3667" t="inlineStr">
        <is>
          <t>rs6948810</t>
        </is>
      </c>
      <c r="F3667" t="n">
        <v>0.00730802998</v>
      </c>
      <c r="G3667" t="n">
        <v>0.5943471062231425</v>
      </c>
      <c r="H3667" t="n">
        <v>0.012792520452925</v>
      </c>
      <c r="I3667" t="n">
        <v>0.2812640614263826</v>
      </c>
      <c r="J3667" t="n">
        <v>0.0007973080138028</v>
      </c>
      <c r="K3667" t="n">
        <v>0.9728595138138494</v>
      </c>
      <c r="L3667" t="b">
        <v>0</v>
      </c>
      <c r="M3667" t="b">
        <v>0</v>
      </c>
      <c r="N3667" t="inlineStr">
        <is>
          <t>alt</t>
        </is>
      </c>
      <c r="O3667" t="n">
        <v>100</v>
      </c>
      <c r="P3667" t="n">
        <v>0.0094</v>
      </c>
      <c r="Q3667" t="n">
        <v>70</v>
      </c>
      <c r="R3667" t="n">
        <v>0.02722</v>
      </c>
      <c r="S3667">
        <f>IMAGE("https://mitra.stanford.edu/kundaje/oak/projects/neuro-variants/variant_position/credible/roussos_2024/variant_figures/roussos_2024.adolescence.GLU/rs6948810_count_position.png",4,220,900)</f>
        <v/>
      </c>
      <c r="T3667">
        <f>IMAGE("https://mitra.stanford.edu/kundaje/oak/projects/neuro-variants/variant_position/credible/roussos_2024/variant_figures/roussos_2024.adolescence.GLU/rs6948810_profile_position.png",4,220,900)</f>
        <v/>
      </c>
    </row>
    <row r="3668">
      <c r="A3668" t="inlineStr">
        <is>
          <t>chr7</t>
        </is>
      </c>
      <c r="B3668" t="n">
        <v>23680160</v>
      </c>
      <c r="C3668" t="inlineStr">
        <is>
          <t>G</t>
        </is>
      </c>
      <c r="D3668" t="inlineStr">
        <is>
          <t>A</t>
        </is>
      </c>
      <c r="E3668" t="inlineStr">
        <is>
          <t>rs56359038</t>
        </is>
      </c>
      <c r="F3668" t="n">
        <v>-0.02254504474</v>
      </c>
      <c r="G3668" t="n">
        <v>0.272398675969319</v>
      </c>
      <c r="H3668" t="n">
        <v>0.0221537112286188</v>
      </c>
      <c r="I3668" t="n">
        <v>0.0356440669313498</v>
      </c>
      <c r="J3668" t="n">
        <v>0.8180380221617334</v>
      </c>
      <c r="K3668" t="n">
        <v>0.0068549766359848</v>
      </c>
      <c r="L3668" t="b">
        <v>0</v>
      </c>
      <c r="M3668" t="b">
        <v>0</v>
      </c>
      <c r="N3668" t="inlineStr">
        <is>
          <t>ref</t>
        </is>
      </c>
      <c r="O3668" t="n">
        <v>-35</v>
      </c>
      <c r="P3668" t="n">
        <v>0.008359999999999999</v>
      </c>
      <c r="Q3668" t="n">
        <v>-30</v>
      </c>
      <c r="R3668" t="n">
        <v>0.09326</v>
      </c>
      <c r="S3668">
        <f>IMAGE("https://mitra.stanford.edu/kundaje/oak/projects/neuro-variants/variant_position/credible/roussos_2024/variant_figures/roussos_2024.adolescence.GLU/rs56359038_count_position.png",4,220,900)</f>
        <v/>
      </c>
      <c r="T3668">
        <f>IMAGE("https://mitra.stanford.edu/kundaje/oak/projects/neuro-variants/variant_position/credible/roussos_2024/variant_figures/roussos_2024.adolescence.GLU/rs56359038_profile_position.png",4,220,900)</f>
        <v/>
      </c>
    </row>
    <row r="3669">
      <c r="A3669" t="inlineStr">
        <is>
          <t>chr7</t>
        </is>
      </c>
      <c r="B3669" t="n">
        <v>23867010</v>
      </c>
      <c r="C3669" t="inlineStr">
        <is>
          <t>G</t>
        </is>
      </c>
      <c r="D3669" t="inlineStr">
        <is>
          <t>T</t>
        </is>
      </c>
      <c r="E3669" t="inlineStr">
        <is>
          <t>rs6966655</t>
        </is>
      </c>
      <c r="F3669" t="n">
        <v>-0.00971869874</v>
      </c>
      <c r="G3669" t="n">
        <v>0.545244218735313</v>
      </c>
      <c r="H3669" t="n">
        <v>0.0198622910254865</v>
      </c>
      <c r="I3669" t="n">
        <v>0.0556096063671853</v>
      </c>
      <c r="J3669" t="n">
        <v>0.0137056961799229</v>
      </c>
      <c r="K3669" t="n">
        <v>0.8589830238293634</v>
      </c>
      <c r="L3669" t="b">
        <v>0</v>
      </c>
      <c r="M3669" t="b">
        <v>0</v>
      </c>
      <c r="N3669" t="inlineStr">
        <is>
          <t>ref</t>
        </is>
      </c>
      <c r="O3669" t="n">
        <v>-70</v>
      </c>
      <c r="P3669" t="n">
        <v>0.00757</v>
      </c>
      <c r="Q3669" t="n">
        <v>-100</v>
      </c>
      <c r="R3669" t="n">
        <v>0.04297</v>
      </c>
      <c r="S3669">
        <f>IMAGE("https://mitra.stanford.edu/kundaje/oak/projects/neuro-variants/variant_position/credible/roussos_2024/variant_figures/roussos_2024.adolescence.GLU/rs6966655_count_position.png",4,220,900)</f>
        <v/>
      </c>
      <c r="T3669">
        <f>IMAGE("https://mitra.stanford.edu/kundaje/oak/projects/neuro-variants/variant_position/credible/roussos_2024/variant_figures/roussos_2024.adolescence.GLU/rs6966655_profile_position.png",4,220,900)</f>
        <v/>
      </c>
    </row>
    <row r="3670">
      <c r="A3670" t="inlineStr">
        <is>
          <t>chr7</t>
        </is>
      </c>
      <c r="B3670" t="n">
        <v>23871880</v>
      </c>
      <c r="C3670" t="inlineStr">
        <is>
          <t>A</t>
        </is>
      </c>
      <c r="D3670" t="inlineStr">
        <is>
          <t>G</t>
        </is>
      </c>
      <c r="E3670" t="inlineStr">
        <is>
          <t>rs2106747</t>
        </is>
      </c>
      <c r="F3670" t="n">
        <v>0.0038613701559999</v>
      </c>
      <c r="G3670" t="n">
        <v>0.7021622125235626</v>
      </c>
      <c r="H3670" t="n">
        <v>0.0187733580345057</v>
      </c>
      <c r="I3670" t="n">
        <v>0.0742901923148889</v>
      </c>
      <c r="J3670" t="n">
        <v>0.0053025269520114</v>
      </c>
      <c r="K3670" t="n">
        <v>0.923166278482181</v>
      </c>
      <c r="L3670" t="b">
        <v>0</v>
      </c>
      <c r="M3670" t="b">
        <v>0</v>
      </c>
      <c r="N3670" t="inlineStr">
        <is>
          <t>alt</t>
        </is>
      </c>
      <c r="O3670" t="n">
        <v>-95</v>
      </c>
      <c r="P3670" t="n">
        <v>0.00547</v>
      </c>
      <c r="Q3670" t="n">
        <v>-60</v>
      </c>
      <c r="R3670" t="n">
        <v>0.03766</v>
      </c>
      <c r="S3670">
        <f>IMAGE("https://mitra.stanford.edu/kundaje/oak/projects/neuro-variants/variant_position/credible/roussos_2024/variant_figures/roussos_2024.adolescence.GLU/rs2106747_count_position.png",4,220,900)</f>
        <v/>
      </c>
      <c r="T3670">
        <f>IMAGE("https://mitra.stanford.edu/kundaje/oak/projects/neuro-variants/variant_position/credible/roussos_2024/variant_figures/roussos_2024.adolescence.GLU/rs2106747_profile_position.png",4,220,900)</f>
        <v/>
      </c>
    </row>
    <row r="3671">
      <c r="A3671" t="inlineStr">
        <is>
          <t>chr7</t>
        </is>
      </c>
      <c r="B3671" t="n">
        <v>23877113</v>
      </c>
      <c r="C3671" t="inlineStr">
        <is>
          <t>C</t>
        </is>
      </c>
      <c r="D3671" t="inlineStr">
        <is>
          <t>T</t>
        </is>
      </c>
      <c r="E3671" t="inlineStr">
        <is>
          <t>rs9769098</t>
        </is>
      </c>
      <c r="F3671" t="n">
        <v>-0.0525054208</v>
      </c>
      <c r="G3671" t="n">
        <v>0.0577758651675141</v>
      </c>
      <c r="H3671" t="n">
        <v>0.0123165389929751</v>
      </c>
      <c r="I3671" t="n">
        <v>0.3059920538441567</v>
      </c>
      <c r="J3671" t="n">
        <v>0.071170456737467</v>
      </c>
      <c r="K3671" t="n">
        <v>0.6403651719204738</v>
      </c>
      <c r="L3671" t="b">
        <v>0</v>
      </c>
      <c r="M3671" t="b">
        <v>0</v>
      </c>
      <c r="N3671" t="inlineStr">
        <is>
          <t>ref</t>
        </is>
      </c>
      <c r="O3671" t="n">
        <v>100</v>
      </c>
      <c r="P3671" t="n">
        <v>0.013145</v>
      </c>
      <c r="Q3671" t="n">
        <v>100</v>
      </c>
      <c r="R3671" t="n">
        <v>0.0567</v>
      </c>
      <c r="S3671">
        <f>IMAGE("https://mitra.stanford.edu/kundaje/oak/projects/neuro-variants/variant_position/credible/roussos_2024/variant_figures/roussos_2024.adolescence.GLU/rs9769098_count_position.png",4,220,900)</f>
        <v/>
      </c>
      <c r="T3671">
        <f>IMAGE("https://mitra.stanford.edu/kundaje/oak/projects/neuro-variants/variant_position/credible/roussos_2024/variant_figures/roussos_2024.adolescence.GLU/rs9769098_profile_position.png",4,220,900)</f>
        <v/>
      </c>
    </row>
    <row r="3672">
      <c r="A3672" t="inlineStr">
        <is>
          <t>chr7</t>
        </is>
      </c>
      <c r="B3672" t="n">
        <v>23878123</v>
      </c>
      <c r="C3672" t="inlineStr">
        <is>
          <t>C</t>
        </is>
      </c>
      <c r="D3672" t="inlineStr">
        <is>
          <t>T</t>
        </is>
      </c>
      <c r="E3672" t="inlineStr">
        <is>
          <t>rs13244145</t>
        </is>
      </c>
      <c r="F3672" t="n">
        <v>0.00830810184</v>
      </c>
      <c r="G3672" t="n">
        <v>0.5713159724687382</v>
      </c>
      <c r="H3672" t="n">
        <v>0.0146233651935237</v>
      </c>
      <c r="I3672" t="n">
        <v>0.1848069496860115</v>
      </c>
      <c r="J3672" t="n">
        <v>0.0713376342242321</v>
      </c>
      <c r="K3672" t="n">
        <v>0.6367462099155986</v>
      </c>
      <c r="L3672" t="b">
        <v>0</v>
      </c>
      <c r="M3672" t="b">
        <v>0</v>
      </c>
      <c r="N3672" t="inlineStr">
        <is>
          <t>alt</t>
        </is>
      </c>
      <c r="O3672" t="n">
        <v>40</v>
      </c>
      <c r="P3672" t="n">
        <v>0.002901</v>
      </c>
      <c r="Q3672" t="n">
        <v>50</v>
      </c>
      <c r="R3672" t="n">
        <v>0.0781</v>
      </c>
      <c r="S3672">
        <f>IMAGE("https://mitra.stanford.edu/kundaje/oak/projects/neuro-variants/variant_position/credible/roussos_2024/variant_figures/roussos_2024.adolescence.GLU/rs13244145_count_position.png",4,220,900)</f>
        <v/>
      </c>
      <c r="T3672">
        <f>IMAGE("https://mitra.stanford.edu/kundaje/oak/projects/neuro-variants/variant_position/credible/roussos_2024/variant_figures/roussos_2024.adolescence.GLU/rs13244145_profile_position.png",4,220,900)</f>
        <v/>
      </c>
    </row>
    <row r="3673">
      <c r="A3673" t="inlineStr">
        <is>
          <t>chr7</t>
        </is>
      </c>
      <c r="B3673" t="n">
        <v>23894634</v>
      </c>
      <c r="C3673" t="inlineStr">
        <is>
          <t>C</t>
        </is>
      </c>
      <c r="D3673" t="inlineStr">
        <is>
          <t>T</t>
        </is>
      </c>
      <c r="E3673" t="inlineStr">
        <is>
          <t>rs146616002</t>
        </is>
      </c>
      <c r="F3673" t="n">
        <v>-0.0368993776</v>
      </c>
      <c r="G3673" t="n">
        <v>0.1313628789501414</v>
      </c>
      <c r="H3673" t="n">
        <v>0.0104018200695174</v>
      </c>
      <c r="I3673" t="n">
        <v>0.4901980989808813</v>
      </c>
      <c r="J3673" t="n">
        <v>0.3294196655021396</v>
      </c>
      <c r="K3673" t="n">
        <v>0.2387508121272928</v>
      </c>
      <c r="L3673" t="b">
        <v>0</v>
      </c>
      <c r="M3673" t="b">
        <v>0</v>
      </c>
      <c r="N3673" t="inlineStr">
        <is>
          <t>ref</t>
        </is>
      </c>
      <c r="O3673" t="n">
        <v>100</v>
      </c>
      <c r="P3673" t="n">
        <v>0.01276</v>
      </c>
      <c r="Q3673" t="n">
        <v>-95</v>
      </c>
      <c r="R3673" t="n">
        <v>0.158</v>
      </c>
      <c r="S3673">
        <f>IMAGE("https://mitra.stanford.edu/kundaje/oak/projects/neuro-variants/variant_position/credible/roussos_2024/variant_figures/roussos_2024.adolescence.GLU/rs146616002_count_position.png",4,220,900)</f>
        <v/>
      </c>
      <c r="T3673">
        <f>IMAGE("https://mitra.stanford.edu/kundaje/oak/projects/neuro-variants/variant_position/credible/roussos_2024/variant_figures/roussos_2024.adolescence.GLU/rs146616002_profile_position.png",4,220,900)</f>
        <v/>
      </c>
    </row>
    <row r="3674">
      <c r="A3674" t="inlineStr">
        <is>
          <t>chr7</t>
        </is>
      </c>
      <c r="B3674" t="n">
        <v>24732158</v>
      </c>
      <c r="C3674" t="inlineStr">
        <is>
          <t>T</t>
        </is>
      </c>
      <c r="D3674" t="inlineStr">
        <is>
          <t>C</t>
        </is>
      </c>
      <c r="E3674" t="inlineStr">
        <is>
          <t>rs17150022</t>
        </is>
      </c>
      <c r="F3674" t="n">
        <v>0.005717521904</v>
      </c>
      <c r="G3674" t="n">
        <v>0.6809811871632003</v>
      </c>
      <c r="H3674" t="n">
        <v>0.0082481892589695</v>
      </c>
      <c r="I3674" t="n">
        <v>0.7485419410407765</v>
      </c>
      <c r="J3674" t="n">
        <v>0.3411249473105143</v>
      </c>
      <c r="K3674" t="n">
        <v>0.2263636693623002</v>
      </c>
      <c r="L3674" t="b">
        <v>0</v>
      </c>
      <c r="M3674" t="b">
        <v>0</v>
      </c>
      <c r="N3674" t="inlineStr">
        <is>
          <t>alt</t>
        </is>
      </c>
      <c r="O3674" t="n">
        <v>100</v>
      </c>
      <c r="P3674" t="n">
        <v>0.01117</v>
      </c>
      <c r="Q3674" t="n">
        <v>-80</v>
      </c>
      <c r="R3674" t="n">
        <v>0.08019999999999999</v>
      </c>
      <c r="S3674">
        <f>IMAGE("https://mitra.stanford.edu/kundaje/oak/projects/neuro-variants/variant_position/credible/roussos_2024/variant_figures/roussos_2024.adolescence.GLU/rs17150022_count_position.png",4,220,900)</f>
        <v/>
      </c>
      <c r="T3674">
        <f>IMAGE("https://mitra.stanford.edu/kundaje/oak/projects/neuro-variants/variant_position/credible/roussos_2024/variant_figures/roussos_2024.adolescence.GLU/rs17150022_profile_position.png",4,220,900)</f>
        <v/>
      </c>
    </row>
    <row r="3675">
      <c r="A3675" t="inlineStr">
        <is>
          <t>chr7</t>
        </is>
      </c>
      <c r="B3675" t="n">
        <v>24734849</v>
      </c>
      <c r="C3675" t="inlineStr">
        <is>
          <t>G</t>
        </is>
      </c>
      <c r="D3675" t="inlineStr">
        <is>
          <t>T</t>
        </is>
      </c>
      <c r="E3675" t="inlineStr">
        <is>
          <t>rs80195870</t>
        </is>
      </c>
      <c r="F3675" t="n">
        <v>-0.0191269886</v>
      </c>
      <c r="G3675" t="n">
        <v>0.3105328336955478</v>
      </c>
      <c r="H3675" t="n">
        <v>0.0086597131417339</v>
      </c>
      <c r="I3675" t="n">
        <v>0.7076095871654117</v>
      </c>
      <c r="J3675" t="n">
        <v>0.028531624407913</v>
      </c>
      <c r="K3675" t="n">
        <v>0.7800717498203974</v>
      </c>
      <c r="L3675" t="b">
        <v>0</v>
      </c>
      <c r="M3675" t="b">
        <v>0</v>
      </c>
      <c r="N3675" t="inlineStr">
        <is>
          <t>ref</t>
        </is>
      </c>
      <c r="O3675" t="n">
        <v>-100</v>
      </c>
      <c r="P3675" t="n">
        <v>0.01012</v>
      </c>
      <c r="Q3675" t="n">
        <v>-65</v>
      </c>
      <c r="R3675" t="n">
        <v>0.02362</v>
      </c>
      <c r="S3675">
        <f>IMAGE("https://mitra.stanford.edu/kundaje/oak/projects/neuro-variants/variant_position/credible/roussos_2024/variant_figures/roussos_2024.adolescence.GLU/rs80195870_count_position.png",4,220,900)</f>
        <v/>
      </c>
      <c r="T3675">
        <f>IMAGE("https://mitra.stanford.edu/kundaje/oak/projects/neuro-variants/variant_position/credible/roussos_2024/variant_figures/roussos_2024.adolescence.GLU/rs80195870_profile_position.png",4,220,900)</f>
        <v/>
      </c>
    </row>
    <row r="3676">
      <c r="A3676" t="inlineStr">
        <is>
          <t>chr7</t>
        </is>
      </c>
      <c r="B3676" t="n">
        <v>24737142</v>
      </c>
      <c r="C3676" t="inlineStr">
        <is>
          <t>G</t>
        </is>
      </c>
      <c r="D3676" t="inlineStr">
        <is>
          <t>A</t>
        </is>
      </c>
      <c r="E3676" t="inlineStr">
        <is>
          <t>rs114829110</t>
        </is>
      </c>
      <c r="F3676" t="n">
        <v>0.002620544154</v>
      </c>
      <c r="G3676" t="n">
        <v>0.7860239545420499</v>
      </c>
      <c r="H3676" t="n">
        <v>0.0249416574905173</v>
      </c>
      <c r="I3676" t="n">
        <v>0.021308131223667</v>
      </c>
      <c r="J3676" t="n">
        <v>0.0003957962720848</v>
      </c>
      <c r="K3676" t="n">
        <v>0.9836079384569484</v>
      </c>
      <c r="L3676" t="b">
        <v>0</v>
      </c>
      <c r="M3676" t="b">
        <v>0</v>
      </c>
      <c r="N3676" t="inlineStr">
        <is>
          <t>alt</t>
        </is>
      </c>
      <c r="O3676" t="n">
        <v>-65</v>
      </c>
      <c r="P3676" t="n">
        <v>0.001701</v>
      </c>
      <c r="Q3676" t="n">
        <v>-90</v>
      </c>
      <c r="R3676" t="n">
        <v>0.04562</v>
      </c>
      <c r="S3676">
        <f>IMAGE("https://mitra.stanford.edu/kundaje/oak/projects/neuro-variants/variant_position/credible/roussos_2024/variant_figures/roussos_2024.adolescence.GLU/rs114829110_count_position.png",4,220,900)</f>
        <v/>
      </c>
      <c r="T3676">
        <f>IMAGE("https://mitra.stanford.edu/kundaje/oak/projects/neuro-variants/variant_position/credible/roussos_2024/variant_figures/roussos_2024.adolescence.GLU/rs114829110_profile_position.png",4,220,900)</f>
        <v/>
      </c>
    </row>
    <row r="3677">
      <c r="A3677" t="inlineStr">
        <is>
          <t>chr7</t>
        </is>
      </c>
      <c r="B3677" t="n">
        <v>24741837</v>
      </c>
      <c r="C3677" t="inlineStr">
        <is>
          <t>T</t>
        </is>
      </c>
      <c r="D3677" t="inlineStr">
        <is>
          <t>C</t>
        </is>
      </c>
      <c r="E3677" t="inlineStr">
        <is>
          <t>rs11509873</t>
        </is>
      </c>
      <c r="F3677" t="n">
        <v>0.0277592381999999</v>
      </c>
      <c r="G3677" t="n">
        <v>0.1939639303601995</v>
      </c>
      <c r="H3677" t="n">
        <v>0.010644597243226</v>
      </c>
      <c r="I3677" t="n">
        <v>0.4429110403137876</v>
      </c>
      <c r="J3677" t="n">
        <v>0.4560859035085839</v>
      </c>
      <c r="K3677" t="n">
        <v>0.1199548608784427</v>
      </c>
      <c r="L3677" t="b">
        <v>0</v>
      </c>
      <c r="M3677" t="b">
        <v>0</v>
      </c>
      <c r="N3677" t="inlineStr">
        <is>
          <t>alt</t>
        </is>
      </c>
      <c r="O3677" t="n">
        <v>-100</v>
      </c>
      <c r="P3677" t="n">
        <v>0.003601</v>
      </c>
      <c r="Q3677" t="n">
        <v>-40</v>
      </c>
      <c r="R3677" t="n">
        <v>0.021</v>
      </c>
      <c r="S3677">
        <f>IMAGE("https://mitra.stanford.edu/kundaje/oak/projects/neuro-variants/variant_position/credible/roussos_2024/variant_figures/roussos_2024.adolescence.GLU/rs11509873_count_position.png",4,220,900)</f>
        <v/>
      </c>
      <c r="T3677">
        <f>IMAGE("https://mitra.stanford.edu/kundaje/oak/projects/neuro-variants/variant_position/credible/roussos_2024/variant_figures/roussos_2024.adolescence.GLU/rs11509873_profile_position.png",4,220,900)</f>
        <v/>
      </c>
    </row>
    <row r="3678">
      <c r="A3678" t="inlineStr">
        <is>
          <t>chr7</t>
        </is>
      </c>
      <c r="B3678" t="n">
        <v>24788436</v>
      </c>
      <c r="C3678" t="inlineStr">
        <is>
          <t>C</t>
        </is>
      </c>
      <c r="D3678" t="inlineStr">
        <is>
          <t>T</t>
        </is>
      </c>
      <c r="E3678" t="inlineStr">
        <is>
          <t>rs2391000</t>
        </is>
      </c>
      <c r="F3678" t="n">
        <v>-0.012802655932</v>
      </c>
      <c r="G3678" t="n">
        <v>0.4765220756112563</v>
      </c>
      <c r="H3678" t="n">
        <v>0.009241791077336199</v>
      </c>
      <c r="I3678" t="n">
        <v>0.6157661786639117</v>
      </c>
      <c r="J3678" t="n">
        <v>0.5303770066656666</v>
      </c>
      <c r="K3678" t="n">
        <v>0.0712609628011186</v>
      </c>
      <c r="L3678" t="b">
        <v>0</v>
      </c>
      <c r="M3678" t="b">
        <v>0</v>
      </c>
      <c r="N3678" t="inlineStr">
        <is>
          <t>ref</t>
        </is>
      </c>
      <c r="O3678" t="n">
        <v>-45</v>
      </c>
      <c r="P3678" t="n">
        <v>0.10034</v>
      </c>
      <c r="Q3678" t="n">
        <v>-90</v>
      </c>
      <c r="R3678" t="n">
        <v>0.4465</v>
      </c>
      <c r="S3678">
        <f>IMAGE("https://mitra.stanford.edu/kundaje/oak/projects/neuro-variants/variant_position/credible/roussos_2024/variant_figures/roussos_2024.adolescence.GLU/rs2391000_count_position.png",4,220,900)</f>
        <v/>
      </c>
      <c r="T3678">
        <f>IMAGE("https://mitra.stanford.edu/kundaje/oak/projects/neuro-variants/variant_position/credible/roussos_2024/variant_figures/roussos_2024.adolescence.GLU/rs2391000_profile_position.png",4,220,900)</f>
        <v/>
      </c>
    </row>
    <row r="3679">
      <c r="A3679" t="inlineStr">
        <is>
          <t>chr7</t>
        </is>
      </c>
      <c r="B3679" t="n">
        <v>24789520</v>
      </c>
      <c r="C3679" t="inlineStr">
        <is>
          <t>C</t>
        </is>
      </c>
      <c r="D3679" t="inlineStr">
        <is>
          <t>T</t>
        </is>
      </c>
      <c r="E3679" t="inlineStr">
        <is>
          <t>rs113041465</t>
        </is>
      </c>
      <c r="F3679" t="n">
        <v>-0.0486752601999999</v>
      </c>
      <c r="G3679" t="n">
        <v>0.0700404334602697</v>
      </c>
      <c r="H3679" t="n">
        <v>0.0102389421260859</v>
      </c>
      <c r="I3679" t="n">
        <v>0.4976922679212807</v>
      </c>
      <c r="J3679" t="n">
        <v>0.2981774796207785</v>
      </c>
      <c r="K3679" t="n">
        <v>0.2729078945844116</v>
      </c>
      <c r="L3679" t="b">
        <v>0</v>
      </c>
      <c r="M3679" t="b">
        <v>0</v>
      </c>
      <c r="N3679" t="inlineStr">
        <is>
          <t>ref</t>
        </is>
      </c>
      <c r="O3679" t="n">
        <v>100</v>
      </c>
      <c r="P3679" t="n">
        <v>0.007584</v>
      </c>
      <c r="Q3679" t="n">
        <v>-95</v>
      </c>
      <c r="R3679" t="n">
        <v>0.04803</v>
      </c>
      <c r="S3679">
        <f>IMAGE("https://mitra.stanford.edu/kundaje/oak/projects/neuro-variants/variant_position/credible/roussos_2024/variant_figures/roussos_2024.adolescence.GLU/rs113041465_count_position.png",4,220,900)</f>
        <v/>
      </c>
      <c r="T3679">
        <f>IMAGE("https://mitra.stanford.edu/kundaje/oak/projects/neuro-variants/variant_position/credible/roussos_2024/variant_figures/roussos_2024.adolescence.GLU/rs113041465_profile_position.png",4,220,900)</f>
        <v/>
      </c>
    </row>
    <row r="3680">
      <c r="A3680" t="inlineStr">
        <is>
          <t>chr7</t>
        </is>
      </c>
      <c r="B3680" t="n">
        <v>24790454</v>
      </c>
      <c r="C3680" t="inlineStr">
        <is>
          <t>G</t>
        </is>
      </c>
      <c r="D3680" t="inlineStr">
        <is>
          <t>A</t>
        </is>
      </c>
      <c r="E3680" t="inlineStr">
        <is>
          <t>rs150936052</t>
        </is>
      </c>
      <c r="F3680" t="n">
        <v>-0.0877003132</v>
      </c>
      <c r="G3680" t="n">
        <v>0.0126791016309558</v>
      </c>
      <c r="H3680" t="n">
        <v>0.0278923690395276</v>
      </c>
      <c r="I3680" t="n">
        <v>0.0137523930856456</v>
      </c>
      <c r="J3680" t="n">
        <v>0.09750019646926859</v>
      </c>
      <c r="K3680" t="n">
        <v>0.5801998875097788</v>
      </c>
      <c r="L3680" t="b">
        <v>1</v>
      </c>
      <c r="M3680" t="b">
        <v>0</v>
      </c>
      <c r="N3680" t="inlineStr">
        <is>
          <t>ref</t>
        </is>
      </c>
      <c r="O3680" t="n">
        <v>95</v>
      </c>
      <c r="P3680" t="n">
        <v>0.003681</v>
      </c>
      <c r="Q3680" t="n">
        <v>5</v>
      </c>
      <c r="R3680" t="n">
        <v>0.01352</v>
      </c>
      <c r="S3680">
        <f>IMAGE("https://mitra.stanford.edu/kundaje/oak/projects/neuro-variants/variant_position/credible/roussos_2024/variant_figures/roussos_2024.adolescence.GLU/rs150936052_count_position.png",4,220,900)</f>
        <v/>
      </c>
      <c r="T3680">
        <f>IMAGE("https://mitra.stanford.edu/kundaje/oak/projects/neuro-variants/variant_position/credible/roussos_2024/variant_figures/roussos_2024.adolescence.GLU/rs150936052_profile_position.png",4,220,900)</f>
        <v/>
      </c>
    </row>
    <row r="3681">
      <c r="A3681" t="inlineStr">
        <is>
          <t>chr7</t>
        </is>
      </c>
      <c r="B3681" t="n">
        <v>24799761</v>
      </c>
      <c r="C3681" t="inlineStr">
        <is>
          <t>G</t>
        </is>
      </c>
      <c r="D3681" t="inlineStr">
        <is>
          <t>A</t>
        </is>
      </c>
      <c r="E3681" t="inlineStr">
        <is>
          <t>rs115354522</t>
        </is>
      </c>
      <c r="F3681" t="n">
        <v>-0.077825794</v>
      </c>
      <c r="G3681" t="n">
        <v>0.0159669577265703</v>
      </c>
      <c r="H3681" t="n">
        <v>0.0168430321065122</v>
      </c>
      <c r="I3681" t="n">
        <v>0.1033442083557516</v>
      </c>
      <c r="J3681" t="n">
        <v>0.1642768859263704</v>
      </c>
      <c r="K3681" t="n">
        <v>0.4553491899019209</v>
      </c>
      <c r="L3681" t="b">
        <v>1</v>
      </c>
      <c r="M3681" t="b">
        <v>0</v>
      </c>
      <c r="N3681" t="inlineStr">
        <is>
          <t>ref</t>
        </is>
      </c>
      <c r="O3681" t="n">
        <v>10</v>
      </c>
      <c r="P3681" t="n">
        <v>0.00058</v>
      </c>
      <c r="Q3681" t="n">
        <v>-70</v>
      </c>
      <c r="R3681" t="n">
        <v>0.0785</v>
      </c>
      <c r="S3681">
        <f>IMAGE("https://mitra.stanford.edu/kundaje/oak/projects/neuro-variants/variant_position/credible/roussos_2024/variant_figures/roussos_2024.adolescence.GLU/rs115354522_count_position.png",4,220,900)</f>
        <v/>
      </c>
      <c r="T3681">
        <f>IMAGE("https://mitra.stanford.edu/kundaje/oak/projects/neuro-variants/variant_position/credible/roussos_2024/variant_figures/roussos_2024.adolescence.GLU/rs115354522_profile_position.png",4,220,900)</f>
        <v/>
      </c>
    </row>
    <row r="3682">
      <c r="A3682" t="inlineStr">
        <is>
          <t>chr7</t>
        </is>
      </c>
      <c r="B3682" t="n">
        <v>24805117</v>
      </c>
      <c r="C3682" t="inlineStr">
        <is>
          <t>T</t>
        </is>
      </c>
      <c r="D3682" t="inlineStr">
        <is>
          <t>G</t>
        </is>
      </c>
      <c r="E3682" t="inlineStr">
        <is>
          <t>rs79631004</t>
        </is>
      </c>
      <c r="F3682" t="n">
        <v>0.00940205364</v>
      </c>
      <c r="G3682" t="n">
        <v>0.5712745875568076</v>
      </c>
      <c r="H3682" t="n">
        <v>0.014680334327132</v>
      </c>
      <c r="I3682" t="n">
        <v>0.1664304112983348</v>
      </c>
      <c r="J3682" t="n">
        <v>0.1017139264561944</v>
      </c>
      <c r="K3682" t="n">
        <v>0.567396838529486</v>
      </c>
      <c r="L3682" t="b">
        <v>0</v>
      </c>
      <c r="M3682" t="b">
        <v>0</v>
      </c>
      <c r="N3682" t="inlineStr">
        <is>
          <t>alt</t>
        </is>
      </c>
      <c r="O3682" t="n">
        <v>60</v>
      </c>
      <c r="P3682" t="n">
        <v>0.00269</v>
      </c>
      <c r="Q3682" t="n">
        <v>90</v>
      </c>
      <c r="R3682" t="n">
        <v>0.05923</v>
      </c>
      <c r="S3682">
        <f>IMAGE("https://mitra.stanford.edu/kundaje/oak/projects/neuro-variants/variant_position/credible/roussos_2024/variant_figures/roussos_2024.adolescence.GLU/rs79631004_count_position.png",4,220,900)</f>
        <v/>
      </c>
      <c r="T3682">
        <f>IMAGE("https://mitra.stanford.edu/kundaje/oak/projects/neuro-variants/variant_position/credible/roussos_2024/variant_figures/roussos_2024.adolescence.GLU/rs79631004_profile_position.png",4,220,900)</f>
        <v/>
      </c>
    </row>
    <row r="3683">
      <c r="A3683" t="inlineStr">
        <is>
          <t>chr7</t>
        </is>
      </c>
      <c r="B3683" t="n">
        <v>71296756</v>
      </c>
      <c r="C3683" t="inlineStr">
        <is>
          <t>A</t>
        </is>
      </c>
      <c r="D3683" t="inlineStr">
        <is>
          <t>T</t>
        </is>
      </c>
      <c r="E3683" t="inlineStr">
        <is>
          <t>rs6976562</t>
        </is>
      </c>
      <c r="F3683" t="n">
        <v>0.00396412969</v>
      </c>
      <c r="G3683" t="n">
        <v>0.7654425593238288</v>
      </c>
      <c r="H3683" t="n">
        <v>0.022096232652142</v>
      </c>
      <c r="I3683" t="n">
        <v>0.0346876525694275</v>
      </c>
      <c r="J3683" t="n">
        <v>0.1061391288195411</v>
      </c>
      <c r="K3683" t="n">
        <v>0.5589150829743023</v>
      </c>
      <c r="L3683" t="b">
        <v>0</v>
      </c>
      <c r="M3683" t="b">
        <v>0</v>
      </c>
      <c r="N3683" t="inlineStr">
        <is>
          <t>alt</t>
        </is>
      </c>
      <c r="O3683" t="n">
        <v>-20</v>
      </c>
      <c r="P3683" t="n">
        <v>0.00813</v>
      </c>
      <c r="Q3683" t="n">
        <v>85</v>
      </c>
      <c r="R3683" t="n">
        <v>0.091</v>
      </c>
      <c r="S3683">
        <f>IMAGE("https://mitra.stanford.edu/kundaje/oak/projects/neuro-variants/variant_position/credible/roussos_2024/variant_figures/roussos_2024.adolescence.GLU/rs6976562_count_position.png",4,220,900)</f>
        <v/>
      </c>
      <c r="T3683">
        <f>IMAGE("https://mitra.stanford.edu/kundaje/oak/projects/neuro-variants/variant_position/credible/roussos_2024/variant_figures/roussos_2024.adolescence.GLU/rs6976562_profile_position.png",4,220,900)</f>
        <v/>
      </c>
    </row>
    <row r="3684">
      <c r="A3684" t="inlineStr">
        <is>
          <t>chr7</t>
        </is>
      </c>
      <c r="B3684" t="n">
        <v>71296858</v>
      </c>
      <c r="C3684" t="inlineStr">
        <is>
          <t>T</t>
        </is>
      </c>
      <c r="D3684" t="inlineStr">
        <is>
          <t>A</t>
        </is>
      </c>
      <c r="E3684" t="inlineStr">
        <is>
          <t>rs6942815</t>
        </is>
      </c>
      <c r="F3684" t="n">
        <v>0.00390249486</v>
      </c>
      <c r="G3684" t="n">
        <v>0.7696074237429081</v>
      </c>
      <c r="H3684" t="n">
        <v>0.0236461465692335</v>
      </c>
      <c r="I3684" t="n">
        <v>0.0252272846127697</v>
      </c>
      <c r="J3684" t="n">
        <v>0.1220767158911488</v>
      </c>
      <c r="K3684" t="n">
        <v>0.5273731394462292</v>
      </c>
      <c r="L3684" t="b">
        <v>0</v>
      </c>
      <c r="M3684" t="b">
        <v>0</v>
      </c>
      <c r="N3684" t="inlineStr">
        <is>
          <t>alt</t>
        </is>
      </c>
      <c r="O3684" t="n">
        <v>-100</v>
      </c>
      <c r="P3684" t="n">
        <v>0.007515</v>
      </c>
      <c r="Q3684" t="n">
        <v>100</v>
      </c>
      <c r="R3684" t="n">
        <v>0.12317</v>
      </c>
      <c r="S3684">
        <f>IMAGE("https://mitra.stanford.edu/kundaje/oak/projects/neuro-variants/variant_position/credible/roussos_2024/variant_figures/roussos_2024.adolescence.GLU/rs6942815_count_position.png",4,220,900)</f>
        <v/>
      </c>
      <c r="T3684">
        <f>IMAGE("https://mitra.stanford.edu/kundaje/oak/projects/neuro-variants/variant_position/credible/roussos_2024/variant_figures/roussos_2024.adolescence.GLU/rs6942815_profile_position.png",4,220,900)</f>
        <v/>
      </c>
    </row>
    <row r="3685">
      <c r="A3685" t="inlineStr">
        <is>
          <t>chr7</t>
        </is>
      </c>
      <c r="B3685" t="n">
        <v>71299005</v>
      </c>
      <c r="C3685" t="inlineStr">
        <is>
          <t>T</t>
        </is>
      </c>
      <c r="D3685" t="inlineStr">
        <is>
          <t>C</t>
        </is>
      </c>
      <c r="E3685" t="inlineStr">
        <is>
          <t>rs10261998</t>
        </is>
      </c>
      <c r="F3685" t="n">
        <v>0.07091373300000001</v>
      </c>
      <c r="G3685" t="n">
        <v>0.0265905262038196</v>
      </c>
      <c r="H3685" t="n">
        <v>0.0149327981139642</v>
      </c>
      <c r="I3685" t="n">
        <v>0.1757568645543298</v>
      </c>
      <c r="J3685" t="n">
        <v>0.3370769659429453</v>
      </c>
      <c r="K3685" t="n">
        <v>0.2303238903544562</v>
      </c>
      <c r="L3685" t="b">
        <v>0</v>
      </c>
      <c r="M3685" t="b">
        <v>0</v>
      </c>
      <c r="N3685" t="inlineStr">
        <is>
          <t>alt</t>
        </is>
      </c>
      <c r="O3685" t="n">
        <v>-100</v>
      </c>
      <c r="P3685" t="n">
        <v>0.01086</v>
      </c>
      <c r="Q3685" t="n">
        <v>90</v>
      </c>
      <c r="R3685" t="n">
        <v>0.0522</v>
      </c>
      <c r="S3685">
        <f>IMAGE("https://mitra.stanford.edu/kundaje/oak/projects/neuro-variants/variant_position/credible/roussos_2024/variant_figures/roussos_2024.adolescence.GLU/rs10261998_count_position.png",4,220,900)</f>
        <v/>
      </c>
      <c r="T3685">
        <f>IMAGE("https://mitra.stanford.edu/kundaje/oak/projects/neuro-variants/variant_position/credible/roussos_2024/variant_figures/roussos_2024.adolescence.GLU/rs10261998_profile_position.png",4,220,900)</f>
        <v/>
      </c>
    </row>
    <row r="3686">
      <c r="A3686" t="inlineStr">
        <is>
          <t>chr7</t>
        </is>
      </c>
      <c r="B3686" t="n">
        <v>71301450</v>
      </c>
      <c r="C3686" t="inlineStr">
        <is>
          <t>G</t>
        </is>
      </c>
      <c r="D3686" t="inlineStr">
        <is>
          <t>T</t>
        </is>
      </c>
      <c r="E3686" t="inlineStr">
        <is>
          <t>rs28799658</t>
        </is>
      </c>
      <c r="F3686" t="n">
        <v>0.00481904258</v>
      </c>
      <c r="G3686" t="n">
        <v>0.716024948850731</v>
      </c>
      <c r="H3686" t="n">
        <v>0.0333363695478796</v>
      </c>
      <c r="I3686" t="n">
        <v>0.0070569603794312</v>
      </c>
      <c r="J3686" t="n">
        <v>0.0293918025876788</v>
      </c>
      <c r="K3686" t="n">
        <v>0.7768704526137303</v>
      </c>
      <c r="L3686" t="b">
        <v>1</v>
      </c>
      <c r="M3686" t="b">
        <v>0</v>
      </c>
      <c r="N3686" t="inlineStr">
        <is>
          <t>alt</t>
        </is>
      </c>
      <c r="O3686" t="n">
        <v>-85</v>
      </c>
      <c r="P3686" t="n">
        <v>0.01349</v>
      </c>
      <c r="Q3686" t="n">
        <v>100</v>
      </c>
      <c r="R3686" t="n">
        <v>0.07434</v>
      </c>
      <c r="S3686">
        <f>IMAGE("https://mitra.stanford.edu/kundaje/oak/projects/neuro-variants/variant_position/credible/roussos_2024/variant_figures/roussos_2024.adolescence.GLU/rs28799658_count_position.png",4,220,900)</f>
        <v/>
      </c>
      <c r="T3686">
        <f>IMAGE("https://mitra.stanford.edu/kundaje/oak/projects/neuro-variants/variant_position/credible/roussos_2024/variant_figures/roussos_2024.adolescence.GLU/rs28799658_profile_position.png",4,220,900)</f>
        <v/>
      </c>
    </row>
    <row r="3687">
      <c r="A3687" t="inlineStr">
        <is>
          <t>chr7</t>
        </is>
      </c>
      <c r="B3687" t="n">
        <v>71303668</v>
      </c>
      <c r="C3687" t="inlineStr">
        <is>
          <t>G</t>
        </is>
      </c>
      <c r="D3687" t="inlineStr">
        <is>
          <t>T</t>
        </is>
      </c>
      <c r="E3687" t="inlineStr">
        <is>
          <t>rs3923570</t>
        </is>
      </c>
      <c r="F3687" t="n">
        <v>-0.0562948535999999</v>
      </c>
      <c r="G3687" t="n">
        <v>0.0466888804221487</v>
      </c>
      <c r="H3687" t="n">
        <v>0.0137482494085531</v>
      </c>
      <c r="I3687" t="n">
        <v>0.2279462527877965</v>
      </c>
      <c r="J3687" t="n">
        <v>0.2089475677104542</v>
      </c>
      <c r="K3687" t="n">
        <v>0.3906809375921881</v>
      </c>
      <c r="L3687" t="b">
        <v>0</v>
      </c>
      <c r="M3687" t="b">
        <v>0</v>
      </c>
      <c r="N3687" t="inlineStr">
        <is>
          <t>ref</t>
        </is>
      </c>
      <c r="O3687" t="n">
        <v>100</v>
      </c>
      <c r="P3687" t="n">
        <v>0.01338</v>
      </c>
      <c r="Q3687" t="n">
        <v>100</v>
      </c>
      <c r="R3687" t="n">
        <v>0.1404</v>
      </c>
      <c r="S3687">
        <f>IMAGE("https://mitra.stanford.edu/kundaje/oak/projects/neuro-variants/variant_position/credible/roussos_2024/variant_figures/roussos_2024.adolescence.GLU/rs3923570_count_position.png",4,220,900)</f>
        <v/>
      </c>
      <c r="T3687">
        <f>IMAGE("https://mitra.stanford.edu/kundaje/oak/projects/neuro-variants/variant_position/credible/roussos_2024/variant_figures/roussos_2024.adolescence.GLU/rs3923570_profile_position.png",4,220,900)</f>
        <v/>
      </c>
    </row>
    <row r="3688">
      <c r="A3688" t="inlineStr">
        <is>
          <t>chr7</t>
        </is>
      </c>
      <c r="B3688" t="n">
        <v>71304276</v>
      </c>
      <c r="C3688" t="inlineStr">
        <is>
          <t>T</t>
        </is>
      </c>
      <c r="D3688" t="inlineStr">
        <is>
          <t>C</t>
        </is>
      </c>
      <c r="E3688" t="inlineStr">
        <is>
          <t>rs6964131</t>
        </is>
      </c>
      <c r="F3688" t="n">
        <v>-0.0409772258</v>
      </c>
      <c r="G3688" t="n">
        <v>0.1061347595334323</v>
      </c>
      <c r="H3688" t="n">
        <v>0.0230436952580023</v>
      </c>
      <c r="I3688" t="n">
        <v>0.0334337617334965</v>
      </c>
      <c r="J3688" t="n">
        <v>0.2646934007758749</v>
      </c>
      <c r="K3688" t="n">
        <v>0.3162248019510681</v>
      </c>
      <c r="L3688" t="b">
        <v>0</v>
      </c>
      <c r="M3688" t="b">
        <v>0</v>
      </c>
      <c r="N3688" t="inlineStr">
        <is>
          <t>ref</t>
        </is>
      </c>
      <c r="O3688" t="n">
        <v>10</v>
      </c>
      <c r="P3688" t="n">
        <v>0.002378</v>
      </c>
      <c r="Q3688" t="n">
        <v>-35</v>
      </c>
      <c r="R3688" t="n">
        <v>0.03436</v>
      </c>
      <c r="S3688">
        <f>IMAGE("https://mitra.stanford.edu/kundaje/oak/projects/neuro-variants/variant_position/credible/roussos_2024/variant_figures/roussos_2024.adolescence.GLU/rs6964131_count_position.png",4,220,900)</f>
        <v/>
      </c>
      <c r="T3688">
        <f>IMAGE("https://mitra.stanford.edu/kundaje/oak/projects/neuro-variants/variant_position/credible/roussos_2024/variant_figures/roussos_2024.adolescence.GLU/rs6964131_profile_position.png",4,220,900)</f>
        <v/>
      </c>
    </row>
    <row r="3689">
      <c r="A3689" t="inlineStr">
        <is>
          <t>chr7</t>
        </is>
      </c>
      <c r="B3689" t="n">
        <v>71311932</v>
      </c>
      <c r="C3689" t="inlineStr">
        <is>
          <t>G</t>
        </is>
      </c>
      <c r="D3689" t="inlineStr">
        <is>
          <t>A</t>
        </is>
      </c>
      <c r="E3689" t="inlineStr">
        <is>
          <t>rs73356099</t>
        </is>
      </c>
      <c r="F3689" t="n">
        <v>-0.0499173168</v>
      </c>
      <c r="G3689" t="n">
        <v>0.0671657264724783</v>
      </c>
      <c r="H3689" t="n">
        <v>0.009987876742657401</v>
      </c>
      <c r="I3689" t="n">
        <v>0.519414068318197</v>
      </c>
      <c r="J3689" t="n">
        <v>0.3724014260096734</v>
      </c>
      <c r="K3689" t="n">
        <v>0.1936792174855275</v>
      </c>
      <c r="L3689" t="b">
        <v>0</v>
      </c>
      <c r="M3689" t="b">
        <v>0</v>
      </c>
      <c r="N3689" t="inlineStr">
        <is>
          <t>ref</t>
        </is>
      </c>
      <c r="O3689" t="n">
        <v>-70</v>
      </c>
      <c r="P3689" t="n">
        <v>0.01494</v>
      </c>
      <c r="Q3689" t="n">
        <v>-20</v>
      </c>
      <c r="R3689" t="n">
        <v>0.02246</v>
      </c>
      <c r="S3689">
        <f>IMAGE("https://mitra.stanford.edu/kundaje/oak/projects/neuro-variants/variant_position/credible/roussos_2024/variant_figures/roussos_2024.adolescence.GLU/rs73356099_count_position.png",4,220,900)</f>
        <v/>
      </c>
      <c r="T3689">
        <f>IMAGE("https://mitra.stanford.edu/kundaje/oak/projects/neuro-variants/variant_position/credible/roussos_2024/variant_figures/roussos_2024.adolescence.GLU/rs73356099_profile_position.png",4,220,900)</f>
        <v/>
      </c>
    </row>
    <row r="3690">
      <c r="A3690" t="inlineStr">
        <is>
          <t>chr7</t>
        </is>
      </c>
      <c r="B3690" t="n">
        <v>71315719</v>
      </c>
      <c r="C3690" t="inlineStr">
        <is>
          <t>C</t>
        </is>
      </c>
      <c r="D3690" t="inlineStr">
        <is>
          <t>T</t>
        </is>
      </c>
      <c r="E3690" t="inlineStr">
        <is>
          <t>rs12534549</t>
        </is>
      </c>
      <c r="F3690" t="n">
        <v>-0.06472159199999999</v>
      </c>
      <c r="G3690" t="n">
        <v>0.0301106334564163</v>
      </c>
      <c r="H3690" t="n">
        <v>0.0112014369692618</v>
      </c>
      <c r="I3690" t="n">
        <v>0.4047906359440505</v>
      </c>
      <c r="J3690" t="n">
        <v>0.1234312821941687</v>
      </c>
      <c r="K3690" t="n">
        <v>0.5307418746824236</v>
      </c>
      <c r="L3690" t="b">
        <v>0</v>
      </c>
      <c r="M3690" t="b">
        <v>0</v>
      </c>
      <c r="N3690" t="inlineStr">
        <is>
          <t>ref</t>
        </is>
      </c>
      <c r="O3690" t="n">
        <v>85</v>
      </c>
      <c r="P3690" t="n">
        <v>0.002201</v>
      </c>
      <c r="Q3690" t="n">
        <v>5</v>
      </c>
      <c r="R3690" t="n">
        <v>0.0007324</v>
      </c>
      <c r="S3690">
        <f>IMAGE("https://mitra.stanford.edu/kundaje/oak/projects/neuro-variants/variant_position/credible/roussos_2024/variant_figures/roussos_2024.adolescence.GLU/rs12534549_count_position.png",4,220,900)</f>
        <v/>
      </c>
      <c r="T3690">
        <f>IMAGE("https://mitra.stanford.edu/kundaje/oak/projects/neuro-variants/variant_position/credible/roussos_2024/variant_figures/roussos_2024.adolescence.GLU/rs12534549_profile_position.png",4,220,900)</f>
        <v/>
      </c>
    </row>
    <row r="3691">
      <c r="A3691" t="inlineStr">
        <is>
          <t>chr7</t>
        </is>
      </c>
      <c r="B3691" t="n">
        <v>71317799</v>
      </c>
      <c r="C3691" t="inlineStr">
        <is>
          <t>C</t>
        </is>
      </c>
      <c r="D3691" t="inlineStr">
        <is>
          <t>G</t>
        </is>
      </c>
      <c r="E3691" t="inlineStr">
        <is>
          <t>rs73179792</t>
        </is>
      </c>
      <c r="F3691" t="n">
        <v>0.0467524718</v>
      </c>
      <c r="G3691" t="n">
        <v>0.0730622655107135</v>
      </c>
      <c r="H3691" t="n">
        <v>0.0162482863119512</v>
      </c>
      <c r="I3691" t="n">
        <v>0.1206403445077999</v>
      </c>
      <c r="J3691" t="n">
        <v>0.1383929528259425</v>
      </c>
      <c r="K3691" t="n">
        <v>0.5074166172573906</v>
      </c>
      <c r="L3691" t="b">
        <v>0</v>
      </c>
      <c r="M3691" t="b">
        <v>0</v>
      </c>
      <c r="N3691" t="inlineStr">
        <is>
          <t>alt</t>
        </is>
      </c>
      <c r="O3691" t="n">
        <v>-5</v>
      </c>
      <c r="P3691" t="n">
        <v>0.0004196</v>
      </c>
      <c r="Q3691" t="n">
        <v>85</v>
      </c>
      <c r="R3691" t="n">
        <v>0.04285</v>
      </c>
      <c r="S3691">
        <f>IMAGE("https://mitra.stanford.edu/kundaje/oak/projects/neuro-variants/variant_position/credible/roussos_2024/variant_figures/roussos_2024.adolescence.GLU/rs73179792_count_position.png",4,220,900)</f>
        <v/>
      </c>
      <c r="T3691">
        <f>IMAGE("https://mitra.stanford.edu/kundaje/oak/projects/neuro-variants/variant_position/credible/roussos_2024/variant_figures/roussos_2024.adolescence.GLU/rs73179792_profile_position.png",4,220,900)</f>
        <v/>
      </c>
    </row>
    <row r="3692">
      <c r="A3692" t="inlineStr">
        <is>
          <t>chr7</t>
        </is>
      </c>
      <c r="B3692" t="n">
        <v>71320065</v>
      </c>
      <c r="C3692" t="inlineStr">
        <is>
          <t>A</t>
        </is>
      </c>
      <c r="D3692" t="inlineStr">
        <is>
          <t>G</t>
        </is>
      </c>
      <c r="E3692" t="inlineStr">
        <is>
          <t>rs28678480</t>
        </is>
      </c>
      <c r="F3692" t="n">
        <v>-0.0219506007999999</v>
      </c>
      <c r="G3692" t="n">
        <v>0.283374541493235</v>
      </c>
      <c r="H3692" t="n">
        <v>0.0093524537840708</v>
      </c>
      <c r="I3692" t="n">
        <v>0.6170975584013693</v>
      </c>
      <c r="J3692" t="n">
        <v>0.1673560951911467</v>
      </c>
      <c r="K3692" t="n">
        <v>0.4457725303275122</v>
      </c>
      <c r="L3692" t="b">
        <v>0</v>
      </c>
      <c r="M3692" t="b">
        <v>0</v>
      </c>
      <c r="N3692" t="inlineStr">
        <is>
          <t>ref</t>
        </is>
      </c>
      <c r="O3692" t="n">
        <v>60</v>
      </c>
      <c r="P3692" t="n">
        <v>0.01874</v>
      </c>
      <c r="Q3692" t="n">
        <v>-10</v>
      </c>
      <c r="R3692" t="n">
        <v>0.03333</v>
      </c>
      <c r="S3692">
        <f>IMAGE("https://mitra.stanford.edu/kundaje/oak/projects/neuro-variants/variant_position/credible/roussos_2024/variant_figures/roussos_2024.adolescence.GLU/rs28678480_count_position.png",4,220,900)</f>
        <v/>
      </c>
      <c r="T3692">
        <f>IMAGE("https://mitra.stanford.edu/kundaje/oak/projects/neuro-variants/variant_position/credible/roussos_2024/variant_figures/roussos_2024.adolescence.GLU/rs28678480_profile_position.png",4,220,900)</f>
        <v/>
      </c>
    </row>
    <row r="3693">
      <c r="A3693" t="inlineStr">
        <is>
          <t>chr7</t>
        </is>
      </c>
      <c r="B3693" t="n">
        <v>71326774</v>
      </c>
      <c r="C3693" t="inlineStr">
        <is>
          <t>G</t>
        </is>
      </c>
      <c r="D3693" t="inlineStr">
        <is>
          <t>A</t>
        </is>
      </c>
      <c r="E3693" t="inlineStr">
        <is>
          <t>rs12668780</t>
        </is>
      </c>
      <c r="F3693" t="n">
        <v>-0.019197429</v>
      </c>
      <c r="G3693" t="n">
        <v>0.0737081975599452</v>
      </c>
      <c r="H3693" t="n">
        <v>0.0160652445824581</v>
      </c>
      <c r="I3693" t="n">
        <v>0.13715259149542</v>
      </c>
      <c r="J3693" t="n">
        <v>0.0747011881032499</v>
      </c>
      <c r="K3693" t="n">
        <v>0.6315371243073105</v>
      </c>
      <c r="L3693" t="b">
        <v>0</v>
      </c>
      <c r="M3693" t="b">
        <v>0</v>
      </c>
      <c r="N3693" t="inlineStr">
        <is>
          <t>ref</t>
        </is>
      </c>
      <c r="O3693" t="n">
        <v>-70</v>
      </c>
      <c r="P3693" t="n">
        <v>0.01363</v>
      </c>
      <c r="Q3693" t="n">
        <v>5</v>
      </c>
      <c r="R3693" t="n">
        <v>0.00769</v>
      </c>
      <c r="S3693">
        <f>IMAGE("https://mitra.stanford.edu/kundaje/oak/projects/neuro-variants/variant_position/credible/roussos_2024/variant_figures/roussos_2024.adolescence.GLU/rs12668780_count_position.png",4,220,900)</f>
        <v/>
      </c>
      <c r="T3693">
        <f>IMAGE("https://mitra.stanford.edu/kundaje/oak/projects/neuro-variants/variant_position/credible/roussos_2024/variant_figures/roussos_2024.adolescence.GLU/rs12668780_profile_position.png",4,220,900)</f>
        <v/>
      </c>
    </row>
    <row r="3694">
      <c r="A3694" t="inlineStr">
        <is>
          <t>chr7</t>
        </is>
      </c>
      <c r="B3694" t="n">
        <v>71344341</v>
      </c>
      <c r="C3694" t="inlineStr">
        <is>
          <t>G</t>
        </is>
      </c>
      <c r="D3694" t="inlineStr">
        <is>
          <t>A</t>
        </is>
      </c>
      <c r="E3694" t="inlineStr">
        <is>
          <t>rs7385083</t>
        </is>
      </c>
      <c r="F3694" t="n">
        <v>0.0254634813339999</v>
      </c>
      <c r="G3694" t="n">
        <v>0.2661759742645553</v>
      </c>
      <c r="H3694" t="n">
        <v>0.0169665628516888</v>
      </c>
      <c r="I3694" t="n">
        <v>0.1569981652497673</v>
      </c>
      <c r="J3694" t="n">
        <v>0.1957691236041751</v>
      </c>
      <c r="K3694" t="n">
        <v>0.4057438557061912</v>
      </c>
      <c r="L3694" t="b">
        <v>0</v>
      </c>
      <c r="M3694" t="b">
        <v>0</v>
      </c>
      <c r="N3694" t="inlineStr">
        <is>
          <t>alt</t>
        </is>
      </c>
      <c r="O3694" t="n">
        <v>100</v>
      </c>
      <c r="P3694" t="n">
        <v>0.01872</v>
      </c>
      <c r="Q3694" t="n">
        <v>45</v>
      </c>
      <c r="R3694" t="n">
        <v>0.02484</v>
      </c>
      <c r="S3694">
        <f>IMAGE("https://mitra.stanford.edu/kundaje/oak/projects/neuro-variants/variant_position/credible/roussos_2024/variant_figures/roussos_2024.adolescence.GLU/rs7385083_count_position.png",4,220,900)</f>
        <v/>
      </c>
      <c r="T3694">
        <f>IMAGE("https://mitra.stanford.edu/kundaje/oak/projects/neuro-variants/variant_position/credible/roussos_2024/variant_figures/roussos_2024.adolescence.GLU/rs7385083_profile_position.png",4,220,900)</f>
        <v/>
      </c>
    </row>
    <row r="3695">
      <c r="A3695" t="inlineStr">
        <is>
          <t>chr7</t>
        </is>
      </c>
      <c r="B3695" t="n">
        <v>71348898</v>
      </c>
      <c r="C3695" t="inlineStr">
        <is>
          <t>A</t>
        </is>
      </c>
      <c r="D3695" t="inlineStr">
        <is>
          <t>G</t>
        </is>
      </c>
      <c r="E3695" t="inlineStr">
        <is>
          <t>rs73181662</t>
        </is>
      </c>
      <c r="F3695" t="n">
        <v>0.0565614426</v>
      </c>
      <c r="G3695" t="n">
        <v>0.0418500957846336</v>
      </c>
      <c r="H3695" t="n">
        <v>0.0131302173281028</v>
      </c>
      <c r="I3695" t="n">
        <v>0.2553704640434877</v>
      </c>
      <c r="J3695" t="n">
        <v>0.3389030584906873</v>
      </c>
      <c r="K3695" t="n">
        <v>0.2283460794254361</v>
      </c>
      <c r="L3695" t="b">
        <v>0</v>
      </c>
      <c r="M3695" t="b">
        <v>0</v>
      </c>
      <c r="N3695" t="inlineStr">
        <is>
          <t>alt</t>
        </is>
      </c>
      <c r="O3695" t="n">
        <v>60</v>
      </c>
      <c r="P3695" t="n">
        <v>0.00784</v>
      </c>
      <c r="Q3695" t="n">
        <v>100</v>
      </c>
      <c r="R3695" t="n">
        <v>0.1209</v>
      </c>
      <c r="S3695">
        <f>IMAGE("https://mitra.stanford.edu/kundaje/oak/projects/neuro-variants/variant_position/credible/roussos_2024/variant_figures/roussos_2024.adolescence.GLU/rs73181662_count_position.png",4,220,900)</f>
        <v/>
      </c>
      <c r="T3695">
        <f>IMAGE("https://mitra.stanford.edu/kundaje/oak/projects/neuro-variants/variant_position/credible/roussos_2024/variant_figures/roussos_2024.adolescence.GLU/rs73181662_profile_position.png",4,220,900)</f>
        <v/>
      </c>
    </row>
    <row r="3696">
      <c r="A3696" t="inlineStr">
        <is>
          <t>chr7</t>
        </is>
      </c>
      <c r="B3696" t="n">
        <v>71349139</v>
      </c>
      <c r="C3696" t="inlineStr">
        <is>
          <t>C</t>
        </is>
      </c>
      <c r="D3696" t="inlineStr">
        <is>
          <t>T</t>
        </is>
      </c>
      <c r="E3696" t="inlineStr">
        <is>
          <t>rs9654908</t>
        </is>
      </c>
      <c r="F3696" t="n">
        <v>-0.049191033</v>
      </c>
      <c r="G3696" t="n">
        <v>0.06883319957483949</v>
      </c>
      <c r="H3696" t="n">
        <v>0.0093213140012208</v>
      </c>
      <c r="I3696" t="n">
        <v>0.6123682680078126</v>
      </c>
      <c r="J3696" t="n">
        <v>0.3726771974194654</v>
      </c>
      <c r="K3696" t="n">
        <v>0.1939556748788762</v>
      </c>
      <c r="L3696" t="b">
        <v>0</v>
      </c>
      <c r="M3696" t="b">
        <v>0</v>
      </c>
      <c r="N3696" t="inlineStr">
        <is>
          <t>ref</t>
        </is>
      </c>
      <c r="O3696" t="n">
        <v>80</v>
      </c>
      <c r="P3696" t="n">
        <v>0.00598</v>
      </c>
      <c r="Q3696" t="n">
        <v>-10</v>
      </c>
      <c r="R3696" t="n">
        <v>0.01318</v>
      </c>
      <c r="S3696">
        <f>IMAGE("https://mitra.stanford.edu/kundaje/oak/projects/neuro-variants/variant_position/credible/roussos_2024/variant_figures/roussos_2024.adolescence.GLU/rs9654908_count_position.png",4,220,900)</f>
        <v/>
      </c>
      <c r="T3696">
        <f>IMAGE("https://mitra.stanford.edu/kundaje/oak/projects/neuro-variants/variant_position/credible/roussos_2024/variant_figures/roussos_2024.adolescence.GLU/rs9654908_profile_position.png",4,220,900)</f>
        <v/>
      </c>
    </row>
    <row r="3697">
      <c r="A3697" t="inlineStr">
        <is>
          <t>chr7</t>
        </is>
      </c>
      <c r="B3697" t="n">
        <v>71349164</v>
      </c>
      <c r="C3697" t="inlineStr">
        <is>
          <t>A</t>
        </is>
      </c>
      <c r="D3697" t="inlineStr">
        <is>
          <t>G</t>
        </is>
      </c>
      <c r="E3697" t="inlineStr">
        <is>
          <t>rs2527310</t>
        </is>
      </c>
      <c r="F3697" t="n">
        <v>0.032632159</v>
      </c>
      <c r="G3697" t="n">
        <v>0.1503248680825853</v>
      </c>
      <c r="H3697" t="n">
        <v>0.0094895941970457</v>
      </c>
      <c r="I3697" t="n">
        <v>0.589662655077353</v>
      </c>
      <c r="J3697" t="n">
        <v>0.3867615434625744</v>
      </c>
      <c r="K3697" t="n">
        <v>0.1805270807205727</v>
      </c>
      <c r="L3697" t="b">
        <v>0</v>
      </c>
      <c r="M3697" t="b">
        <v>0</v>
      </c>
      <c r="N3697" t="inlineStr">
        <is>
          <t>alt</t>
        </is>
      </c>
      <c r="O3697" t="n">
        <v>90</v>
      </c>
      <c r="P3697" t="n">
        <v>0.003601</v>
      </c>
      <c r="Q3697" t="n">
        <v>-30</v>
      </c>
      <c r="R3697" t="n">
        <v>0.01563</v>
      </c>
      <c r="S3697">
        <f>IMAGE("https://mitra.stanford.edu/kundaje/oak/projects/neuro-variants/variant_position/credible/roussos_2024/variant_figures/roussos_2024.adolescence.GLU/rs2527310_count_position.png",4,220,900)</f>
        <v/>
      </c>
      <c r="T3697">
        <f>IMAGE("https://mitra.stanford.edu/kundaje/oak/projects/neuro-variants/variant_position/credible/roussos_2024/variant_figures/roussos_2024.adolescence.GLU/rs2527310_profile_position.png",4,220,900)</f>
        <v/>
      </c>
    </row>
    <row r="3698">
      <c r="A3698" t="inlineStr">
        <is>
          <t>chr7</t>
        </is>
      </c>
      <c r="B3698" t="n">
        <v>71354911</v>
      </c>
      <c r="C3698" t="inlineStr">
        <is>
          <t>T</t>
        </is>
      </c>
      <c r="D3698" t="inlineStr">
        <is>
          <t>C</t>
        </is>
      </c>
      <c r="E3698" t="inlineStr">
        <is>
          <t>rs2141885</t>
        </is>
      </c>
      <c r="F3698" t="n">
        <v>0.1261263768</v>
      </c>
      <c r="G3698" t="n">
        <v>0.0048891236888509</v>
      </c>
      <c r="H3698" t="n">
        <v>0.0274916714188452</v>
      </c>
      <c r="I3698" t="n">
        <v>0.0174772642643736</v>
      </c>
      <c r="J3698" t="n">
        <v>0.0055897293010694</v>
      </c>
      <c r="K3698" t="n">
        <v>0.9304129347724328</v>
      </c>
      <c r="L3698" t="b">
        <v>1</v>
      </c>
      <c r="M3698" t="b">
        <v>1</v>
      </c>
      <c r="N3698" t="inlineStr">
        <is>
          <t>alt</t>
        </is>
      </c>
      <c r="O3698" t="n">
        <v>-15</v>
      </c>
      <c r="P3698" t="n">
        <v>0.0006676</v>
      </c>
      <c r="Q3698" t="n">
        <v>-45</v>
      </c>
      <c r="R3698" t="n">
        <v>0.03134</v>
      </c>
      <c r="S3698">
        <f>IMAGE("https://mitra.stanford.edu/kundaje/oak/projects/neuro-variants/variant_position/credible/roussos_2024/variant_figures/roussos_2024.adolescence.GLU/rs2141885_count_position.png",4,220,900)</f>
        <v/>
      </c>
      <c r="T3698">
        <f>IMAGE("https://mitra.stanford.edu/kundaje/oak/projects/neuro-variants/variant_position/credible/roussos_2024/variant_figures/roussos_2024.adolescence.GLU/rs2141885_profile_position.png",4,220,900)</f>
        <v/>
      </c>
    </row>
    <row r="3699">
      <c r="A3699" t="inlineStr">
        <is>
          <t>chr7</t>
        </is>
      </c>
      <c r="B3699" t="n">
        <v>71362977</v>
      </c>
      <c r="C3699" t="inlineStr">
        <is>
          <t>T</t>
        </is>
      </c>
      <c r="D3699" t="inlineStr">
        <is>
          <t>C</t>
        </is>
      </c>
      <c r="E3699" t="inlineStr">
        <is>
          <t>rs7791195</t>
        </is>
      </c>
      <c r="F3699" t="n">
        <v>-0.00119018737</v>
      </c>
      <c r="G3699" t="n">
        <v>0.8319257318472089</v>
      </c>
      <c r="H3699" t="n">
        <v>0.0280266348324064</v>
      </c>
      <c r="I3699" t="n">
        <v>0.0115830524557606</v>
      </c>
      <c r="J3699" t="n">
        <v>0.3635767408963285</v>
      </c>
      <c r="K3699" t="n">
        <v>0.2027024918215207</v>
      </c>
      <c r="L3699" t="b">
        <v>1</v>
      </c>
      <c r="M3699" t="b">
        <v>0</v>
      </c>
      <c r="N3699" t="inlineStr">
        <is>
          <t>ref</t>
        </is>
      </c>
      <c r="O3699" t="n">
        <v>-100</v>
      </c>
      <c r="P3699" t="n">
        <v>0.008789999999999999</v>
      </c>
      <c r="Q3699" t="n">
        <v>-100</v>
      </c>
      <c r="R3699" t="n">
        <v>0.1339</v>
      </c>
      <c r="S3699">
        <f>IMAGE("https://mitra.stanford.edu/kundaje/oak/projects/neuro-variants/variant_position/credible/roussos_2024/variant_figures/roussos_2024.adolescence.GLU/rs7791195_count_position.png",4,220,900)</f>
        <v/>
      </c>
      <c r="T3699">
        <f>IMAGE("https://mitra.stanford.edu/kundaje/oak/projects/neuro-variants/variant_position/credible/roussos_2024/variant_figures/roussos_2024.adolescence.GLU/rs7791195_profile_position.png",4,220,900)</f>
        <v/>
      </c>
    </row>
    <row r="3700">
      <c r="A3700" t="inlineStr">
        <is>
          <t>chr7</t>
        </is>
      </c>
      <c r="B3700" t="n">
        <v>72242898</v>
      </c>
      <c r="C3700" t="inlineStr">
        <is>
          <t>T</t>
        </is>
      </c>
      <c r="D3700" t="inlineStr">
        <is>
          <t>C</t>
        </is>
      </c>
      <c r="E3700" t="inlineStr">
        <is>
          <t>rs7799227</t>
        </is>
      </c>
      <c r="F3700" t="n">
        <v>0.0002661607</v>
      </c>
      <c r="G3700" t="n">
        <v>0.8881145580584913</v>
      </c>
      <c r="H3700" t="n">
        <v>0.0318709172119009</v>
      </c>
      <c r="I3700" t="n">
        <v>0.0068907200242192</v>
      </c>
      <c r="J3700" t="n">
        <v>0.0560687570996848</v>
      </c>
      <c r="K3700" t="n">
        <v>0.6950683500027063</v>
      </c>
      <c r="L3700" t="b">
        <v>1</v>
      </c>
      <c r="M3700" t="b">
        <v>1</v>
      </c>
      <c r="N3700" t="inlineStr">
        <is>
          <t>alt</t>
        </is>
      </c>
      <c r="O3700" t="n">
        <v>-65</v>
      </c>
      <c r="P3700" t="n">
        <v>0.01453</v>
      </c>
      <c r="Q3700" t="n">
        <v>50</v>
      </c>
      <c r="R3700" t="n">
        <v>0.04132</v>
      </c>
      <c r="S3700">
        <f>IMAGE("https://mitra.stanford.edu/kundaje/oak/projects/neuro-variants/variant_position/credible/roussos_2024/variant_figures/roussos_2024.adolescence.GLU/rs7799227_count_position.png",4,220,900)</f>
        <v/>
      </c>
      <c r="T3700">
        <f>IMAGE("https://mitra.stanford.edu/kundaje/oak/projects/neuro-variants/variant_position/credible/roussos_2024/variant_figures/roussos_2024.adolescence.GLU/rs7799227_profile_position.png",4,220,900)</f>
        <v/>
      </c>
    </row>
    <row r="3701">
      <c r="A3701" t="inlineStr">
        <is>
          <t>chr7</t>
        </is>
      </c>
      <c r="B3701" t="n">
        <v>72258110</v>
      </c>
      <c r="C3701" t="inlineStr">
        <is>
          <t>C</t>
        </is>
      </c>
      <c r="D3701" t="inlineStr">
        <is>
          <t>T</t>
        </is>
      </c>
      <c r="E3701" t="inlineStr">
        <is>
          <t>rs13231507</t>
        </is>
      </c>
      <c r="F3701" t="n">
        <v>-0.00912053128</v>
      </c>
      <c r="G3701" t="n">
        <v>0.5610754264860914</v>
      </c>
      <c r="H3701" t="n">
        <v>0.0164603370565126</v>
      </c>
      <c r="I3701" t="n">
        <v>0.1170957243673908</v>
      </c>
      <c r="J3701" t="n">
        <v>0.1950675497067249</v>
      </c>
      <c r="K3701" t="n">
        <v>0.4120677843791276</v>
      </c>
      <c r="L3701" t="b">
        <v>0</v>
      </c>
      <c r="M3701" t="b">
        <v>0</v>
      </c>
      <c r="N3701" t="inlineStr">
        <is>
          <t>ref</t>
        </is>
      </c>
      <c r="O3701" t="n">
        <v>-80</v>
      </c>
      <c r="P3701" t="n">
        <v>0.004395</v>
      </c>
      <c r="Q3701" t="n">
        <v>-100</v>
      </c>
      <c r="R3701" t="n">
        <v>0.0829</v>
      </c>
      <c r="S3701">
        <f>IMAGE("https://mitra.stanford.edu/kundaje/oak/projects/neuro-variants/variant_position/credible/roussos_2024/variant_figures/roussos_2024.adolescence.GLU/rs13231507_count_position.png",4,220,900)</f>
        <v/>
      </c>
      <c r="T3701">
        <f>IMAGE("https://mitra.stanford.edu/kundaje/oak/projects/neuro-variants/variant_position/credible/roussos_2024/variant_figures/roussos_2024.adolescence.GLU/rs13231507_profile_position.png",4,220,900)</f>
        <v/>
      </c>
    </row>
    <row r="3702">
      <c r="A3702" t="inlineStr">
        <is>
          <t>chr7</t>
        </is>
      </c>
      <c r="B3702" t="n">
        <v>72260351</v>
      </c>
      <c r="C3702" t="inlineStr">
        <is>
          <t>C</t>
        </is>
      </c>
      <c r="D3702" t="inlineStr">
        <is>
          <t>T</t>
        </is>
      </c>
      <c r="E3702" t="inlineStr">
        <is>
          <t>rs7801170</t>
        </is>
      </c>
      <c r="F3702" t="n">
        <v>0.0052398239399999</v>
      </c>
      <c r="G3702" t="n">
        <v>0.7100901468765072</v>
      </c>
      <c r="H3702" t="n">
        <v>0.0218920899859354</v>
      </c>
      <c r="I3702" t="n">
        <v>0.0367031746297094</v>
      </c>
      <c r="J3702" t="n">
        <v>0.1491994770345285</v>
      </c>
      <c r="K3702" t="n">
        <v>0.484832701205565</v>
      </c>
      <c r="L3702" t="b">
        <v>0</v>
      </c>
      <c r="M3702" t="b">
        <v>0</v>
      </c>
      <c r="N3702" t="inlineStr">
        <is>
          <t>alt</t>
        </is>
      </c>
      <c r="O3702" t="n">
        <v>100</v>
      </c>
      <c r="P3702" t="n">
        <v>0.01932</v>
      </c>
      <c r="Q3702" t="n">
        <v>100</v>
      </c>
      <c r="R3702" t="n">
        <v>0.0912</v>
      </c>
      <c r="S3702">
        <f>IMAGE("https://mitra.stanford.edu/kundaje/oak/projects/neuro-variants/variant_position/credible/roussos_2024/variant_figures/roussos_2024.adolescence.GLU/rs7801170_count_position.png",4,220,900)</f>
        <v/>
      </c>
      <c r="T3702">
        <f>IMAGE("https://mitra.stanford.edu/kundaje/oak/projects/neuro-variants/variant_position/credible/roussos_2024/variant_figures/roussos_2024.adolescence.GLU/rs7801170_profile_position.png",4,220,900)</f>
        <v/>
      </c>
    </row>
    <row r="3703">
      <c r="A3703" t="inlineStr">
        <is>
          <t>chr7</t>
        </is>
      </c>
      <c r="B3703" t="n">
        <v>72261158</v>
      </c>
      <c r="C3703" t="inlineStr">
        <is>
          <t>A</t>
        </is>
      </c>
      <c r="D3703" t="inlineStr">
        <is>
          <t>C</t>
        </is>
      </c>
      <c r="E3703" t="inlineStr">
        <is>
          <t>rs12537428</t>
        </is>
      </c>
      <c r="F3703" t="n">
        <v>0.0047369468999999</v>
      </c>
      <c r="G3703" t="n">
        <v>0.680657901664171</v>
      </c>
      <c r="H3703" t="n">
        <v>0.0203169396561112</v>
      </c>
      <c r="I3703" t="n">
        <v>0.0534762856991583</v>
      </c>
      <c r="J3703" t="n">
        <v>0.2249794600310063</v>
      </c>
      <c r="K3703" t="n">
        <v>0.3687117481219378</v>
      </c>
      <c r="L3703" t="b">
        <v>0</v>
      </c>
      <c r="M3703" t="b">
        <v>0</v>
      </c>
      <c r="N3703" t="inlineStr">
        <is>
          <t>alt</t>
        </is>
      </c>
      <c r="O3703" t="n">
        <v>65</v>
      </c>
      <c r="P3703" t="n">
        <v>0.015076</v>
      </c>
      <c r="Q3703" t="n">
        <v>-90</v>
      </c>
      <c r="R3703" t="n">
        <v>0.0354</v>
      </c>
      <c r="S3703">
        <f>IMAGE("https://mitra.stanford.edu/kundaje/oak/projects/neuro-variants/variant_position/credible/roussos_2024/variant_figures/roussos_2024.adolescence.GLU/rs12537428_count_position.png",4,220,900)</f>
        <v/>
      </c>
      <c r="T3703">
        <f>IMAGE("https://mitra.stanford.edu/kundaje/oak/projects/neuro-variants/variant_position/credible/roussos_2024/variant_figures/roussos_2024.adolescence.GLU/rs12537428_profile_position.png",4,220,900)</f>
        <v/>
      </c>
    </row>
    <row r="3704">
      <c r="A3704" t="inlineStr">
        <is>
          <t>chr7</t>
        </is>
      </c>
      <c r="B3704" t="n">
        <v>72261889</v>
      </c>
      <c r="C3704" t="inlineStr">
        <is>
          <t>C</t>
        </is>
      </c>
      <c r="D3704" t="inlineStr">
        <is>
          <t>T</t>
        </is>
      </c>
      <c r="E3704" t="inlineStr">
        <is>
          <t>rs10486883</t>
        </is>
      </c>
      <c r="F3704" t="n">
        <v>-0.0877304652</v>
      </c>
      <c r="G3704" t="n">
        <v>0.0117849075884644</v>
      </c>
      <c r="H3704" t="n">
        <v>0.0130486288845375</v>
      </c>
      <c r="I3704" t="n">
        <v>0.2464057251197351</v>
      </c>
      <c r="J3704" t="n">
        <v>0.3313472076358674</v>
      </c>
      <c r="K3704" t="n">
        <v>0.2354187868042252</v>
      </c>
      <c r="L3704" t="b">
        <v>1</v>
      </c>
      <c r="M3704" t="b">
        <v>0</v>
      </c>
      <c r="N3704" t="inlineStr">
        <is>
          <t>ref</t>
        </is>
      </c>
      <c r="O3704" t="n">
        <v>-45</v>
      </c>
      <c r="P3704" t="n">
        <v>0.01503</v>
      </c>
      <c r="Q3704" t="n">
        <v>95</v>
      </c>
      <c r="R3704" t="n">
        <v>0.1453</v>
      </c>
      <c r="S3704">
        <f>IMAGE("https://mitra.stanford.edu/kundaje/oak/projects/neuro-variants/variant_position/credible/roussos_2024/variant_figures/roussos_2024.adolescence.GLU/rs10486883_count_position.png",4,220,900)</f>
        <v/>
      </c>
      <c r="T3704">
        <f>IMAGE("https://mitra.stanford.edu/kundaje/oak/projects/neuro-variants/variant_position/credible/roussos_2024/variant_figures/roussos_2024.adolescence.GLU/rs10486883_profile_position.png",4,220,900)</f>
        <v/>
      </c>
    </row>
    <row r="3705">
      <c r="A3705" t="inlineStr">
        <is>
          <t>chr7</t>
        </is>
      </c>
      <c r="B3705" t="n">
        <v>72289021</v>
      </c>
      <c r="C3705" t="inlineStr">
        <is>
          <t>C</t>
        </is>
      </c>
      <c r="D3705" t="inlineStr">
        <is>
          <t>T</t>
        </is>
      </c>
      <c r="E3705" t="inlineStr">
        <is>
          <t>rs12154550</t>
        </is>
      </c>
      <c r="F3705" t="n">
        <v>0.0017734265399999</v>
      </c>
      <c r="G3705" t="n">
        <v>0.8392975709782049</v>
      </c>
      <c r="H3705" t="n">
        <v>0.0217442328065039</v>
      </c>
      <c r="I3705" t="n">
        <v>0.0416750991389946</v>
      </c>
      <c r="J3705" t="n">
        <v>0.025316672739353</v>
      </c>
      <c r="K3705" t="n">
        <v>0.7953094728936144</v>
      </c>
      <c r="L3705" t="b">
        <v>0</v>
      </c>
      <c r="M3705" t="b">
        <v>0</v>
      </c>
      <c r="N3705" t="inlineStr">
        <is>
          <t>alt</t>
        </is>
      </c>
      <c r="O3705" t="n">
        <v>-50</v>
      </c>
      <c r="P3705" t="n">
        <v>0.01424</v>
      </c>
      <c r="Q3705" t="n">
        <v>-15</v>
      </c>
      <c r="R3705" t="n">
        <v>0.02658</v>
      </c>
      <c r="S3705">
        <f>IMAGE("https://mitra.stanford.edu/kundaje/oak/projects/neuro-variants/variant_position/credible/roussos_2024/variant_figures/roussos_2024.adolescence.GLU/rs12154550_count_position.png",4,220,900)</f>
        <v/>
      </c>
      <c r="T3705">
        <f>IMAGE("https://mitra.stanford.edu/kundaje/oak/projects/neuro-variants/variant_position/credible/roussos_2024/variant_figures/roussos_2024.adolescence.GLU/rs12154550_profile_position.png",4,220,900)</f>
        <v/>
      </c>
    </row>
    <row r="3706">
      <c r="A3706" t="inlineStr">
        <is>
          <t>chr7</t>
        </is>
      </c>
      <c r="B3706" t="n">
        <v>72298876</v>
      </c>
      <c r="C3706" t="inlineStr">
        <is>
          <t>C</t>
        </is>
      </c>
      <c r="D3706" t="inlineStr">
        <is>
          <t>T</t>
        </is>
      </c>
      <c r="E3706" t="inlineStr">
        <is>
          <t>rs4719223</t>
        </is>
      </c>
      <c r="F3706" t="n">
        <v>-0.0809906966</v>
      </c>
      <c r="G3706" t="n">
        <v>0.0144268067761495</v>
      </c>
      <c r="H3706" t="n">
        <v>0.0183231013244528</v>
      </c>
      <c r="I3706" t="n">
        <v>0.0749351448915109</v>
      </c>
      <c r="J3706" t="n">
        <v>0.3359595916296947</v>
      </c>
      <c r="K3706" t="n">
        <v>0.230136424023627</v>
      </c>
      <c r="L3706" t="b">
        <v>1</v>
      </c>
      <c r="M3706" t="b">
        <v>0</v>
      </c>
      <c r="N3706" t="inlineStr">
        <is>
          <t>ref</t>
        </is>
      </c>
      <c r="O3706" t="n">
        <v>-80</v>
      </c>
      <c r="P3706" t="n">
        <v>0.02435</v>
      </c>
      <c r="Q3706" t="n">
        <v>-80</v>
      </c>
      <c r="R3706" t="n">
        <v>0.148</v>
      </c>
      <c r="S3706">
        <f>IMAGE("https://mitra.stanford.edu/kundaje/oak/projects/neuro-variants/variant_position/credible/roussos_2024/variant_figures/roussos_2024.adolescence.GLU/rs4719223_count_position.png",4,220,900)</f>
        <v/>
      </c>
      <c r="T3706">
        <f>IMAGE("https://mitra.stanford.edu/kundaje/oak/projects/neuro-variants/variant_position/credible/roussos_2024/variant_figures/roussos_2024.adolescence.GLU/rs4719223_profile_position.png",4,220,900)</f>
        <v/>
      </c>
    </row>
    <row r="3707">
      <c r="A3707" t="inlineStr">
        <is>
          <t>chr7</t>
        </is>
      </c>
      <c r="B3707" t="n">
        <v>72310924</v>
      </c>
      <c r="C3707" t="inlineStr">
        <is>
          <t>A</t>
        </is>
      </c>
      <c r="D3707" t="inlineStr">
        <is>
          <t>C</t>
        </is>
      </c>
      <c r="E3707" t="inlineStr">
        <is>
          <t>rs5025436</t>
        </is>
      </c>
      <c r="F3707" t="n">
        <v>-0.0008014304</v>
      </c>
      <c r="G3707" t="n">
        <v>0.816290691319923</v>
      </c>
      <c r="H3707" t="n">
        <v>0.0463466036185113</v>
      </c>
      <c r="I3707" t="n">
        <v>0.0018497036717419</v>
      </c>
      <c r="J3707" t="n">
        <v>0.1175200577262432</v>
      </c>
      <c r="K3707" t="n">
        <v>0.5393565808885273</v>
      </c>
      <c r="L3707" t="b">
        <v>1</v>
      </c>
      <c r="M3707" t="b">
        <v>1</v>
      </c>
      <c r="N3707" t="inlineStr">
        <is>
          <t>ref</t>
        </is>
      </c>
      <c r="O3707" t="n">
        <v>-100</v>
      </c>
      <c r="P3707" t="n">
        <v>0.0166</v>
      </c>
      <c r="Q3707" t="n">
        <v>70</v>
      </c>
      <c r="R3707" t="n">
        <v>0.0716</v>
      </c>
      <c r="S3707">
        <f>IMAGE("https://mitra.stanford.edu/kundaje/oak/projects/neuro-variants/variant_position/credible/roussos_2024/variant_figures/roussos_2024.adolescence.GLU/rs5025436_count_position.png",4,220,900)</f>
        <v/>
      </c>
      <c r="T3707">
        <f>IMAGE("https://mitra.stanford.edu/kundaje/oak/projects/neuro-variants/variant_position/credible/roussos_2024/variant_figures/roussos_2024.adolescence.GLU/rs5025436_profile_position.png",4,220,900)</f>
        <v/>
      </c>
    </row>
    <row r="3708">
      <c r="A3708" t="inlineStr">
        <is>
          <t>chr7</t>
        </is>
      </c>
      <c r="B3708" t="n">
        <v>72317475</v>
      </c>
      <c r="C3708" t="inlineStr">
        <is>
          <t>A</t>
        </is>
      </c>
      <c r="D3708" t="inlineStr">
        <is>
          <t>G</t>
        </is>
      </c>
      <c r="E3708" t="inlineStr">
        <is>
          <t>rs78928669</t>
        </is>
      </c>
      <c r="F3708" t="n">
        <v>0.01295230736</v>
      </c>
      <c r="G3708" t="n">
        <v>0.4248513878530836</v>
      </c>
      <c r="H3708" t="n">
        <v>0.0096536781019046</v>
      </c>
      <c r="I3708" t="n">
        <v>0.5886754879572003</v>
      </c>
      <c r="J3708" t="n">
        <v>0.3320316351244187</v>
      </c>
      <c r="K3708" t="n">
        <v>0.2351339464658379</v>
      </c>
      <c r="L3708" t="b">
        <v>0</v>
      </c>
      <c r="M3708" t="b">
        <v>0</v>
      </c>
      <c r="N3708" t="inlineStr">
        <is>
          <t>alt</t>
        </is>
      </c>
      <c r="O3708" t="n">
        <v>-100</v>
      </c>
      <c r="P3708" t="n">
        <v>0.01329</v>
      </c>
      <c r="Q3708" t="n">
        <v>-100</v>
      </c>
      <c r="R3708" t="n">
        <v>0.02985</v>
      </c>
      <c r="S3708">
        <f>IMAGE("https://mitra.stanford.edu/kundaje/oak/projects/neuro-variants/variant_position/credible/roussos_2024/variant_figures/roussos_2024.adolescence.GLU/rs78928669_count_position.png",4,220,900)</f>
        <v/>
      </c>
      <c r="T3708">
        <f>IMAGE("https://mitra.stanford.edu/kundaje/oak/projects/neuro-variants/variant_position/credible/roussos_2024/variant_figures/roussos_2024.adolescence.GLU/rs78928669_profile_position.png",4,220,900)</f>
        <v/>
      </c>
    </row>
    <row r="3709">
      <c r="A3709" t="inlineStr">
        <is>
          <t>chr7</t>
        </is>
      </c>
      <c r="B3709" t="n">
        <v>72321736</v>
      </c>
      <c r="C3709" t="inlineStr">
        <is>
          <t>G</t>
        </is>
      </c>
      <c r="D3709" t="inlineStr">
        <is>
          <t>A</t>
        </is>
      </c>
      <c r="E3709" t="inlineStr">
        <is>
          <t>rs2944829</t>
        </is>
      </c>
      <c r="F3709" t="n">
        <v>-0.0554734915999999</v>
      </c>
      <c r="G3709" t="n">
        <v>0.0480930451273414</v>
      </c>
      <c r="H3709" t="n">
        <v>0.0097330902685175</v>
      </c>
      <c r="I3709" t="n">
        <v>0.5710918263151483</v>
      </c>
      <c r="J3709" t="n">
        <v>0.4107936644019118</v>
      </c>
      <c r="K3709" t="n">
        <v>0.1582808341575393</v>
      </c>
      <c r="L3709" t="b">
        <v>0</v>
      </c>
      <c r="M3709" t="b">
        <v>0</v>
      </c>
      <c r="N3709" t="inlineStr">
        <is>
          <t>ref</t>
        </is>
      </c>
      <c r="O3709" t="n">
        <v>-95</v>
      </c>
      <c r="P3709" t="n">
        <v>0.003063</v>
      </c>
      <c r="Q3709" t="n">
        <v>-100</v>
      </c>
      <c r="R3709" t="n">
        <v>0.10693</v>
      </c>
      <c r="S3709">
        <f>IMAGE("https://mitra.stanford.edu/kundaje/oak/projects/neuro-variants/variant_position/credible/roussos_2024/variant_figures/roussos_2024.adolescence.GLU/rs2944829_count_position.png",4,220,900)</f>
        <v/>
      </c>
      <c r="T3709">
        <f>IMAGE("https://mitra.stanford.edu/kundaje/oak/projects/neuro-variants/variant_position/credible/roussos_2024/variant_figures/roussos_2024.adolescence.GLU/rs2944829_profile_position.png",4,220,900)</f>
        <v/>
      </c>
    </row>
    <row r="3710">
      <c r="A3710" t="inlineStr">
        <is>
          <t>chr7</t>
        </is>
      </c>
      <c r="B3710" t="n">
        <v>72328401</v>
      </c>
      <c r="C3710" t="inlineStr">
        <is>
          <t>T</t>
        </is>
      </c>
      <c r="D3710" t="inlineStr">
        <is>
          <t>C</t>
        </is>
      </c>
      <c r="E3710" t="inlineStr">
        <is>
          <t>rs2944825</t>
        </is>
      </c>
      <c r="F3710" t="n">
        <v>0.0824108598</v>
      </c>
      <c r="G3710" t="n">
        <v>0.0144794781933402</v>
      </c>
      <c r="H3710" t="n">
        <v>0.012861089716164</v>
      </c>
      <c r="I3710" t="n">
        <v>0.2687624118303187</v>
      </c>
      <c r="J3710" t="n">
        <v>0.1042244464924877</v>
      </c>
      <c r="K3710" t="n">
        <v>0.5711724102911614</v>
      </c>
      <c r="L3710" t="b">
        <v>1</v>
      </c>
      <c r="M3710" t="b">
        <v>0</v>
      </c>
      <c r="N3710" t="inlineStr">
        <is>
          <t>alt</t>
        </is>
      </c>
      <c r="O3710" t="n">
        <v>85</v>
      </c>
      <c r="P3710" t="n">
        <v>0.002167</v>
      </c>
      <c r="Q3710" t="n">
        <v>-55</v>
      </c>
      <c r="R3710" t="n">
        <v>0.0313</v>
      </c>
      <c r="S3710">
        <f>IMAGE("https://mitra.stanford.edu/kundaje/oak/projects/neuro-variants/variant_position/credible/roussos_2024/variant_figures/roussos_2024.adolescence.GLU/rs2944825_count_position.png",4,220,900)</f>
        <v/>
      </c>
      <c r="T3710">
        <f>IMAGE("https://mitra.stanford.edu/kundaje/oak/projects/neuro-variants/variant_position/credible/roussos_2024/variant_figures/roussos_2024.adolescence.GLU/rs2944825_profile_position.png",4,220,900)</f>
        <v/>
      </c>
    </row>
    <row r="3711">
      <c r="A3711" t="inlineStr">
        <is>
          <t>chr7</t>
        </is>
      </c>
      <c r="B3711" t="n">
        <v>72330742</v>
      </c>
      <c r="C3711" t="inlineStr">
        <is>
          <t>T</t>
        </is>
      </c>
      <c r="D3711" t="inlineStr">
        <is>
          <t>C</t>
        </is>
      </c>
      <c r="E3711" t="inlineStr">
        <is>
          <t>rs11768943</t>
        </is>
      </c>
      <c r="F3711" t="n">
        <v>-0.0061057281119999</v>
      </c>
      <c r="G3711" t="n">
        <v>0.6996796637113011</v>
      </c>
      <c r="H3711" t="n">
        <v>0.009670825214146601</v>
      </c>
      <c r="I3711" t="n">
        <v>0.5810219723055541</v>
      </c>
      <c r="J3711" t="n">
        <v>0.1955976595151852</v>
      </c>
      <c r="K3711" t="n">
        <v>0.4105080693194953</v>
      </c>
      <c r="L3711" t="b">
        <v>0</v>
      </c>
      <c r="M3711" t="b">
        <v>0</v>
      </c>
      <c r="N3711" t="inlineStr">
        <is>
          <t>ref</t>
        </is>
      </c>
      <c r="O3711" t="n">
        <v>100</v>
      </c>
      <c r="P3711" t="n">
        <v>0.004215</v>
      </c>
      <c r="Q3711" t="n">
        <v>80</v>
      </c>
      <c r="R3711" t="n">
        <v>0.0718</v>
      </c>
      <c r="S3711">
        <f>IMAGE("https://mitra.stanford.edu/kundaje/oak/projects/neuro-variants/variant_position/credible/roussos_2024/variant_figures/roussos_2024.adolescence.GLU/rs11768943_count_position.png",4,220,900)</f>
        <v/>
      </c>
      <c r="T3711">
        <f>IMAGE("https://mitra.stanford.edu/kundaje/oak/projects/neuro-variants/variant_position/credible/roussos_2024/variant_figures/roussos_2024.adolescence.GLU/rs11768943_profile_position.png",4,220,900)</f>
        <v/>
      </c>
    </row>
    <row r="3712">
      <c r="A3712" t="inlineStr">
        <is>
          <t>chr7</t>
        </is>
      </c>
      <c r="B3712" t="n">
        <v>72348675</v>
      </c>
      <c r="C3712" t="inlineStr">
        <is>
          <t>G</t>
        </is>
      </c>
      <c r="D3712" t="inlineStr">
        <is>
          <t>A</t>
        </is>
      </c>
      <c r="E3712" t="inlineStr">
        <is>
          <t>rs2944814</t>
        </is>
      </c>
      <c r="F3712" t="n">
        <v>-0.0412345256</v>
      </c>
      <c r="G3712" t="n">
        <v>0.1052758654918194</v>
      </c>
      <c r="H3712" t="n">
        <v>0.0106108980679408</v>
      </c>
      <c r="I3712" t="n">
        <v>0.4765364211085984</v>
      </c>
      <c r="J3712" t="n">
        <v>0.2612855520072014</v>
      </c>
      <c r="K3712" t="n">
        <v>0.3177613201456674</v>
      </c>
      <c r="L3712" t="b">
        <v>0</v>
      </c>
      <c r="M3712" t="b">
        <v>0</v>
      </c>
      <c r="N3712" t="inlineStr">
        <is>
          <t>ref</t>
        </is>
      </c>
      <c r="O3712" t="n">
        <v>100</v>
      </c>
      <c r="P3712" t="n">
        <v>0.04514</v>
      </c>
      <c r="Q3712" t="n">
        <v>100</v>
      </c>
      <c r="R3712" t="n">
        <v>0.04822</v>
      </c>
      <c r="S3712">
        <f>IMAGE("https://mitra.stanford.edu/kundaje/oak/projects/neuro-variants/variant_position/credible/roussos_2024/variant_figures/roussos_2024.adolescence.GLU/rs2944814_count_position.png",4,220,900)</f>
        <v/>
      </c>
      <c r="T3712">
        <f>IMAGE("https://mitra.stanford.edu/kundaje/oak/projects/neuro-variants/variant_position/credible/roussos_2024/variant_figures/roussos_2024.adolescence.GLU/rs2944814_profile_position.png",4,220,900)</f>
        <v/>
      </c>
    </row>
    <row r="3713">
      <c r="A3713" t="inlineStr">
        <is>
          <t>chr7</t>
        </is>
      </c>
      <c r="B3713" t="n">
        <v>72350185</v>
      </c>
      <c r="C3713" t="inlineStr">
        <is>
          <t>T</t>
        </is>
      </c>
      <c r="D3713" t="inlineStr">
        <is>
          <t>G</t>
        </is>
      </c>
      <c r="E3713" t="inlineStr">
        <is>
          <t>rs11764286</t>
        </is>
      </c>
      <c r="F3713" t="n">
        <v>0.00435762106</v>
      </c>
      <c r="G3713" t="n">
        <v>0.7353457775049875</v>
      </c>
      <c r="H3713" t="n">
        <v>0.026098902057692</v>
      </c>
      <c r="I3713" t="n">
        <v>0.0170669710529944</v>
      </c>
      <c r="J3713" t="n">
        <v>0.0199612776932363</v>
      </c>
      <c r="K3713" t="n">
        <v>0.8220045804492051</v>
      </c>
      <c r="L3713" t="b">
        <v>1</v>
      </c>
      <c r="M3713" t="b">
        <v>0</v>
      </c>
      <c r="N3713" t="inlineStr">
        <is>
          <t>alt</t>
        </is>
      </c>
      <c r="O3713" t="n">
        <v>-95</v>
      </c>
      <c r="P3713" t="n">
        <v>0.00132</v>
      </c>
      <c r="Q3713" t="n">
        <v>-10</v>
      </c>
      <c r="R3713" t="n">
        <v>0.00464</v>
      </c>
      <c r="S3713">
        <f>IMAGE("https://mitra.stanford.edu/kundaje/oak/projects/neuro-variants/variant_position/credible/roussos_2024/variant_figures/roussos_2024.adolescence.GLU/rs11764286_count_position.png",4,220,900)</f>
        <v/>
      </c>
      <c r="T3713">
        <f>IMAGE("https://mitra.stanford.edu/kundaje/oak/projects/neuro-variants/variant_position/credible/roussos_2024/variant_figures/roussos_2024.adolescence.GLU/rs11764286_profile_position.png",4,220,900)</f>
        <v/>
      </c>
    </row>
    <row r="3714">
      <c r="A3714" t="inlineStr">
        <is>
          <t>chr7</t>
        </is>
      </c>
      <c r="B3714" t="n">
        <v>72354867</v>
      </c>
      <c r="C3714" t="inlineStr">
        <is>
          <t>G</t>
        </is>
      </c>
      <c r="D3714" t="inlineStr">
        <is>
          <t>A</t>
        </is>
      </c>
      <c r="E3714" t="inlineStr">
        <is>
          <t>rs2944808</t>
        </is>
      </c>
      <c r="F3714" t="n">
        <v>0.00044191206</v>
      </c>
      <c r="G3714" t="n">
        <v>0.8087545750103236</v>
      </c>
      <c r="H3714" t="n">
        <v>0.0153576985757716</v>
      </c>
      <c r="I3714" t="n">
        <v>0.1490963551394231</v>
      </c>
      <c r="J3714" t="n">
        <v>0.1760764729836894</v>
      </c>
      <c r="K3714" t="n">
        <v>0.440842323287207</v>
      </c>
      <c r="L3714" t="b">
        <v>0</v>
      </c>
      <c r="M3714" t="b">
        <v>0</v>
      </c>
      <c r="N3714" t="inlineStr">
        <is>
          <t>alt</t>
        </is>
      </c>
      <c r="O3714" t="n">
        <v>100</v>
      </c>
      <c r="P3714" t="n">
        <v>0.01862</v>
      </c>
      <c r="Q3714" t="n">
        <v>70</v>
      </c>
      <c r="R3714" t="n">
        <v>0.1405</v>
      </c>
      <c r="S3714">
        <f>IMAGE("https://mitra.stanford.edu/kundaje/oak/projects/neuro-variants/variant_position/credible/roussos_2024/variant_figures/roussos_2024.adolescence.GLU/rs2944808_count_position.png",4,220,900)</f>
        <v/>
      </c>
      <c r="T3714">
        <f>IMAGE("https://mitra.stanford.edu/kundaje/oak/projects/neuro-variants/variant_position/credible/roussos_2024/variant_figures/roussos_2024.adolescence.GLU/rs2944808_profile_position.png",4,220,900)</f>
        <v/>
      </c>
    </row>
    <row r="3715">
      <c r="A3715" t="inlineStr">
        <is>
          <t>chr7</t>
        </is>
      </c>
      <c r="B3715" t="n">
        <v>72354869</v>
      </c>
      <c r="C3715" t="inlineStr">
        <is>
          <t>A</t>
        </is>
      </c>
      <c r="D3715" t="inlineStr">
        <is>
          <t>C</t>
        </is>
      </c>
      <c r="E3715" t="inlineStr">
        <is>
          <t>rs2968518</t>
        </is>
      </c>
      <c r="F3715" t="n">
        <v>-0.00814791854</v>
      </c>
      <c r="G3715" t="n">
        <v>0.572452362624994</v>
      </c>
      <c r="H3715" t="n">
        <v>0.027396084877438</v>
      </c>
      <c r="I3715" t="n">
        <v>0.0130671391406911</v>
      </c>
      <c r="J3715" t="n">
        <v>0.1761836380393081</v>
      </c>
      <c r="K3715" t="n">
        <v>0.4407737544837878</v>
      </c>
      <c r="L3715" t="b">
        <v>1</v>
      </c>
      <c r="M3715" t="b">
        <v>0</v>
      </c>
      <c r="N3715" t="inlineStr">
        <is>
          <t>ref</t>
        </is>
      </c>
      <c r="O3715" t="n">
        <v>100</v>
      </c>
      <c r="P3715" t="n">
        <v>0.01538</v>
      </c>
      <c r="Q3715" t="n">
        <v>60</v>
      </c>
      <c r="R3715" t="n">
        <v>0.1495</v>
      </c>
      <c r="S3715">
        <f>IMAGE("https://mitra.stanford.edu/kundaje/oak/projects/neuro-variants/variant_position/credible/roussos_2024/variant_figures/roussos_2024.adolescence.GLU/rs2968518_count_position.png",4,220,900)</f>
        <v/>
      </c>
      <c r="T3715">
        <f>IMAGE("https://mitra.stanford.edu/kundaje/oak/projects/neuro-variants/variant_position/credible/roussos_2024/variant_figures/roussos_2024.adolescence.GLU/rs2968518_profile_position.png",4,220,900)</f>
        <v/>
      </c>
    </row>
    <row r="3716">
      <c r="A3716" t="inlineStr">
        <is>
          <t>chr7</t>
        </is>
      </c>
      <c r="B3716" t="n">
        <v>72373222</v>
      </c>
      <c r="C3716" t="inlineStr">
        <is>
          <t>G</t>
        </is>
      </c>
      <c r="D3716" t="inlineStr">
        <is>
          <t>A</t>
        </is>
      </c>
      <c r="E3716" t="inlineStr">
        <is>
          <t>rs2968538</t>
        </is>
      </c>
      <c r="F3716" t="n">
        <v>-0.0181213018</v>
      </c>
      <c r="G3716" t="n">
        <v>0.3386301819898707</v>
      </c>
      <c r="H3716" t="n">
        <v>0.0126857790694462</v>
      </c>
      <c r="I3716" t="n">
        <v>0.2762281800383196</v>
      </c>
      <c r="J3716" t="n">
        <v>0.045297954576305</v>
      </c>
      <c r="K3716" t="n">
        <v>0.7181097413755728</v>
      </c>
      <c r="L3716" t="b">
        <v>0</v>
      </c>
      <c r="M3716" t="b">
        <v>0</v>
      </c>
      <c r="N3716" t="inlineStr">
        <is>
          <t>ref</t>
        </is>
      </c>
      <c r="O3716" t="n">
        <v>20</v>
      </c>
      <c r="P3716" t="n">
        <v>0.01077</v>
      </c>
      <c r="Q3716" t="n">
        <v>35</v>
      </c>
      <c r="R3716" t="n">
        <v>0.0421</v>
      </c>
      <c r="S3716">
        <f>IMAGE("https://mitra.stanford.edu/kundaje/oak/projects/neuro-variants/variant_position/credible/roussos_2024/variant_figures/roussos_2024.adolescence.GLU/rs2968538_count_position.png",4,220,900)</f>
        <v/>
      </c>
      <c r="T3716">
        <f>IMAGE("https://mitra.stanford.edu/kundaje/oak/projects/neuro-variants/variant_position/credible/roussos_2024/variant_figures/roussos_2024.adolescence.GLU/rs2968538_profile_position.png",4,220,900)</f>
        <v/>
      </c>
    </row>
    <row r="3717">
      <c r="A3717" t="inlineStr">
        <is>
          <t>chr7</t>
        </is>
      </c>
      <c r="B3717" t="n">
        <v>82757157</v>
      </c>
      <c r="C3717" t="inlineStr">
        <is>
          <t>A</t>
        </is>
      </c>
      <c r="D3717" t="inlineStr">
        <is>
          <t>G</t>
        </is>
      </c>
      <c r="E3717" t="inlineStr">
        <is>
          <t>rs6963266</t>
        </is>
      </c>
      <c r="F3717" t="n">
        <v>-0.0231382162</v>
      </c>
      <c r="G3717" t="n">
        <v>0.2649334351037689</v>
      </c>
      <c r="H3717" t="n">
        <v>0.0163414375440425</v>
      </c>
      <c r="I3717" t="n">
        <v>0.130478226832305</v>
      </c>
      <c r="J3717" t="n">
        <v>0.0064327610719362</v>
      </c>
      <c r="K3717" t="n">
        <v>0.9049045727946744</v>
      </c>
      <c r="L3717" t="b">
        <v>0</v>
      </c>
      <c r="M3717" t="b">
        <v>0</v>
      </c>
      <c r="N3717" t="inlineStr">
        <is>
          <t>ref</t>
        </is>
      </c>
      <c r="O3717" t="n">
        <v>-95</v>
      </c>
      <c r="P3717" t="n">
        <v>0.01208</v>
      </c>
      <c r="Q3717" t="n">
        <v>-10</v>
      </c>
      <c r="R3717" t="n">
        <v>0.001633</v>
      </c>
      <c r="S3717">
        <f>IMAGE("https://mitra.stanford.edu/kundaje/oak/projects/neuro-variants/variant_position/credible/roussos_2024/variant_figures/roussos_2024.adolescence.GLU/rs6963266_count_position.png",4,220,900)</f>
        <v/>
      </c>
      <c r="T3717">
        <f>IMAGE("https://mitra.stanford.edu/kundaje/oak/projects/neuro-variants/variant_position/credible/roussos_2024/variant_figures/roussos_2024.adolescence.GLU/rs6963266_profile_position.png",4,220,900)</f>
        <v/>
      </c>
    </row>
    <row r="3718">
      <c r="A3718" t="inlineStr">
        <is>
          <t>chr7</t>
        </is>
      </c>
      <c r="B3718" t="n">
        <v>82804606</v>
      </c>
      <c r="C3718" t="inlineStr">
        <is>
          <t>C</t>
        </is>
      </c>
      <c r="D3718" t="inlineStr">
        <is>
          <t>A</t>
        </is>
      </c>
      <c r="E3718" t="inlineStr">
        <is>
          <t>rs6467913</t>
        </is>
      </c>
      <c r="F3718" t="n">
        <v>-0.0335486034</v>
      </c>
      <c r="G3718" t="n">
        <v>0.1575488016415456</v>
      </c>
      <c r="H3718" t="n">
        <v>0.0105401664110963</v>
      </c>
      <c r="I3718" t="n">
        <v>0.4727824384588806</v>
      </c>
      <c r="J3718" t="n">
        <v>0.045292239106672</v>
      </c>
      <c r="K3718" t="n">
        <v>0.7145123670159113</v>
      </c>
      <c r="L3718" t="b">
        <v>0</v>
      </c>
      <c r="M3718" t="b">
        <v>0</v>
      </c>
      <c r="N3718" t="inlineStr">
        <is>
          <t>ref</t>
        </is>
      </c>
      <c r="O3718" t="n">
        <v>100</v>
      </c>
      <c r="P3718" t="n">
        <v>0.01624</v>
      </c>
      <c r="Q3718" t="n">
        <v>-10</v>
      </c>
      <c r="R3718" t="n">
        <v>0.001709</v>
      </c>
      <c r="S3718">
        <f>IMAGE("https://mitra.stanford.edu/kundaje/oak/projects/neuro-variants/variant_position/credible/roussos_2024/variant_figures/roussos_2024.adolescence.GLU/rs6467913_count_position.png",4,220,900)</f>
        <v/>
      </c>
      <c r="T3718">
        <f>IMAGE("https://mitra.stanford.edu/kundaje/oak/projects/neuro-variants/variant_position/credible/roussos_2024/variant_figures/roussos_2024.adolescence.GLU/rs6467913_profile_position.png",4,220,900)</f>
        <v/>
      </c>
    </row>
    <row r="3719">
      <c r="A3719" t="inlineStr">
        <is>
          <t>chr7</t>
        </is>
      </c>
      <c r="B3719" t="n">
        <v>82806065</v>
      </c>
      <c r="C3719" t="inlineStr">
        <is>
          <t>C</t>
        </is>
      </c>
      <c r="D3719" t="inlineStr">
        <is>
          <t>A</t>
        </is>
      </c>
      <c r="E3719" t="inlineStr">
        <is>
          <t>rs13235048</t>
        </is>
      </c>
      <c r="F3719" t="n">
        <v>0.001702510854</v>
      </c>
      <c r="G3719" t="n">
        <v>0.843670361569465</v>
      </c>
      <c r="H3719" t="n">
        <v>0.0204142449018739</v>
      </c>
      <c r="I3719" t="n">
        <v>0.049731068242555</v>
      </c>
      <c r="J3719" t="n">
        <v>0.1568253423923526</v>
      </c>
      <c r="K3719" t="n">
        <v>0.4602001113224639</v>
      </c>
      <c r="L3719" t="b">
        <v>0</v>
      </c>
      <c r="M3719" t="b">
        <v>0</v>
      </c>
      <c r="N3719" t="inlineStr">
        <is>
          <t>alt</t>
        </is>
      </c>
      <c r="O3719" t="n">
        <v>-15</v>
      </c>
      <c r="P3719" t="n">
        <v>0.000618</v>
      </c>
      <c r="Q3719" t="n">
        <v>-100</v>
      </c>
      <c r="R3719" t="n">
        <v>0.02368</v>
      </c>
      <c r="S3719">
        <f>IMAGE("https://mitra.stanford.edu/kundaje/oak/projects/neuro-variants/variant_position/credible/roussos_2024/variant_figures/roussos_2024.adolescence.GLU/rs13235048_count_position.png",4,220,900)</f>
        <v/>
      </c>
      <c r="T3719">
        <f>IMAGE("https://mitra.stanford.edu/kundaje/oak/projects/neuro-variants/variant_position/credible/roussos_2024/variant_figures/roussos_2024.adolescence.GLU/rs13235048_profile_position.png",4,220,900)</f>
        <v/>
      </c>
    </row>
    <row r="3720">
      <c r="A3720" t="inlineStr">
        <is>
          <t>chr7</t>
        </is>
      </c>
      <c r="B3720" t="n">
        <v>82810877</v>
      </c>
      <c r="C3720" t="inlineStr">
        <is>
          <t>T</t>
        </is>
      </c>
      <c r="D3720" t="inlineStr">
        <is>
          <t>C</t>
        </is>
      </c>
      <c r="E3720" t="inlineStr">
        <is>
          <t>rs17284668</t>
        </is>
      </c>
      <c r="F3720" t="n">
        <v>-0.007007760356</v>
      </c>
      <c r="G3720" t="n">
        <v>0.6652099130987704</v>
      </c>
      <c r="H3720" t="n">
        <v>0.0185100971244019</v>
      </c>
      <c r="I3720" t="n">
        <v>0.08280818234458071</v>
      </c>
      <c r="J3720" t="n">
        <v>0.2025362396496416</v>
      </c>
      <c r="K3720" t="n">
        <v>0.3819798736786247</v>
      </c>
      <c r="L3720" t="b">
        <v>0</v>
      </c>
      <c r="M3720" t="b">
        <v>0</v>
      </c>
      <c r="N3720" t="inlineStr">
        <is>
          <t>ref</t>
        </is>
      </c>
      <c r="O3720" t="n">
        <v>-5</v>
      </c>
      <c r="P3720" t="n">
        <v>0.0003662</v>
      </c>
      <c r="Q3720" t="n">
        <v>-10</v>
      </c>
      <c r="R3720" t="n">
        <v>0.02148</v>
      </c>
      <c r="S3720">
        <f>IMAGE("https://mitra.stanford.edu/kundaje/oak/projects/neuro-variants/variant_position/credible/roussos_2024/variant_figures/roussos_2024.adolescence.GLU/rs17284668_count_position.png",4,220,900)</f>
        <v/>
      </c>
      <c r="T3720">
        <f>IMAGE("https://mitra.stanford.edu/kundaje/oak/projects/neuro-variants/variant_position/credible/roussos_2024/variant_figures/roussos_2024.adolescence.GLU/rs17284668_profile_position.png",4,220,900)</f>
        <v/>
      </c>
    </row>
    <row r="3721">
      <c r="A3721" t="inlineStr">
        <is>
          <t>chr7</t>
        </is>
      </c>
      <c r="B3721" t="n">
        <v>82815056</v>
      </c>
      <c r="C3721" t="inlineStr">
        <is>
          <t>G</t>
        </is>
      </c>
      <c r="D3721" t="inlineStr">
        <is>
          <t>A</t>
        </is>
      </c>
      <c r="E3721" t="inlineStr">
        <is>
          <t>rs2189246</t>
        </is>
      </c>
      <c r="F3721" t="n">
        <v>0.00150537082</v>
      </c>
      <c r="G3721" t="n">
        <v>0.8570807286005266</v>
      </c>
      <c r="H3721" t="n">
        <v>0.016124562912768</v>
      </c>
      <c r="I3721" t="n">
        <v>0.1273066261462041</v>
      </c>
      <c r="J3721" t="n">
        <v>0.0030963556736752</v>
      </c>
      <c r="K3721" t="n">
        <v>0.9418028362738337</v>
      </c>
      <c r="L3721" t="b">
        <v>0</v>
      </c>
      <c r="M3721" t="b">
        <v>0</v>
      </c>
      <c r="N3721" t="inlineStr">
        <is>
          <t>alt</t>
        </is>
      </c>
      <c r="O3721" t="n">
        <v>75</v>
      </c>
      <c r="P3721" t="n">
        <v>0.004807</v>
      </c>
      <c r="Q3721" t="n">
        <v>-100</v>
      </c>
      <c r="R3721" t="n">
        <v>0.109</v>
      </c>
      <c r="S3721">
        <f>IMAGE("https://mitra.stanford.edu/kundaje/oak/projects/neuro-variants/variant_position/credible/roussos_2024/variant_figures/roussos_2024.adolescence.GLU/rs2189246_count_position.png",4,220,900)</f>
        <v/>
      </c>
      <c r="T3721">
        <f>IMAGE("https://mitra.stanford.edu/kundaje/oak/projects/neuro-variants/variant_position/credible/roussos_2024/variant_figures/roussos_2024.adolescence.GLU/rs2189246_profile_position.png",4,220,900)</f>
        <v/>
      </c>
    </row>
    <row r="3722">
      <c r="A3722" t="inlineStr">
        <is>
          <t>chr7</t>
        </is>
      </c>
      <c r="B3722" t="n">
        <v>82817929</v>
      </c>
      <c r="C3722" t="inlineStr">
        <is>
          <t>C</t>
        </is>
      </c>
      <c r="D3722" t="inlineStr">
        <is>
          <t>A</t>
        </is>
      </c>
      <c r="E3722" t="inlineStr">
        <is>
          <t>rs2189247</t>
        </is>
      </c>
      <c r="F3722" t="n">
        <v>-0.0020506967319999</v>
      </c>
      <c r="G3722" t="n">
        <v>0.867034463297973</v>
      </c>
      <c r="H3722" t="n">
        <v>0.0148675776803212</v>
      </c>
      <c r="I3722" t="n">
        <v>0.168449368709788</v>
      </c>
      <c r="J3722" t="n">
        <v>0.1979295711254473</v>
      </c>
      <c r="K3722" t="n">
        <v>0.4034052515883684</v>
      </c>
      <c r="L3722" t="b">
        <v>0</v>
      </c>
      <c r="M3722" t="b">
        <v>0</v>
      </c>
      <c r="N3722" t="inlineStr">
        <is>
          <t>ref</t>
        </is>
      </c>
      <c r="O3722" t="n">
        <v>-15</v>
      </c>
      <c r="P3722" t="n">
        <v>0.0009990000000000001</v>
      </c>
      <c r="Q3722" t="n">
        <v>100</v>
      </c>
      <c r="R3722" t="n">
        <v>0.0636</v>
      </c>
      <c r="S3722">
        <f>IMAGE("https://mitra.stanford.edu/kundaje/oak/projects/neuro-variants/variant_position/credible/roussos_2024/variant_figures/roussos_2024.adolescence.GLU/rs2189247_count_position.png",4,220,900)</f>
        <v/>
      </c>
      <c r="T3722">
        <f>IMAGE("https://mitra.stanford.edu/kundaje/oak/projects/neuro-variants/variant_position/credible/roussos_2024/variant_figures/roussos_2024.adolescence.GLU/rs2189247_profile_position.png",4,220,900)</f>
        <v/>
      </c>
    </row>
    <row r="3723">
      <c r="A3723" t="inlineStr">
        <is>
          <t>chr7</t>
        </is>
      </c>
      <c r="B3723" t="n">
        <v>82820719</v>
      </c>
      <c r="C3723" t="inlineStr">
        <is>
          <t>A</t>
        </is>
      </c>
      <c r="D3723" t="inlineStr">
        <is>
          <t>C</t>
        </is>
      </c>
      <c r="E3723" t="inlineStr">
        <is>
          <t>rs2715148</t>
        </is>
      </c>
      <c r="F3723" t="n">
        <v>-0.004237493346</v>
      </c>
      <c r="G3723" t="n">
        <v>0.7532799687992502</v>
      </c>
      <c r="H3723" t="n">
        <v>0.0167686285708541</v>
      </c>
      <c r="I3723" t="n">
        <v>0.1132416837441462</v>
      </c>
      <c r="J3723" t="n">
        <v>0.0935750976988089</v>
      </c>
      <c r="K3723" t="n">
        <v>0.5851968720052384</v>
      </c>
      <c r="L3723" t="b">
        <v>0</v>
      </c>
      <c r="M3723" t="b">
        <v>0</v>
      </c>
      <c r="N3723" t="inlineStr">
        <is>
          <t>ref</t>
        </is>
      </c>
      <c r="O3723" t="n">
        <v>30</v>
      </c>
      <c r="P3723" t="n">
        <v>0.001611</v>
      </c>
      <c r="Q3723" t="n">
        <v>85</v>
      </c>
      <c r="R3723" t="n">
        <v>0.02777</v>
      </c>
      <c r="S3723">
        <f>IMAGE("https://mitra.stanford.edu/kundaje/oak/projects/neuro-variants/variant_position/credible/roussos_2024/variant_figures/roussos_2024.adolescence.GLU/rs2715148_count_position.png",4,220,900)</f>
        <v/>
      </c>
      <c r="T3723">
        <f>IMAGE("https://mitra.stanford.edu/kundaje/oak/projects/neuro-variants/variant_position/credible/roussos_2024/variant_figures/roussos_2024.adolescence.GLU/rs2715148_profile_position.png",4,220,900)</f>
        <v/>
      </c>
    </row>
    <row r="3724">
      <c r="A3724" t="inlineStr">
        <is>
          <t>chr7</t>
        </is>
      </c>
      <c r="B3724" t="n">
        <v>82848332</v>
      </c>
      <c r="C3724" t="inlineStr">
        <is>
          <t>A</t>
        </is>
      </c>
      <c r="D3724" t="inlineStr">
        <is>
          <t>G</t>
        </is>
      </c>
      <c r="E3724" t="inlineStr">
        <is>
          <t>rs2522839</t>
        </is>
      </c>
      <c r="F3724" t="n">
        <v>-0.006586592988</v>
      </c>
      <c r="G3724" t="n">
        <v>0.6795319127618625</v>
      </c>
      <c r="H3724" t="n">
        <v>0.021318274728286</v>
      </c>
      <c r="I3724" t="n">
        <v>0.0477803338395958</v>
      </c>
      <c r="J3724" t="n">
        <v>0.0133641968693514</v>
      </c>
      <c r="K3724" t="n">
        <v>0.8527025158824063</v>
      </c>
      <c r="L3724" t="b">
        <v>0</v>
      </c>
      <c r="M3724" t="b">
        <v>0</v>
      </c>
      <c r="N3724" t="inlineStr">
        <is>
          <t>ref</t>
        </is>
      </c>
      <c r="O3724" t="n">
        <v>45</v>
      </c>
      <c r="P3724" t="n">
        <v>0.007416</v>
      </c>
      <c r="Q3724" t="n">
        <v>100</v>
      </c>
      <c r="R3724" t="n">
        <v>0.049</v>
      </c>
      <c r="S3724">
        <f>IMAGE("https://mitra.stanford.edu/kundaje/oak/projects/neuro-variants/variant_position/credible/roussos_2024/variant_figures/roussos_2024.adolescence.GLU/rs2522839_count_position.png",4,220,900)</f>
        <v/>
      </c>
      <c r="T3724">
        <f>IMAGE("https://mitra.stanford.edu/kundaje/oak/projects/neuro-variants/variant_position/credible/roussos_2024/variant_figures/roussos_2024.adolescence.GLU/rs2522839_profile_position.png",4,220,900)</f>
        <v/>
      </c>
    </row>
    <row r="3725">
      <c r="A3725" t="inlineStr">
        <is>
          <t>chr7</t>
        </is>
      </c>
      <c r="B3725" t="n">
        <v>82849280</v>
      </c>
      <c r="C3725" t="inlineStr">
        <is>
          <t>C</t>
        </is>
      </c>
      <c r="D3725" t="inlineStr">
        <is>
          <t>T</t>
        </is>
      </c>
      <c r="E3725" t="inlineStr">
        <is>
          <t>rs2107069</t>
        </is>
      </c>
      <c r="F3725" t="n">
        <v>-0.0018660083599999</v>
      </c>
      <c r="G3725" t="n">
        <v>0.9070708558849822</v>
      </c>
      <c r="H3725" t="n">
        <v>0.024637659062572</v>
      </c>
      <c r="I3725" t="n">
        <v>0.0234225663687422</v>
      </c>
      <c r="J3725" t="n">
        <v>0.0039179544334182</v>
      </c>
      <c r="K3725" t="n">
        <v>0.92970502597467</v>
      </c>
      <c r="L3725" t="b">
        <v>0</v>
      </c>
      <c r="M3725" t="b">
        <v>0</v>
      </c>
      <c r="N3725" t="inlineStr">
        <is>
          <t>ref</t>
        </is>
      </c>
      <c r="O3725" t="n">
        <v>-90</v>
      </c>
      <c r="P3725" t="n">
        <v>0.02153</v>
      </c>
      <c r="Q3725" t="n">
        <v>75</v>
      </c>
      <c r="R3725" t="n">
        <v>0.02757</v>
      </c>
      <c r="S3725">
        <f>IMAGE("https://mitra.stanford.edu/kundaje/oak/projects/neuro-variants/variant_position/credible/roussos_2024/variant_figures/roussos_2024.adolescence.GLU/rs2107069_count_position.png",4,220,900)</f>
        <v/>
      </c>
      <c r="T3725">
        <f>IMAGE("https://mitra.stanford.edu/kundaje/oak/projects/neuro-variants/variant_position/credible/roussos_2024/variant_figures/roussos_2024.adolescence.GLU/rs2107069_profile_position.png",4,220,900)</f>
        <v/>
      </c>
    </row>
    <row r="3726">
      <c r="A3726" t="inlineStr">
        <is>
          <t>chr7</t>
        </is>
      </c>
      <c r="B3726" t="n">
        <v>82874126</v>
      </c>
      <c r="C3726" t="inlineStr">
        <is>
          <t>T</t>
        </is>
      </c>
      <c r="D3726" t="inlineStr">
        <is>
          <t>C</t>
        </is>
      </c>
      <c r="E3726" t="inlineStr">
        <is>
          <t>rs1986742</t>
        </is>
      </c>
      <c r="F3726" t="n">
        <v>0.056407913</v>
      </c>
      <c r="G3726" t="n">
        <v>0.0484799864361997</v>
      </c>
      <c r="H3726" t="n">
        <v>0.0108781784537176</v>
      </c>
      <c r="I3726" t="n">
        <v>0.4501145091420516</v>
      </c>
      <c r="J3726" t="n">
        <v>0.0763158082745711</v>
      </c>
      <c r="K3726" t="n">
        <v>0.6228906613971027</v>
      </c>
      <c r="L3726" t="b">
        <v>0</v>
      </c>
      <c r="M3726" t="b">
        <v>0</v>
      </c>
      <c r="N3726" t="inlineStr">
        <is>
          <t>alt</t>
        </is>
      </c>
      <c r="O3726" t="n">
        <v>65</v>
      </c>
      <c r="P3726" t="n">
        <v>0.01625</v>
      </c>
      <c r="Q3726" t="n">
        <v>100</v>
      </c>
      <c r="R3726" t="n">
        <v>0.01654</v>
      </c>
      <c r="S3726">
        <f>IMAGE("https://mitra.stanford.edu/kundaje/oak/projects/neuro-variants/variant_position/credible/roussos_2024/variant_figures/roussos_2024.adolescence.GLU/rs1986742_count_position.png",4,220,900)</f>
        <v/>
      </c>
      <c r="T3726">
        <f>IMAGE("https://mitra.stanford.edu/kundaje/oak/projects/neuro-variants/variant_position/credible/roussos_2024/variant_figures/roussos_2024.adolescence.GLU/rs1986742_profile_position.png",4,220,900)</f>
        <v/>
      </c>
    </row>
    <row r="3727">
      <c r="A3727" t="inlineStr">
        <is>
          <t>chr7</t>
        </is>
      </c>
      <c r="B3727" t="n">
        <v>82965320</v>
      </c>
      <c r="C3727" t="inlineStr">
        <is>
          <t>T</t>
        </is>
      </c>
      <c r="D3727" t="inlineStr">
        <is>
          <t>C</t>
        </is>
      </c>
      <c r="E3727" t="inlineStr">
        <is>
          <t>rs11761974</t>
        </is>
      </c>
      <c r="F3727" t="n">
        <v>-0.001933647628</v>
      </c>
      <c r="G3727" t="n">
        <v>0.7042028641822948</v>
      </c>
      <c r="H3727" t="n">
        <v>0.0317262245740286</v>
      </c>
      <c r="I3727" t="n">
        <v>0.0067544064067731</v>
      </c>
      <c r="J3727" t="n">
        <v>0.0208671796300662</v>
      </c>
      <c r="K3727" t="n">
        <v>0.8230565354317213</v>
      </c>
      <c r="L3727" t="b">
        <v>1</v>
      </c>
      <c r="M3727" t="b">
        <v>0</v>
      </c>
      <c r="N3727" t="inlineStr">
        <is>
          <t>ref</t>
        </is>
      </c>
      <c r="O3727" t="n">
        <v>-90</v>
      </c>
      <c r="P3727" t="n">
        <v>0.02507</v>
      </c>
      <c r="Q3727" t="n">
        <v>0</v>
      </c>
      <c r="R3727" t="n">
        <v>0</v>
      </c>
      <c r="S3727">
        <f>IMAGE("https://mitra.stanford.edu/kundaje/oak/projects/neuro-variants/variant_position/credible/roussos_2024/variant_figures/roussos_2024.adolescence.GLU/rs11761974_count_position.png",4,220,900)</f>
        <v/>
      </c>
      <c r="T3727">
        <f>IMAGE("https://mitra.stanford.edu/kundaje/oak/projects/neuro-variants/variant_position/credible/roussos_2024/variant_figures/roussos_2024.adolescence.GLU/rs11761974_profile_position.png",4,220,900)</f>
        <v/>
      </c>
    </row>
    <row r="3728">
      <c r="A3728" t="inlineStr">
        <is>
          <t>chr7</t>
        </is>
      </c>
      <c r="B3728" t="n">
        <v>82973122</v>
      </c>
      <c r="C3728" t="inlineStr">
        <is>
          <t>G</t>
        </is>
      </c>
      <c r="D3728" t="inlineStr">
        <is>
          <t>T</t>
        </is>
      </c>
      <c r="E3728" t="inlineStr">
        <is>
          <t>rs62458571</t>
        </is>
      </c>
      <c r="F3728" t="n">
        <v>0.01637758038</v>
      </c>
      <c r="G3728" t="n">
        <v>0.3595534429035997</v>
      </c>
      <c r="H3728" t="n">
        <v>0.024421390826606</v>
      </c>
      <c r="I3728" t="n">
        <v>0.0238010193178206</v>
      </c>
      <c r="J3728" t="n">
        <v>0.0224817998013873</v>
      </c>
      <c r="K3728" t="n">
        <v>0.8088247930130578</v>
      </c>
      <c r="L3728" t="b">
        <v>0</v>
      </c>
      <c r="M3728" t="b">
        <v>0</v>
      </c>
      <c r="N3728" t="inlineStr">
        <is>
          <t>alt</t>
        </is>
      </c>
      <c r="O3728" t="n">
        <v>0</v>
      </c>
      <c r="P3728" t="n">
        <v>0</v>
      </c>
      <c r="Q3728" t="n">
        <v>80</v>
      </c>
      <c r="R3728" t="n">
        <v>0.0481</v>
      </c>
      <c r="S3728">
        <f>IMAGE("https://mitra.stanford.edu/kundaje/oak/projects/neuro-variants/variant_position/credible/roussos_2024/variant_figures/roussos_2024.adolescence.GLU/rs62458571_count_position.png",4,220,900)</f>
        <v/>
      </c>
      <c r="T3728">
        <f>IMAGE("https://mitra.stanford.edu/kundaje/oak/projects/neuro-variants/variant_position/credible/roussos_2024/variant_figures/roussos_2024.adolescence.GLU/rs62458571_profile_position.png",4,220,900)</f>
        <v/>
      </c>
    </row>
    <row r="3729">
      <c r="A3729" t="inlineStr">
        <is>
          <t>chr7</t>
        </is>
      </c>
      <c r="B3729" t="n">
        <v>86603267</v>
      </c>
      <c r="C3729" t="inlineStr">
        <is>
          <t>C</t>
        </is>
      </c>
      <c r="D3729" t="inlineStr">
        <is>
          <t>T</t>
        </is>
      </c>
      <c r="E3729" t="inlineStr">
        <is>
          <t>rs13244678</t>
        </is>
      </c>
      <c r="F3729" t="n">
        <v>-0.002241871628</v>
      </c>
      <c r="G3729" t="n">
        <v>0.8850180971594405</v>
      </c>
      <c r="H3729" t="n">
        <v>0.0183307930734061</v>
      </c>
      <c r="I3729" t="n">
        <v>0.0798072320259707</v>
      </c>
      <c r="J3729" t="n">
        <v>0.014561587757464</v>
      </c>
      <c r="K3729" t="n">
        <v>0.8453354387801444</v>
      </c>
      <c r="L3729" t="b">
        <v>0</v>
      </c>
      <c r="M3729" t="b">
        <v>0</v>
      </c>
      <c r="N3729" t="inlineStr">
        <is>
          <t>ref</t>
        </is>
      </c>
      <c r="O3729" t="n">
        <v>-35</v>
      </c>
      <c r="P3729" t="n">
        <v>0.002289</v>
      </c>
      <c r="Q3729" t="n">
        <v>-70</v>
      </c>
      <c r="R3729" t="n">
        <v>0.0402</v>
      </c>
      <c r="S3729">
        <f>IMAGE("https://mitra.stanford.edu/kundaje/oak/projects/neuro-variants/variant_position/credible/roussos_2024/variant_figures/roussos_2024.adolescence.GLU/rs13244678_count_position.png",4,220,900)</f>
        <v/>
      </c>
      <c r="T3729">
        <f>IMAGE("https://mitra.stanford.edu/kundaje/oak/projects/neuro-variants/variant_position/credible/roussos_2024/variant_figures/roussos_2024.adolescence.GLU/rs13244678_profile_position.png",4,220,900)</f>
        <v/>
      </c>
    </row>
    <row r="3730">
      <c r="A3730" t="inlineStr">
        <is>
          <t>chr7</t>
        </is>
      </c>
      <c r="B3730" t="n">
        <v>86612034</v>
      </c>
      <c r="C3730" t="inlineStr">
        <is>
          <t>G</t>
        </is>
      </c>
      <c r="D3730" t="inlineStr">
        <is>
          <t>T</t>
        </is>
      </c>
      <c r="E3730" t="inlineStr">
        <is>
          <t>rs13231757</t>
        </is>
      </c>
      <c r="F3730" t="n">
        <v>-0.08818598800000001</v>
      </c>
      <c r="G3730" t="n">
        <v>0.0132972330316582</v>
      </c>
      <c r="H3730" t="n">
        <v>0.0214886027332662</v>
      </c>
      <c r="I3730" t="n">
        <v>0.044447649394133</v>
      </c>
      <c r="J3730" t="n">
        <v>0.052480871037572</v>
      </c>
      <c r="K3730" t="n">
        <v>0.6872301237168077</v>
      </c>
      <c r="L3730" t="b">
        <v>1</v>
      </c>
      <c r="M3730" t="b">
        <v>0</v>
      </c>
      <c r="N3730" t="inlineStr">
        <is>
          <t>ref</t>
        </is>
      </c>
      <c r="O3730" t="n">
        <v>40</v>
      </c>
      <c r="P3730" t="n">
        <v>0.006348</v>
      </c>
      <c r="Q3730" t="n">
        <v>10</v>
      </c>
      <c r="R3730" t="n">
        <v>0.01465</v>
      </c>
      <c r="S3730">
        <f>IMAGE("https://mitra.stanford.edu/kundaje/oak/projects/neuro-variants/variant_position/credible/roussos_2024/variant_figures/roussos_2024.adolescence.GLU/rs13231757_count_position.png",4,220,900)</f>
        <v/>
      </c>
      <c r="T3730">
        <f>IMAGE("https://mitra.stanford.edu/kundaje/oak/projects/neuro-variants/variant_position/credible/roussos_2024/variant_figures/roussos_2024.adolescence.GLU/rs13231757_profile_position.png",4,220,900)</f>
        <v/>
      </c>
    </row>
    <row r="3731">
      <c r="A3731" t="inlineStr">
        <is>
          <t>chr7</t>
        </is>
      </c>
      <c r="B3731" t="n">
        <v>87583088</v>
      </c>
      <c r="C3731" t="inlineStr">
        <is>
          <t>G</t>
        </is>
      </c>
      <c r="D3731" t="inlineStr">
        <is>
          <t>A</t>
        </is>
      </c>
      <c r="E3731" t="inlineStr">
        <is>
          <t>rs117773249</t>
        </is>
      </c>
      <c r="F3731" t="n">
        <v>-0.01390909752</v>
      </c>
      <c r="G3731" t="n">
        <v>0.4605503501551455</v>
      </c>
      <c r="H3731" t="n">
        <v>0.0110005891668169</v>
      </c>
      <c r="I3731" t="n">
        <v>0.4280724319054793</v>
      </c>
      <c r="J3731" t="n">
        <v>0.0280629558980073</v>
      </c>
      <c r="K3731" t="n">
        <v>0.7833324451273364</v>
      </c>
      <c r="L3731" t="b">
        <v>0</v>
      </c>
      <c r="M3731" t="b">
        <v>0</v>
      </c>
      <c r="N3731" t="inlineStr">
        <is>
          <t>ref</t>
        </is>
      </c>
      <c r="O3731" t="n">
        <v>100</v>
      </c>
      <c r="P3731" t="n">
        <v>0.011536</v>
      </c>
      <c r="Q3731" t="n">
        <v>-90</v>
      </c>
      <c r="R3731" t="n">
        <v>0.0746</v>
      </c>
      <c r="S3731">
        <f>IMAGE("https://mitra.stanford.edu/kundaje/oak/projects/neuro-variants/variant_position/credible/roussos_2024/variant_figures/roussos_2024.adolescence.GLU/rs117773249_count_position.png",4,220,900)</f>
        <v/>
      </c>
      <c r="T3731">
        <f>IMAGE("https://mitra.stanford.edu/kundaje/oak/projects/neuro-variants/variant_position/credible/roussos_2024/variant_figures/roussos_2024.adolescence.GLU/rs117773249_profile_position.png",4,220,900)</f>
        <v/>
      </c>
    </row>
    <row r="3732">
      <c r="A3732" t="inlineStr">
        <is>
          <t>chr7</t>
        </is>
      </c>
      <c r="B3732" t="n">
        <v>87591900</v>
      </c>
      <c r="C3732" t="inlineStr">
        <is>
          <t>A</t>
        </is>
      </c>
      <c r="D3732" t="inlineStr">
        <is>
          <t>G</t>
        </is>
      </c>
      <c r="E3732" t="inlineStr">
        <is>
          <t>rs1858923</t>
        </is>
      </c>
      <c r="F3732" t="n">
        <v>0.039746129</v>
      </c>
      <c r="G3732" t="n">
        <v>0.1018398303753156</v>
      </c>
      <c r="H3732" t="n">
        <v>0.01562569822796</v>
      </c>
      <c r="I3732" t="n">
        <v>0.1511806239433287</v>
      </c>
      <c r="J3732" t="n">
        <v>0.1326046109551263</v>
      </c>
      <c r="K3732" t="n">
        <v>0.5126178089955351</v>
      </c>
      <c r="L3732" t="b">
        <v>0</v>
      </c>
      <c r="M3732" t="b">
        <v>0</v>
      </c>
      <c r="N3732" t="inlineStr">
        <is>
          <t>alt</t>
        </is>
      </c>
      <c r="O3732" t="n">
        <v>-10</v>
      </c>
      <c r="P3732" t="n">
        <v>0.001923</v>
      </c>
      <c r="Q3732" t="n">
        <v>-70</v>
      </c>
      <c r="R3732" t="n">
        <v>0.04926</v>
      </c>
      <c r="S3732">
        <f>IMAGE("https://mitra.stanford.edu/kundaje/oak/projects/neuro-variants/variant_position/credible/roussos_2024/variant_figures/roussos_2024.adolescence.GLU/rs1858923_count_position.png",4,220,900)</f>
        <v/>
      </c>
      <c r="T3732">
        <f>IMAGE("https://mitra.stanford.edu/kundaje/oak/projects/neuro-variants/variant_position/credible/roussos_2024/variant_figures/roussos_2024.adolescence.GLU/rs1858923_profile_position.png",4,220,900)</f>
        <v/>
      </c>
    </row>
    <row r="3733">
      <c r="A3733" t="inlineStr">
        <is>
          <t>chr7</t>
        </is>
      </c>
      <c r="B3733" t="n">
        <v>87714706</v>
      </c>
      <c r="C3733" t="inlineStr">
        <is>
          <t>T</t>
        </is>
      </c>
      <c r="D3733" t="inlineStr">
        <is>
          <t>C</t>
        </is>
      </c>
      <c r="E3733" t="inlineStr">
        <is>
          <t>rs28656907</t>
        </is>
      </c>
      <c r="F3733" t="n">
        <v>0.1076059732</v>
      </c>
      <c r="G3733" t="n">
        <v>0.00593473643936</v>
      </c>
      <c r="H3733" t="n">
        <v>0.0176884610050735</v>
      </c>
      <c r="I3733" t="n">
        <v>0.0943266416981242</v>
      </c>
      <c r="J3733" t="n">
        <v>0.2400868751384215</v>
      </c>
      <c r="K3733" t="n">
        <v>0.3428382349260115</v>
      </c>
      <c r="L3733" t="b">
        <v>1</v>
      </c>
      <c r="M3733" t="b">
        <v>1</v>
      </c>
      <c r="N3733" t="inlineStr">
        <is>
          <t>alt</t>
        </is>
      </c>
      <c r="O3733" t="n">
        <v>100</v>
      </c>
      <c r="P3733" t="n">
        <v>0.02765</v>
      </c>
      <c r="Q3733" t="n">
        <v>100</v>
      </c>
      <c r="R3733" t="n">
        <v>0.2542</v>
      </c>
      <c r="S3733">
        <f>IMAGE("https://mitra.stanford.edu/kundaje/oak/projects/neuro-variants/variant_position/credible/roussos_2024/variant_figures/roussos_2024.adolescence.GLU/rs28656907_count_position.png",4,220,900)</f>
        <v/>
      </c>
      <c r="T3733">
        <f>IMAGE("https://mitra.stanford.edu/kundaje/oak/projects/neuro-variants/variant_position/credible/roussos_2024/variant_figures/roussos_2024.adolescence.GLU/rs28656907_profile_position.png",4,220,900)</f>
        <v/>
      </c>
    </row>
    <row r="3734">
      <c r="A3734" t="inlineStr">
        <is>
          <t>chr7</t>
        </is>
      </c>
      <c r="B3734" t="n">
        <v>87801354</v>
      </c>
      <c r="C3734" t="inlineStr">
        <is>
          <t>G</t>
        </is>
      </c>
      <c r="D3734" t="inlineStr">
        <is>
          <t>A</t>
        </is>
      </c>
      <c r="E3734" t="inlineStr">
        <is>
          <t>rs12704370</t>
        </is>
      </c>
      <c r="F3734" t="n">
        <v>0.01754777144</v>
      </c>
      <c r="G3734" t="n">
        <v>0.3599484832906359</v>
      </c>
      <c r="H3734" t="n">
        <v>0.0212449303511281</v>
      </c>
      <c r="I3734" t="n">
        <v>0.0505664976116443</v>
      </c>
      <c r="J3734" t="n">
        <v>0.0511734573590243</v>
      </c>
      <c r="K3734" t="n">
        <v>0.698817085266493</v>
      </c>
      <c r="L3734" t="b">
        <v>0</v>
      </c>
      <c r="M3734" t="b">
        <v>0</v>
      </c>
      <c r="N3734" t="inlineStr">
        <is>
          <t>alt</t>
        </is>
      </c>
      <c r="O3734" t="n">
        <v>55</v>
      </c>
      <c r="P3734" t="n">
        <v>0.00232</v>
      </c>
      <c r="Q3734" t="n">
        <v>10</v>
      </c>
      <c r="R3734" t="n">
        <v>0.01221</v>
      </c>
      <c r="S3734">
        <f>IMAGE("https://mitra.stanford.edu/kundaje/oak/projects/neuro-variants/variant_position/credible/roussos_2024/variant_figures/roussos_2024.adolescence.GLU/rs12704370_count_position.png",4,220,900)</f>
        <v/>
      </c>
      <c r="T3734">
        <f>IMAGE("https://mitra.stanford.edu/kundaje/oak/projects/neuro-variants/variant_position/credible/roussos_2024/variant_figures/roussos_2024.adolescence.GLU/rs12704370_profile_position.png",4,220,900)</f>
        <v/>
      </c>
    </row>
    <row r="3735">
      <c r="A3735" t="inlineStr">
        <is>
          <t>chr7</t>
        </is>
      </c>
      <c r="B3735" t="n">
        <v>87904753</v>
      </c>
      <c r="C3735" t="inlineStr">
        <is>
          <t>A</t>
        </is>
      </c>
      <c r="D3735" t="inlineStr">
        <is>
          <t>C</t>
        </is>
      </c>
      <c r="E3735" t="inlineStr">
        <is>
          <t>rs77491588</t>
        </is>
      </c>
      <c r="F3735" t="n">
        <v>0.0034688612199999</v>
      </c>
      <c r="G3735" t="n">
        <v>0.7836397675897951</v>
      </c>
      <c r="H3735" t="n">
        <v>0.0173101242185237</v>
      </c>
      <c r="I3735" t="n">
        <v>0.095902574999358</v>
      </c>
      <c r="J3735" t="n">
        <v>0.0228018661008351</v>
      </c>
      <c r="K3735" t="n">
        <v>0.8116109092388791</v>
      </c>
      <c r="L3735" t="b">
        <v>0</v>
      </c>
      <c r="M3735" t="b">
        <v>0</v>
      </c>
      <c r="N3735" t="inlineStr">
        <is>
          <t>alt</t>
        </is>
      </c>
      <c r="O3735" t="n">
        <v>95</v>
      </c>
      <c r="P3735" t="n">
        <v>0.05994</v>
      </c>
      <c r="Q3735" t="n">
        <v>-25</v>
      </c>
      <c r="R3735" t="n">
        <v>0.01453</v>
      </c>
      <c r="S3735">
        <f>IMAGE("https://mitra.stanford.edu/kundaje/oak/projects/neuro-variants/variant_position/credible/roussos_2024/variant_figures/roussos_2024.adolescence.GLU/rs77491588_count_position.png",4,220,900)</f>
        <v/>
      </c>
      <c r="T3735">
        <f>IMAGE("https://mitra.stanford.edu/kundaje/oak/projects/neuro-variants/variant_position/credible/roussos_2024/variant_figures/roussos_2024.adolescence.GLU/rs77491588_profile_position.png",4,220,900)</f>
        <v/>
      </c>
    </row>
    <row r="3736">
      <c r="A3736" t="inlineStr">
        <is>
          <t>chr7</t>
        </is>
      </c>
      <c r="B3736" t="n">
        <v>94589318</v>
      </c>
      <c r="C3736" t="inlineStr">
        <is>
          <t>C</t>
        </is>
      </c>
      <c r="D3736" t="inlineStr">
        <is>
          <t>T</t>
        </is>
      </c>
      <c r="E3736" t="inlineStr">
        <is>
          <t>rs79065506</t>
        </is>
      </c>
      <c r="F3736" t="n">
        <v>0.00523698031</v>
      </c>
      <c r="G3736" t="n">
        <v>0.6407810686900623</v>
      </c>
      <c r="H3736" t="n">
        <v>0.0270794482828326</v>
      </c>
      <c r="I3736" t="n">
        <v>0.0146234960740851</v>
      </c>
      <c r="J3736" t="n">
        <v>0.07974366118696009</v>
      </c>
      <c r="K3736" t="n">
        <v>0.6291097950363987</v>
      </c>
      <c r="L3736" t="b">
        <v>1</v>
      </c>
      <c r="M3736" t="b">
        <v>0</v>
      </c>
      <c r="N3736" t="inlineStr">
        <is>
          <t>alt</t>
        </is>
      </c>
      <c r="O3736" t="n">
        <v>-50</v>
      </c>
      <c r="P3736" t="n">
        <v>0.000536</v>
      </c>
      <c r="Q3736" t="n">
        <v>-95</v>
      </c>
      <c r="R3736" t="n">
        <v>0.01997</v>
      </c>
      <c r="S3736">
        <f>IMAGE("https://mitra.stanford.edu/kundaje/oak/projects/neuro-variants/variant_position/credible/roussos_2024/variant_figures/roussos_2024.adolescence.GLU/rs79065506_count_position.png",4,220,900)</f>
        <v/>
      </c>
      <c r="T3736">
        <f>IMAGE("https://mitra.stanford.edu/kundaje/oak/projects/neuro-variants/variant_position/credible/roussos_2024/variant_figures/roussos_2024.adolescence.GLU/rs79065506_profile_position.png",4,220,900)</f>
        <v/>
      </c>
    </row>
    <row r="3737">
      <c r="A3737" t="inlineStr">
        <is>
          <t>chr7</t>
        </is>
      </c>
      <c r="B3737" t="n">
        <v>94589324</v>
      </c>
      <c r="C3737" t="inlineStr">
        <is>
          <t>G</t>
        </is>
      </c>
      <c r="D3737" t="inlineStr">
        <is>
          <t>T</t>
        </is>
      </c>
      <c r="E3737" t="inlineStr">
        <is>
          <t>rs78742611</t>
        </is>
      </c>
      <c r="F3737" t="n">
        <v>0.005446397182</v>
      </c>
      <c r="G3737" t="n">
        <v>0.7008739804247007</v>
      </c>
      <c r="H3737" t="n">
        <v>0.0274669042029464</v>
      </c>
      <c r="I3737" t="n">
        <v>0.0133735391052141</v>
      </c>
      <c r="J3737" t="n">
        <v>0.0797050817669373</v>
      </c>
      <c r="K3737" t="n">
        <v>0.6295588310034188</v>
      </c>
      <c r="L3737" t="b">
        <v>1</v>
      </c>
      <c r="M3737" t="b">
        <v>0</v>
      </c>
      <c r="N3737" t="inlineStr">
        <is>
          <t>alt</t>
        </is>
      </c>
      <c r="O3737" t="n">
        <v>-60</v>
      </c>
      <c r="P3737" t="n">
        <v>0.000266</v>
      </c>
      <c r="Q3737" t="n">
        <v>-80</v>
      </c>
      <c r="R3737" t="n">
        <v>0.01697</v>
      </c>
      <c r="S3737">
        <f>IMAGE("https://mitra.stanford.edu/kundaje/oak/projects/neuro-variants/variant_position/credible/roussos_2024/variant_figures/roussos_2024.adolescence.GLU/rs78742611_count_position.png",4,220,900)</f>
        <v/>
      </c>
      <c r="T3737">
        <f>IMAGE("https://mitra.stanford.edu/kundaje/oak/projects/neuro-variants/variant_position/credible/roussos_2024/variant_figures/roussos_2024.adolescence.GLU/rs78742611_profile_position.png",4,220,900)</f>
        <v/>
      </c>
    </row>
    <row r="3738">
      <c r="A3738" t="inlineStr">
        <is>
          <t>chr7</t>
        </is>
      </c>
      <c r="B3738" t="n">
        <v>94605787</v>
      </c>
      <c r="C3738" t="inlineStr">
        <is>
          <t>C</t>
        </is>
      </c>
      <c r="D3738" t="inlineStr">
        <is>
          <t>A</t>
        </is>
      </c>
      <c r="E3738" t="inlineStr">
        <is>
          <t>rs6979891</t>
        </is>
      </c>
      <c r="F3738" t="n">
        <v>-0.0009921253799999</v>
      </c>
      <c r="G3738" t="n">
        <v>0.8052922607449586</v>
      </c>
      <c r="H3738" t="n">
        <v>0.0220797749959046</v>
      </c>
      <c r="I3738" t="n">
        <v>0.0346659835000406</v>
      </c>
      <c r="J3738" t="n">
        <v>0.0087132334555014</v>
      </c>
      <c r="K3738" t="n">
        <v>0.8935277864113522</v>
      </c>
      <c r="L3738" t="b">
        <v>0</v>
      </c>
      <c r="M3738" t="b">
        <v>0</v>
      </c>
      <c r="N3738" t="inlineStr">
        <is>
          <t>ref</t>
        </is>
      </c>
      <c r="O3738" t="n">
        <v>95</v>
      </c>
      <c r="P3738" t="n">
        <v>0.005287</v>
      </c>
      <c r="Q3738" t="n">
        <v>90</v>
      </c>
      <c r="R3738" t="n">
        <v>0.02672</v>
      </c>
      <c r="S3738">
        <f>IMAGE("https://mitra.stanford.edu/kundaje/oak/projects/neuro-variants/variant_position/credible/roussos_2024/variant_figures/roussos_2024.adolescence.GLU/rs6979891_count_position.png",4,220,900)</f>
        <v/>
      </c>
      <c r="T3738">
        <f>IMAGE("https://mitra.stanford.edu/kundaje/oak/projects/neuro-variants/variant_position/credible/roussos_2024/variant_figures/roussos_2024.adolescence.GLU/rs6979891_profile_position.png",4,220,900)</f>
        <v/>
      </c>
    </row>
    <row r="3739">
      <c r="A3739" t="inlineStr">
        <is>
          <t>chr7</t>
        </is>
      </c>
      <c r="B3739" t="n">
        <v>94627959</v>
      </c>
      <c r="C3739" t="inlineStr">
        <is>
          <t>G</t>
        </is>
      </c>
      <c r="D3739" t="inlineStr">
        <is>
          <t>A</t>
        </is>
      </c>
      <c r="E3739" t="inlineStr">
        <is>
          <t>rs883176</t>
        </is>
      </c>
      <c r="F3739" t="n">
        <v>0.0151829300599999</v>
      </c>
      <c r="G3739" t="n">
        <v>0.3763194878723524</v>
      </c>
      <c r="H3739" t="n">
        <v>0.0278904567319283</v>
      </c>
      <c r="I3739" t="n">
        <v>0.0121004806959897</v>
      </c>
      <c r="J3739" t="n">
        <v>0.0134785062620113</v>
      </c>
      <c r="K3739" t="n">
        <v>0.8569309839324671</v>
      </c>
      <c r="L3739" t="b">
        <v>1</v>
      </c>
      <c r="M3739" t="b">
        <v>0</v>
      </c>
      <c r="N3739" t="inlineStr">
        <is>
          <t>alt</t>
        </is>
      </c>
      <c r="O3739" t="n">
        <v>90</v>
      </c>
      <c r="P3739" t="n">
        <v>0.000824</v>
      </c>
      <c r="Q3739" t="n">
        <v>95</v>
      </c>
      <c r="R3739" t="n">
        <v>0.04297</v>
      </c>
      <c r="S3739">
        <f>IMAGE("https://mitra.stanford.edu/kundaje/oak/projects/neuro-variants/variant_position/credible/roussos_2024/variant_figures/roussos_2024.adolescence.GLU/rs883176_count_position.png",4,220,900)</f>
        <v/>
      </c>
      <c r="T3739">
        <f>IMAGE("https://mitra.stanford.edu/kundaje/oak/projects/neuro-variants/variant_position/credible/roussos_2024/variant_figures/roussos_2024.adolescence.GLU/rs883176_profile_position.png",4,220,900)</f>
        <v/>
      </c>
    </row>
    <row r="3740">
      <c r="A3740" t="inlineStr">
        <is>
          <t>chr7</t>
        </is>
      </c>
      <c r="B3740" t="n">
        <v>94643899</v>
      </c>
      <c r="C3740" t="inlineStr">
        <is>
          <t>G</t>
        </is>
      </c>
      <c r="D3740" t="inlineStr">
        <is>
          <t>T</t>
        </is>
      </c>
      <c r="E3740" t="inlineStr">
        <is>
          <t>rs17166402</t>
        </is>
      </c>
      <c r="F3740" t="n">
        <v>-0.01609390634</v>
      </c>
      <c r="G3740" t="n">
        <v>0.3825007197281693</v>
      </c>
      <c r="H3740" t="n">
        <v>0.0214066125010496</v>
      </c>
      <c r="I3740" t="n">
        <v>0.0403861525400495</v>
      </c>
      <c r="J3740" t="n">
        <v>0.021388716234077</v>
      </c>
      <c r="K3740" t="n">
        <v>0.8104685436732868</v>
      </c>
      <c r="L3740" t="b">
        <v>0</v>
      </c>
      <c r="M3740" t="b">
        <v>0</v>
      </c>
      <c r="N3740" t="inlineStr">
        <is>
          <t>ref</t>
        </is>
      </c>
      <c r="O3740" t="n">
        <v>-100</v>
      </c>
      <c r="P3740" t="n">
        <v>0.003006</v>
      </c>
      <c r="Q3740" t="n">
        <v>5</v>
      </c>
      <c r="R3740" t="n">
        <v>0.003754</v>
      </c>
      <c r="S3740">
        <f>IMAGE("https://mitra.stanford.edu/kundaje/oak/projects/neuro-variants/variant_position/credible/roussos_2024/variant_figures/roussos_2024.adolescence.GLU/rs17166402_count_position.png",4,220,900)</f>
        <v/>
      </c>
      <c r="T3740">
        <f>IMAGE("https://mitra.stanford.edu/kundaje/oak/projects/neuro-variants/variant_position/credible/roussos_2024/variant_figures/roussos_2024.adolescence.GLU/rs17166402_profile_position.png",4,220,900)</f>
        <v/>
      </c>
    </row>
    <row r="3741">
      <c r="A3741" t="inlineStr">
        <is>
          <t>chr7</t>
        </is>
      </c>
      <c r="B3741" t="n">
        <v>94643922</v>
      </c>
      <c r="C3741" t="inlineStr">
        <is>
          <t>G</t>
        </is>
      </c>
      <c r="D3741" t="inlineStr">
        <is>
          <t>A</t>
        </is>
      </c>
      <c r="E3741" t="inlineStr">
        <is>
          <t>rs17166404</t>
        </is>
      </c>
      <c r="F3741" t="n">
        <v>0.0012937031</v>
      </c>
      <c r="G3741" t="n">
        <v>0.7989720100742131</v>
      </c>
      <c r="H3741" t="n">
        <v>0.0193505704533038</v>
      </c>
      <c r="I3741" t="n">
        <v>0.0662432324128211</v>
      </c>
      <c r="J3741" t="n">
        <v>0.0239792528452321</v>
      </c>
      <c r="K3741" t="n">
        <v>0.7981522874116357</v>
      </c>
      <c r="L3741" t="b">
        <v>0</v>
      </c>
      <c r="M3741" t="b">
        <v>0</v>
      </c>
      <c r="N3741" t="inlineStr">
        <is>
          <t>alt</t>
        </is>
      </c>
      <c r="O3741" t="n">
        <v>-95</v>
      </c>
      <c r="P3741" t="n">
        <v>0.001915</v>
      </c>
      <c r="Q3741" t="n">
        <v>-20</v>
      </c>
      <c r="R3741" t="n">
        <v>0.02519</v>
      </c>
      <c r="S3741">
        <f>IMAGE("https://mitra.stanford.edu/kundaje/oak/projects/neuro-variants/variant_position/credible/roussos_2024/variant_figures/roussos_2024.adolescence.GLU/rs17166404_count_position.png",4,220,900)</f>
        <v/>
      </c>
      <c r="T3741">
        <f>IMAGE("https://mitra.stanford.edu/kundaje/oak/projects/neuro-variants/variant_position/credible/roussos_2024/variant_figures/roussos_2024.adolescence.GLU/rs17166404_profile_position.png",4,220,900)</f>
        <v/>
      </c>
    </row>
    <row r="3742">
      <c r="A3742" t="inlineStr">
        <is>
          <t>chr7</t>
        </is>
      </c>
      <c r="B3742" t="n">
        <v>94644326</v>
      </c>
      <c r="C3742" t="inlineStr">
        <is>
          <t>T</t>
        </is>
      </c>
      <c r="D3742" t="inlineStr">
        <is>
          <t>C</t>
        </is>
      </c>
      <c r="E3742" t="inlineStr">
        <is>
          <t>rs17166406</t>
        </is>
      </c>
      <c r="F3742" t="n">
        <v>0.0344969747999999</v>
      </c>
      <c r="G3742" t="n">
        <v>0.1372484039245821</v>
      </c>
      <c r="H3742" t="n">
        <v>0.0166221462885862</v>
      </c>
      <c r="I3742" t="n">
        <v>0.1223343364629464</v>
      </c>
      <c r="J3742" t="n">
        <v>0.09286352172950101</v>
      </c>
      <c r="K3742" t="n">
        <v>0.583803942541954</v>
      </c>
      <c r="L3742" t="b">
        <v>0</v>
      </c>
      <c r="M3742" t="b">
        <v>0</v>
      </c>
      <c r="N3742" t="inlineStr">
        <is>
          <t>alt</t>
        </is>
      </c>
      <c r="O3742" t="n">
        <v>45</v>
      </c>
      <c r="P3742" t="n">
        <v>0.002125</v>
      </c>
      <c r="Q3742" t="n">
        <v>60</v>
      </c>
      <c r="R3742" t="n">
        <v>0.0608</v>
      </c>
      <c r="S3742">
        <f>IMAGE("https://mitra.stanford.edu/kundaje/oak/projects/neuro-variants/variant_position/credible/roussos_2024/variant_figures/roussos_2024.adolescence.GLU/rs17166406_count_position.png",4,220,900)</f>
        <v/>
      </c>
      <c r="T3742">
        <f>IMAGE("https://mitra.stanford.edu/kundaje/oak/projects/neuro-variants/variant_position/credible/roussos_2024/variant_figures/roussos_2024.adolescence.GLU/rs17166406_profile_position.png",4,220,900)</f>
        <v/>
      </c>
    </row>
    <row r="3743">
      <c r="A3743" t="inlineStr">
        <is>
          <t>chr7</t>
        </is>
      </c>
      <c r="B3743" t="n">
        <v>94644720</v>
      </c>
      <c r="C3743" t="inlineStr">
        <is>
          <t>T</t>
        </is>
      </c>
      <c r="D3743" t="inlineStr">
        <is>
          <t>C</t>
        </is>
      </c>
      <c r="E3743" t="inlineStr">
        <is>
          <t>rs13241095</t>
        </is>
      </c>
      <c r="F3743" t="n">
        <v>0.07426055619999999</v>
      </c>
      <c r="G3743" t="n">
        <v>0.0224816048839073</v>
      </c>
      <c r="H3743" t="n">
        <v>0.0196334487291346</v>
      </c>
      <c r="I3743" t="n">
        <v>0.0614974232337222</v>
      </c>
      <c r="J3743" t="n">
        <v>0.1177286723678475</v>
      </c>
      <c r="K3743" t="n">
        <v>0.5347474613779191</v>
      </c>
      <c r="L3743" t="b">
        <v>0</v>
      </c>
      <c r="M3743" t="b">
        <v>0</v>
      </c>
      <c r="N3743" t="inlineStr">
        <is>
          <t>alt</t>
        </is>
      </c>
      <c r="O3743" t="n">
        <v>30</v>
      </c>
      <c r="P3743" t="n">
        <v>0.01494</v>
      </c>
      <c r="Q3743" t="n">
        <v>-30</v>
      </c>
      <c r="R3743" t="n">
        <v>0.04224</v>
      </c>
      <c r="S3743">
        <f>IMAGE("https://mitra.stanford.edu/kundaje/oak/projects/neuro-variants/variant_position/credible/roussos_2024/variant_figures/roussos_2024.adolescence.GLU/rs13241095_count_position.png",4,220,900)</f>
        <v/>
      </c>
      <c r="T3743">
        <f>IMAGE("https://mitra.stanford.edu/kundaje/oak/projects/neuro-variants/variant_position/credible/roussos_2024/variant_figures/roussos_2024.adolescence.GLU/rs13241095_profile_position.png",4,220,900)</f>
        <v/>
      </c>
    </row>
    <row r="3744">
      <c r="A3744" t="inlineStr">
        <is>
          <t>chr7</t>
        </is>
      </c>
      <c r="B3744" t="n">
        <v>94645049</v>
      </c>
      <c r="C3744" t="inlineStr">
        <is>
          <t>T</t>
        </is>
      </c>
      <c r="D3744" t="inlineStr">
        <is>
          <t>G</t>
        </is>
      </c>
      <c r="E3744" t="inlineStr">
        <is>
          <t>rs13241489</t>
        </is>
      </c>
      <c r="F3744" t="n">
        <v>-0.002083499474</v>
      </c>
      <c r="G3744" t="n">
        <v>0.8940642219092958</v>
      </c>
      <c r="H3744" t="n">
        <v>0.0209528858056726</v>
      </c>
      <c r="I3744" t="n">
        <v>0.045236945801262</v>
      </c>
      <c r="J3744" t="n">
        <v>0.058309221195819</v>
      </c>
      <c r="K3744" t="n">
        <v>0.6775165961653236</v>
      </c>
      <c r="L3744" t="b">
        <v>0</v>
      </c>
      <c r="M3744" t="b">
        <v>0</v>
      </c>
      <c r="N3744" t="inlineStr">
        <is>
          <t>ref</t>
        </is>
      </c>
      <c r="O3744" t="n">
        <v>-100</v>
      </c>
      <c r="P3744" t="n">
        <v>0.02737</v>
      </c>
      <c r="Q3744" t="n">
        <v>65</v>
      </c>
      <c r="R3744" t="n">
        <v>0.02138</v>
      </c>
      <c r="S3744">
        <f>IMAGE("https://mitra.stanford.edu/kundaje/oak/projects/neuro-variants/variant_position/credible/roussos_2024/variant_figures/roussos_2024.adolescence.GLU/rs13241489_count_position.png",4,220,900)</f>
        <v/>
      </c>
      <c r="T3744">
        <f>IMAGE("https://mitra.stanford.edu/kundaje/oak/projects/neuro-variants/variant_position/credible/roussos_2024/variant_figures/roussos_2024.adolescence.GLU/rs13241489_profile_position.png",4,220,900)</f>
        <v/>
      </c>
    </row>
    <row r="3745">
      <c r="A3745" t="inlineStr">
        <is>
          <t>chr7</t>
        </is>
      </c>
      <c r="B3745" t="n">
        <v>94652446</v>
      </c>
      <c r="C3745" t="inlineStr">
        <is>
          <t>T</t>
        </is>
      </c>
      <c r="D3745" t="inlineStr">
        <is>
          <t>C</t>
        </is>
      </c>
      <c r="E3745" t="inlineStr">
        <is>
          <t>rs13307062</t>
        </is>
      </c>
      <c r="F3745" t="n">
        <v>-0.0106314768599999</v>
      </c>
      <c r="G3745" t="n">
        <v>0.5451107102641168</v>
      </c>
      <c r="H3745" t="n">
        <v>0.0209260706975019</v>
      </c>
      <c r="I3745" t="n">
        <v>0.050355779764756</v>
      </c>
      <c r="J3745" t="n">
        <v>0.0612369705153209</v>
      </c>
      <c r="K3745" t="n">
        <v>0.6697033081867619</v>
      </c>
      <c r="L3745" t="b">
        <v>0</v>
      </c>
      <c r="M3745" t="b">
        <v>0</v>
      </c>
      <c r="N3745" t="inlineStr">
        <is>
          <t>ref</t>
        </is>
      </c>
      <c r="O3745" t="n">
        <v>35</v>
      </c>
      <c r="P3745" t="n">
        <v>0.000847</v>
      </c>
      <c r="Q3745" t="n">
        <v>-80</v>
      </c>
      <c r="R3745" t="n">
        <v>0.02684</v>
      </c>
      <c r="S3745">
        <f>IMAGE("https://mitra.stanford.edu/kundaje/oak/projects/neuro-variants/variant_position/credible/roussos_2024/variant_figures/roussos_2024.adolescence.GLU/rs13307062_count_position.png",4,220,900)</f>
        <v/>
      </c>
      <c r="T3745">
        <f>IMAGE("https://mitra.stanford.edu/kundaje/oak/projects/neuro-variants/variant_position/credible/roussos_2024/variant_figures/roussos_2024.adolescence.GLU/rs13307062_profile_position.png",4,220,900)</f>
        <v/>
      </c>
    </row>
    <row r="3746">
      <c r="A3746" t="inlineStr">
        <is>
          <t>chr7</t>
        </is>
      </c>
      <c r="B3746" t="n">
        <v>94782211</v>
      </c>
      <c r="C3746" t="inlineStr">
        <is>
          <t>T</t>
        </is>
      </c>
      <c r="D3746" t="inlineStr">
        <is>
          <t>C</t>
        </is>
      </c>
      <c r="E3746" t="inlineStr">
        <is>
          <t>rs34376444</t>
        </is>
      </c>
      <c r="F3746" t="n">
        <v>0.0484014402</v>
      </c>
      <c r="G3746" t="n">
        <v>0.0657121890491689</v>
      </c>
      <c r="H3746" t="n">
        <v>0.0105851521200618</v>
      </c>
      <c r="I3746" t="n">
        <v>0.4529671932749848</v>
      </c>
      <c r="J3746" t="n">
        <v>0.0083188660508247</v>
      </c>
      <c r="K3746" t="n">
        <v>0.8874263099293385</v>
      </c>
      <c r="L3746" t="b">
        <v>0</v>
      </c>
      <c r="M3746" t="b">
        <v>0</v>
      </c>
      <c r="N3746" t="inlineStr">
        <is>
          <t>alt</t>
        </is>
      </c>
      <c r="O3746" t="n">
        <v>-100</v>
      </c>
      <c r="P3746" t="n">
        <v>0.010826</v>
      </c>
      <c r="Q3746" t="n">
        <v>-95</v>
      </c>
      <c r="R3746" t="n">
        <v>0.02704</v>
      </c>
      <c r="S3746">
        <f>IMAGE("https://mitra.stanford.edu/kundaje/oak/projects/neuro-variants/variant_position/credible/roussos_2024/variant_figures/roussos_2024.adolescence.GLU/rs34376444_count_position.png",4,220,900)</f>
        <v/>
      </c>
      <c r="T3746">
        <f>IMAGE("https://mitra.stanford.edu/kundaje/oak/projects/neuro-variants/variant_position/credible/roussos_2024/variant_figures/roussos_2024.adolescence.GLU/rs34376444_profile_position.png",4,220,900)</f>
        <v/>
      </c>
    </row>
    <row r="3747">
      <c r="A3747" t="inlineStr">
        <is>
          <t>chr7</t>
        </is>
      </c>
      <c r="B3747" t="n">
        <v>94819397</v>
      </c>
      <c r="C3747" t="inlineStr">
        <is>
          <t>C</t>
        </is>
      </c>
      <c r="D3747" t="inlineStr">
        <is>
          <t>T</t>
        </is>
      </c>
      <c r="E3747" t="inlineStr">
        <is>
          <t>rs34578239</t>
        </is>
      </c>
      <c r="F3747" t="n">
        <v>-0.01167102286</v>
      </c>
      <c r="G3747" t="n">
        <v>0.5028603198526461</v>
      </c>
      <c r="H3747" t="n">
        <v>0.0074021015437741</v>
      </c>
      <c r="I3747" t="n">
        <v>0.8786735149059415</v>
      </c>
      <c r="J3747" t="n">
        <v>0.2156846775403476</v>
      </c>
      <c r="K3747" t="n">
        <v>0.3790834511342591</v>
      </c>
      <c r="L3747" t="b">
        <v>0</v>
      </c>
      <c r="M3747" t="b">
        <v>0</v>
      </c>
      <c r="N3747" t="inlineStr">
        <is>
          <t>ref</t>
        </is>
      </c>
      <c r="O3747" t="n">
        <v>5</v>
      </c>
      <c r="P3747" t="n">
        <v>0.001659</v>
      </c>
      <c r="Q3747" t="n">
        <v>70</v>
      </c>
      <c r="R3747" t="n">
        <v>0.0813</v>
      </c>
      <c r="S3747">
        <f>IMAGE("https://mitra.stanford.edu/kundaje/oak/projects/neuro-variants/variant_position/credible/roussos_2024/variant_figures/roussos_2024.adolescence.GLU/rs34578239_count_position.png",4,220,900)</f>
        <v/>
      </c>
      <c r="T3747">
        <f>IMAGE("https://mitra.stanford.edu/kundaje/oak/projects/neuro-variants/variant_position/credible/roussos_2024/variant_figures/roussos_2024.adolescence.GLU/rs34578239_profile_position.png",4,220,900)</f>
        <v/>
      </c>
    </row>
    <row r="3748">
      <c r="A3748" t="inlineStr">
        <is>
          <t>chr7</t>
        </is>
      </c>
      <c r="B3748" t="n">
        <v>100668458</v>
      </c>
      <c r="C3748" t="inlineStr">
        <is>
          <t>T</t>
        </is>
      </c>
      <c r="D3748" t="inlineStr">
        <is>
          <t>C</t>
        </is>
      </c>
      <c r="E3748" t="inlineStr">
        <is>
          <t>rs221786</t>
        </is>
      </c>
      <c r="F3748" t="n">
        <v>0.0430501076</v>
      </c>
      <c r="G3748" t="n">
        <v>0.0912389626688917</v>
      </c>
      <c r="H3748" t="n">
        <v>0.009462310082358399</v>
      </c>
      <c r="I3748" t="n">
        <v>0.6100649688089701</v>
      </c>
      <c r="J3748" t="n">
        <v>0.2859663787498839</v>
      </c>
      <c r="K3748" t="n">
        <v>0.2876304737240342</v>
      </c>
      <c r="L3748" t="b">
        <v>0</v>
      </c>
      <c r="M3748" t="b">
        <v>0</v>
      </c>
      <c r="N3748" t="inlineStr">
        <is>
          <t>alt</t>
        </is>
      </c>
      <c r="O3748" t="n">
        <v>-95</v>
      </c>
      <c r="P3748" t="n">
        <v>0.002459</v>
      </c>
      <c r="Q3748" t="n">
        <v>-100</v>
      </c>
      <c r="R3748" t="n">
        <v>0.0723</v>
      </c>
      <c r="S3748">
        <f>IMAGE("https://mitra.stanford.edu/kundaje/oak/projects/neuro-variants/variant_position/credible/roussos_2024/variant_figures/roussos_2024.adolescence.GLU/rs221786_count_position.png",4,220,900)</f>
        <v/>
      </c>
      <c r="T3748">
        <f>IMAGE("https://mitra.stanford.edu/kundaje/oak/projects/neuro-variants/variant_position/credible/roussos_2024/variant_figures/roussos_2024.adolescence.GLU/rs221786_profile_position.png",4,220,900)</f>
        <v/>
      </c>
    </row>
    <row r="3749">
      <c r="A3749" t="inlineStr">
        <is>
          <t>chr7</t>
        </is>
      </c>
      <c r="B3749" t="n">
        <v>100681034</v>
      </c>
      <c r="C3749" t="inlineStr">
        <is>
          <t>A</t>
        </is>
      </c>
      <c r="D3749" t="inlineStr">
        <is>
          <t>G</t>
        </is>
      </c>
      <c r="E3749" t="inlineStr">
        <is>
          <t>rs221792</t>
        </is>
      </c>
      <c r="F3749" t="n">
        <v>0.0706756986</v>
      </c>
      <c r="G3749" t="n">
        <v>0.0247447432654461</v>
      </c>
      <c r="H3749" t="n">
        <v>0.014461688458666</v>
      </c>
      <c r="I3749" t="n">
        <v>0.1916031659403641</v>
      </c>
      <c r="J3749" t="n">
        <v>0.6123382700702289</v>
      </c>
      <c r="K3749" t="n">
        <v>0.0342302547465178</v>
      </c>
      <c r="L3749" t="b">
        <v>0</v>
      </c>
      <c r="M3749" t="b">
        <v>0</v>
      </c>
      <c r="N3749" t="inlineStr">
        <is>
          <t>alt</t>
        </is>
      </c>
      <c r="O3749" t="n">
        <v>100</v>
      </c>
      <c r="P3749" t="n">
        <v>0.01106</v>
      </c>
      <c r="Q3749" t="n">
        <v>-65</v>
      </c>
      <c r="R3749" t="n">
        <v>0.004883</v>
      </c>
      <c r="S3749">
        <f>IMAGE("https://mitra.stanford.edu/kundaje/oak/projects/neuro-variants/variant_position/credible/roussos_2024/variant_figures/roussos_2024.adolescence.GLU/rs221792_count_position.png",4,220,900)</f>
        <v/>
      </c>
      <c r="T3749">
        <f>IMAGE("https://mitra.stanford.edu/kundaje/oak/projects/neuro-variants/variant_position/credible/roussos_2024/variant_figures/roussos_2024.adolescence.GLU/rs221792_profile_position.png",4,220,900)</f>
        <v/>
      </c>
    </row>
    <row r="3750">
      <c r="A3750" t="inlineStr">
        <is>
          <t>chr7</t>
        </is>
      </c>
      <c r="B3750" t="n">
        <v>100855586</v>
      </c>
      <c r="C3750" t="inlineStr">
        <is>
          <t>T</t>
        </is>
      </c>
      <c r="D3750" t="inlineStr">
        <is>
          <t>C</t>
        </is>
      </c>
      <c r="E3750" t="inlineStr">
        <is>
          <t>rs314370</t>
        </is>
      </c>
      <c r="F3750" t="n">
        <v>0.0458570526</v>
      </c>
      <c r="G3750" t="n">
        <v>0.0744232726958783</v>
      </c>
      <c r="H3750" t="n">
        <v>0.0134665618768763</v>
      </c>
      <c r="I3750" t="n">
        <v>0.2307849902989929</v>
      </c>
      <c r="J3750" t="n">
        <v>0.3490580191611119</v>
      </c>
      <c r="K3750" t="n">
        <v>0.2153020048996733</v>
      </c>
      <c r="L3750" t="b">
        <v>0</v>
      </c>
      <c r="M3750" t="b">
        <v>0</v>
      </c>
      <c r="N3750" t="inlineStr">
        <is>
          <t>alt</t>
        </is>
      </c>
      <c r="O3750" t="n">
        <v>45</v>
      </c>
      <c r="P3750" t="n">
        <v>0.001125</v>
      </c>
      <c r="Q3750" t="n">
        <v>100</v>
      </c>
      <c r="R3750" t="n">
        <v>0.06569999999999999</v>
      </c>
      <c r="S3750">
        <f>IMAGE("https://mitra.stanford.edu/kundaje/oak/projects/neuro-variants/variant_position/credible/roussos_2024/variant_figures/roussos_2024.adolescence.GLU/rs314370_count_position.png",4,220,900)</f>
        <v/>
      </c>
      <c r="T3750">
        <f>IMAGE("https://mitra.stanford.edu/kundaje/oak/projects/neuro-variants/variant_position/credible/roussos_2024/variant_figures/roussos_2024.adolescence.GLU/rs314370_profile_position.png",4,220,900)</f>
        <v/>
      </c>
    </row>
    <row r="3751">
      <c r="A3751" t="inlineStr">
        <is>
          <t>chr7</t>
        </is>
      </c>
      <c r="B3751" t="n">
        <v>100870078</v>
      </c>
      <c r="C3751" t="inlineStr">
        <is>
          <t>C</t>
        </is>
      </c>
      <c r="D3751" t="inlineStr">
        <is>
          <t>T</t>
        </is>
      </c>
      <c r="E3751" t="inlineStr">
        <is>
          <t>rs12705090</t>
        </is>
      </c>
      <c r="F3751" t="n">
        <v>-0.0182335038</v>
      </c>
      <c r="G3751" t="n">
        <v>0.3256166332353626</v>
      </c>
      <c r="H3751" t="n">
        <v>0.0110489673363985</v>
      </c>
      <c r="I3751" t="n">
        <v>0.4146941123866893</v>
      </c>
      <c r="J3751" t="n">
        <v>0.4683127219209693</v>
      </c>
      <c r="K3751" t="n">
        <v>0.1118595917890351</v>
      </c>
      <c r="L3751" t="b">
        <v>0</v>
      </c>
      <c r="M3751" t="b">
        <v>0</v>
      </c>
      <c r="N3751" t="inlineStr">
        <is>
          <t>ref</t>
        </is>
      </c>
      <c r="O3751" t="n">
        <v>-55</v>
      </c>
      <c r="P3751" t="n">
        <v>0.00848</v>
      </c>
      <c r="Q3751" t="n">
        <v>100</v>
      </c>
      <c r="R3751" t="n">
        <v>0.0825</v>
      </c>
      <c r="S3751">
        <f>IMAGE("https://mitra.stanford.edu/kundaje/oak/projects/neuro-variants/variant_position/credible/roussos_2024/variant_figures/roussos_2024.adolescence.GLU/rs12705090_count_position.png",4,220,900)</f>
        <v/>
      </c>
      <c r="T3751">
        <f>IMAGE("https://mitra.stanford.edu/kundaje/oak/projects/neuro-variants/variant_position/credible/roussos_2024/variant_figures/roussos_2024.adolescence.GLU/rs12705090_profile_position.png",4,220,900)</f>
        <v/>
      </c>
    </row>
    <row r="3752">
      <c r="A3752" t="inlineStr">
        <is>
          <t>chr7</t>
        </is>
      </c>
      <c r="B3752" t="n">
        <v>100876668</v>
      </c>
      <c r="C3752" t="inlineStr">
        <is>
          <t>T</t>
        </is>
      </c>
      <c r="D3752" t="inlineStr">
        <is>
          <t>C</t>
        </is>
      </c>
      <c r="E3752" t="inlineStr">
        <is>
          <t>rs12667888</t>
        </is>
      </c>
      <c r="F3752" t="n">
        <v>0.06335520259999999</v>
      </c>
      <c r="G3752" t="n">
        <v>0.0309487449434257</v>
      </c>
      <c r="H3752" t="n">
        <v>0.0113099952413746</v>
      </c>
      <c r="I3752" t="n">
        <v>0.3937142732373661</v>
      </c>
      <c r="J3752" t="n">
        <v>0.2694801065935087</v>
      </c>
      <c r="K3752" t="n">
        <v>0.3083355393895213</v>
      </c>
      <c r="L3752" t="b">
        <v>0</v>
      </c>
      <c r="M3752" t="b">
        <v>0</v>
      </c>
      <c r="N3752" t="inlineStr">
        <is>
          <t>alt</t>
        </is>
      </c>
      <c r="O3752" t="n">
        <v>-85</v>
      </c>
      <c r="P3752" t="n">
        <v>0.005585</v>
      </c>
      <c r="Q3752" t="n">
        <v>100</v>
      </c>
      <c r="R3752" t="n">
        <v>0.07630000000000001</v>
      </c>
      <c r="S3752">
        <f>IMAGE("https://mitra.stanford.edu/kundaje/oak/projects/neuro-variants/variant_position/credible/roussos_2024/variant_figures/roussos_2024.adolescence.GLU/rs12667888_count_position.png",4,220,900)</f>
        <v/>
      </c>
      <c r="T3752">
        <f>IMAGE("https://mitra.stanford.edu/kundaje/oak/projects/neuro-variants/variant_position/credible/roussos_2024/variant_figures/roussos_2024.adolescence.GLU/rs12667888_profile_position.png",4,220,900)</f>
        <v/>
      </c>
    </row>
    <row r="3753">
      <c r="A3753" t="inlineStr">
        <is>
          <t>chr7</t>
        </is>
      </c>
      <c r="B3753" t="n">
        <v>100879824</v>
      </c>
      <c r="C3753" t="inlineStr">
        <is>
          <t>A</t>
        </is>
      </c>
      <c r="D3753" t="inlineStr">
        <is>
          <t>G</t>
        </is>
      </c>
      <c r="E3753" t="inlineStr">
        <is>
          <t>rs12705093</t>
        </is>
      </c>
      <c r="F3753" t="n">
        <v>0.00547956878</v>
      </c>
      <c r="G3753" t="n">
        <v>0.6502394097415364</v>
      </c>
      <c r="H3753" t="n">
        <v>0.0329507608283155</v>
      </c>
      <c r="I3753" t="n">
        <v>0.0055944453912333</v>
      </c>
      <c r="J3753" t="n">
        <v>0.4756242364489787</v>
      </c>
      <c r="K3753" t="n">
        <v>0.1061499517886741</v>
      </c>
      <c r="L3753" t="b">
        <v>1</v>
      </c>
      <c r="M3753" t="b">
        <v>1</v>
      </c>
      <c r="N3753" t="inlineStr">
        <is>
          <t>alt</t>
        </is>
      </c>
      <c r="O3753" t="n">
        <v>40</v>
      </c>
      <c r="P3753" t="n">
        <v>0.001587</v>
      </c>
      <c r="Q3753" t="n">
        <v>20</v>
      </c>
      <c r="R3753" t="n">
        <v>0.01831</v>
      </c>
      <c r="S3753">
        <f>IMAGE("https://mitra.stanford.edu/kundaje/oak/projects/neuro-variants/variant_position/credible/roussos_2024/variant_figures/roussos_2024.adolescence.GLU/rs12705093_count_position.png",4,220,900)</f>
        <v/>
      </c>
      <c r="T3753">
        <f>IMAGE("https://mitra.stanford.edu/kundaje/oak/projects/neuro-variants/variant_position/credible/roussos_2024/variant_figures/roussos_2024.adolescence.GLU/rs12705093_profile_position.png",4,220,900)</f>
        <v/>
      </c>
    </row>
    <row r="3754">
      <c r="A3754" t="inlineStr">
        <is>
          <t>chr7</t>
        </is>
      </c>
      <c r="B3754" t="n">
        <v>100896090</v>
      </c>
      <c r="C3754" t="inlineStr">
        <is>
          <t>G</t>
        </is>
      </c>
      <c r="D3754" t="inlineStr">
        <is>
          <t>A</t>
        </is>
      </c>
      <c r="E3754" t="inlineStr">
        <is>
          <t>rs17884589</t>
        </is>
      </c>
      <c r="F3754" t="n">
        <v>-0.045760486</v>
      </c>
      <c r="G3754" t="n">
        <v>0.0812594112796499</v>
      </c>
      <c r="H3754" t="n">
        <v>0.0165477893708755</v>
      </c>
      <c r="I3754" t="n">
        <v>0.1125452756560576</v>
      </c>
      <c r="J3754" t="n">
        <v>0.8713604961027641</v>
      </c>
      <c r="K3754" t="n">
        <v>0.0047397645039534</v>
      </c>
      <c r="L3754" t="b">
        <v>0</v>
      </c>
      <c r="M3754" t="b">
        <v>0</v>
      </c>
      <c r="N3754" t="inlineStr">
        <is>
          <t>ref</t>
        </is>
      </c>
      <c r="O3754" t="n">
        <v>-55</v>
      </c>
      <c r="P3754" t="n">
        <v>0.01286</v>
      </c>
      <c r="Q3754" t="n">
        <v>-80</v>
      </c>
      <c r="R3754" t="n">
        <v>0.06506000000000001</v>
      </c>
      <c r="S3754">
        <f>IMAGE("https://mitra.stanford.edu/kundaje/oak/projects/neuro-variants/variant_position/credible/roussos_2024/variant_figures/roussos_2024.adolescence.GLU/rs17884589_count_position.png",4,220,900)</f>
        <v/>
      </c>
      <c r="T3754">
        <f>IMAGE("https://mitra.stanford.edu/kundaje/oak/projects/neuro-variants/variant_position/credible/roussos_2024/variant_figures/roussos_2024.adolescence.GLU/rs17884589_profile_position.png",4,220,900)</f>
        <v/>
      </c>
    </row>
    <row r="3755">
      <c r="A3755" t="inlineStr">
        <is>
          <t>chr7</t>
        </is>
      </c>
      <c r="B3755" t="n">
        <v>100897329</v>
      </c>
      <c r="C3755" t="inlineStr">
        <is>
          <t>G</t>
        </is>
      </c>
      <c r="D3755" t="inlineStr">
        <is>
          <t>T</t>
        </is>
      </c>
      <c r="E3755" t="inlineStr">
        <is>
          <t>rs17883557</t>
        </is>
      </c>
      <c r="F3755" t="n">
        <v>-0.004403389344</v>
      </c>
      <c r="G3755" t="n">
        <v>0.701389803072561</v>
      </c>
      <c r="H3755" t="n">
        <v>0.013267628640415</v>
      </c>
      <c r="I3755" t="n">
        <v>0.2414838272808972</v>
      </c>
      <c r="J3755" t="n">
        <v>0.8395396189210622</v>
      </c>
      <c r="K3755" t="n">
        <v>0.0059866939085021</v>
      </c>
      <c r="L3755" t="b">
        <v>0</v>
      </c>
      <c r="M3755" t="b">
        <v>0</v>
      </c>
      <c r="N3755" t="inlineStr">
        <is>
          <t>ref</t>
        </is>
      </c>
      <c r="O3755" t="n">
        <v>-100</v>
      </c>
      <c r="P3755" t="n">
        <v>0.02863</v>
      </c>
      <c r="Q3755" t="n">
        <v>-60</v>
      </c>
      <c r="R3755" t="n">
        <v>0.02979</v>
      </c>
      <c r="S3755">
        <f>IMAGE("https://mitra.stanford.edu/kundaje/oak/projects/neuro-variants/variant_position/credible/roussos_2024/variant_figures/roussos_2024.adolescence.GLU/rs17883557_count_position.png",4,220,900)</f>
        <v/>
      </c>
      <c r="T3755">
        <f>IMAGE("https://mitra.stanford.edu/kundaje/oak/projects/neuro-variants/variant_position/credible/roussos_2024/variant_figures/roussos_2024.adolescence.GLU/rs17883557_profile_position.png",4,220,900)</f>
        <v/>
      </c>
    </row>
    <row r="3756">
      <c r="A3756" t="inlineStr">
        <is>
          <t>chr7</t>
        </is>
      </c>
      <c r="B3756" t="n">
        <v>100918383</v>
      </c>
      <c r="C3756" t="inlineStr">
        <is>
          <t>A</t>
        </is>
      </c>
      <c r="D3756" t="inlineStr">
        <is>
          <t>C</t>
        </is>
      </c>
      <c r="E3756" t="inlineStr">
        <is>
          <t>rs10278546</t>
        </is>
      </c>
      <c r="F3756" t="n">
        <v>0.139868432</v>
      </c>
      <c r="G3756" t="n">
        <v>0.0028929429189543</v>
      </c>
      <c r="H3756" t="n">
        <v>0.024606852952091</v>
      </c>
      <c r="I3756" t="n">
        <v>0.0249082875518347</v>
      </c>
      <c r="J3756" t="n">
        <v>0.2630887826764115</v>
      </c>
      <c r="K3756" t="n">
        <v>0.3170164095526514</v>
      </c>
      <c r="L3756" t="b">
        <v>1</v>
      </c>
      <c r="M3756" t="b">
        <v>1</v>
      </c>
      <c r="N3756" t="inlineStr">
        <is>
          <t>alt</t>
        </is>
      </c>
      <c r="O3756" t="n">
        <v>95</v>
      </c>
      <c r="P3756" t="n">
        <v>0.06033</v>
      </c>
      <c r="Q3756" t="n">
        <v>40</v>
      </c>
      <c r="R3756" t="n">
        <v>0.01627</v>
      </c>
      <c r="S3756">
        <f>IMAGE("https://mitra.stanford.edu/kundaje/oak/projects/neuro-variants/variant_position/credible/roussos_2024/variant_figures/roussos_2024.adolescence.GLU/rs10278546_count_position.png",4,220,900)</f>
        <v/>
      </c>
      <c r="T3756">
        <f>IMAGE("https://mitra.stanford.edu/kundaje/oak/projects/neuro-variants/variant_position/credible/roussos_2024/variant_figures/roussos_2024.adolescence.GLU/rs10278546_profile_position.png",4,220,900)</f>
        <v/>
      </c>
    </row>
    <row r="3757">
      <c r="A3757" t="inlineStr">
        <is>
          <t>chr7</t>
        </is>
      </c>
      <c r="B3757" t="n">
        <v>104953806</v>
      </c>
      <c r="C3757" t="inlineStr">
        <is>
          <t>T</t>
        </is>
      </c>
      <c r="D3757" t="inlineStr">
        <is>
          <t>G</t>
        </is>
      </c>
      <c r="E3757" t="inlineStr">
        <is>
          <t>rs2252074</t>
        </is>
      </c>
      <c r="F3757" t="n">
        <v>-0.00570583144</v>
      </c>
      <c r="G3757" t="n">
        <v>0.7211972104224512</v>
      </c>
      <c r="H3757" t="n">
        <v>0.033461121240402</v>
      </c>
      <c r="I3757" t="n">
        <v>0.0052447183535446</v>
      </c>
      <c r="J3757" t="n">
        <v>0.0409656285944945</v>
      </c>
      <c r="K3757" t="n">
        <v>0.728416683856501</v>
      </c>
      <c r="L3757" t="b">
        <v>1</v>
      </c>
      <c r="M3757" t="b">
        <v>0</v>
      </c>
      <c r="N3757" t="inlineStr">
        <is>
          <t>ref</t>
        </is>
      </c>
      <c r="O3757" t="n">
        <v>70</v>
      </c>
      <c r="P3757" t="n">
        <v>0.00679</v>
      </c>
      <c r="Q3757" t="n">
        <v>80</v>
      </c>
      <c r="R3757" t="n">
        <v>0.0354</v>
      </c>
      <c r="S3757">
        <f>IMAGE("https://mitra.stanford.edu/kundaje/oak/projects/neuro-variants/variant_position/credible/roussos_2024/variant_figures/roussos_2024.adolescence.GLU/rs2252074_count_position.png",4,220,900)</f>
        <v/>
      </c>
      <c r="T3757">
        <f>IMAGE("https://mitra.stanford.edu/kundaje/oak/projects/neuro-variants/variant_position/credible/roussos_2024/variant_figures/roussos_2024.adolescence.GLU/rs2252074_profile_position.png",4,220,900)</f>
        <v/>
      </c>
    </row>
    <row r="3758">
      <c r="A3758" t="inlineStr">
        <is>
          <t>chr7</t>
        </is>
      </c>
      <c r="B3758" t="n">
        <v>104960407</v>
      </c>
      <c r="C3758" t="inlineStr">
        <is>
          <t>C</t>
        </is>
      </c>
      <c r="D3758" t="inlineStr">
        <is>
          <t>A</t>
        </is>
      </c>
      <c r="E3758" t="inlineStr">
        <is>
          <t>rs4727614</t>
        </is>
      </c>
      <c r="F3758" t="n">
        <v>-0.00287984014</v>
      </c>
      <c r="G3758" t="n">
        <v>0.7512494515651247</v>
      </c>
      <c r="H3758" t="n">
        <v>0.0173258033716743</v>
      </c>
      <c r="I3758" t="n">
        <v>0.1000378877441365</v>
      </c>
      <c r="J3758" t="n">
        <v>0.194700330782805</v>
      </c>
      <c r="K3758" t="n">
        <v>0.4156038164835742</v>
      </c>
      <c r="L3758" t="b">
        <v>0</v>
      </c>
      <c r="M3758" t="b">
        <v>0</v>
      </c>
      <c r="N3758" t="inlineStr">
        <is>
          <t>ref</t>
        </is>
      </c>
      <c r="O3758" t="n">
        <v>-65</v>
      </c>
      <c r="P3758" t="n">
        <v>0.01694</v>
      </c>
      <c r="Q3758" t="n">
        <v>-25</v>
      </c>
      <c r="R3758" t="n">
        <v>0.05176</v>
      </c>
      <c r="S3758">
        <f>IMAGE("https://mitra.stanford.edu/kundaje/oak/projects/neuro-variants/variant_position/credible/roussos_2024/variant_figures/roussos_2024.adolescence.GLU/rs4727614_count_position.png",4,220,900)</f>
        <v/>
      </c>
      <c r="T3758">
        <f>IMAGE("https://mitra.stanford.edu/kundaje/oak/projects/neuro-variants/variant_position/credible/roussos_2024/variant_figures/roussos_2024.adolescence.GLU/rs4727614_profile_position.png",4,220,900)</f>
        <v/>
      </c>
    </row>
    <row r="3759">
      <c r="A3759" t="inlineStr">
        <is>
          <t>chr7</t>
        </is>
      </c>
      <c r="B3759" t="n">
        <v>104965083</v>
      </c>
      <c r="C3759" t="inlineStr">
        <is>
          <t>C</t>
        </is>
      </c>
      <c r="D3759" t="inlineStr">
        <is>
          <t>A</t>
        </is>
      </c>
      <c r="E3759" t="inlineStr">
        <is>
          <t>rs7776707</t>
        </is>
      </c>
      <c r="F3759" t="n">
        <v>-0.0047161576639999</v>
      </c>
      <c r="G3759" t="n">
        <v>0.7565738930547297</v>
      </c>
      <c r="H3759" t="n">
        <v>0.008285021267364899</v>
      </c>
      <c r="I3759" t="n">
        <v>0.7704697744171207</v>
      </c>
      <c r="J3759" t="n">
        <v>0.0716276943081066</v>
      </c>
      <c r="K3759" t="n">
        <v>0.6422006707532198</v>
      </c>
      <c r="L3759" t="b">
        <v>0</v>
      </c>
      <c r="M3759" t="b">
        <v>0</v>
      </c>
      <c r="N3759" t="inlineStr">
        <is>
          <t>ref</t>
        </is>
      </c>
      <c r="O3759" t="n">
        <v>35</v>
      </c>
      <c r="P3759" t="n">
        <v>0.01274</v>
      </c>
      <c r="Q3759" t="n">
        <v>-40</v>
      </c>
      <c r="R3759" t="n">
        <v>0.0625</v>
      </c>
      <c r="S3759">
        <f>IMAGE("https://mitra.stanford.edu/kundaje/oak/projects/neuro-variants/variant_position/credible/roussos_2024/variant_figures/roussos_2024.adolescence.GLU/rs7776707_count_position.png",4,220,900)</f>
        <v/>
      </c>
      <c r="T3759">
        <f>IMAGE("https://mitra.stanford.edu/kundaje/oak/projects/neuro-variants/variant_position/credible/roussos_2024/variant_figures/roussos_2024.adolescence.GLU/rs7776707_profile_position.png",4,220,900)</f>
        <v/>
      </c>
    </row>
    <row r="3760">
      <c r="A3760" t="inlineStr">
        <is>
          <t>chr7</t>
        </is>
      </c>
      <c r="B3760" t="n">
        <v>104984179</v>
      </c>
      <c r="C3760" t="inlineStr">
        <is>
          <t>C</t>
        </is>
      </c>
      <c r="D3760" t="inlineStr">
        <is>
          <t>T</t>
        </is>
      </c>
      <c r="E3760" t="inlineStr">
        <is>
          <t>rs3823752</t>
        </is>
      </c>
      <c r="F3760" t="n">
        <v>-0.004143731254</v>
      </c>
      <c r="G3760" t="n">
        <v>0.6729357141780391</v>
      </c>
      <c r="H3760" t="n">
        <v>0.0094680768179238</v>
      </c>
      <c r="I3760" t="n">
        <v>0.5943930865354249</v>
      </c>
      <c r="J3760" t="n">
        <v>0.7714740910617199</v>
      </c>
      <c r="K3760" t="n">
        <v>0.0092195125971248</v>
      </c>
      <c r="L3760" t="b">
        <v>0</v>
      </c>
      <c r="M3760" t="b">
        <v>0</v>
      </c>
      <c r="N3760" t="inlineStr">
        <is>
          <t>ref</t>
        </is>
      </c>
      <c r="O3760" t="n">
        <v>-100</v>
      </c>
      <c r="P3760" t="n">
        <v>0.02019</v>
      </c>
      <c r="Q3760" t="n">
        <v>95</v>
      </c>
      <c r="R3760" t="n">
        <v>0.1084</v>
      </c>
      <c r="S3760">
        <f>IMAGE("https://mitra.stanford.edu/kundaje/oak/projects/neuro-variants/variant_position/credible/roussos_2024/variant_figures/roussos_2024.adolescence.GLU/rs3823752_count_position.png",4,220,900)</f>
        <v/>
      </c>
      <c r="T3760">
        <f>IMAGE("https://mitra.stanford.edu/kundaje/oak/projects/neuro-variants/variant_position/credible/roussos_2024/variant_figures/roussos_2024.adolescence.GLU/rs3823752_profile_position.png",4,220,900)</f>
        <v/>
      </c>
    </row>
    <row r="3761">
      <c r="A3761" t="inlineStr">
        <is>
          <t>chr7</t>
        </is>
      </c>
      <c r="B3761" t="n">
        <v>105071264</v>
      </c>
      <c r="C3761" t="inlineStr">
        <is>
          <t>T</t>
        </is>
      </c>
      <c r="D3761" t="inlineStr">
        <is>
          <t>C</t>
        </is>
      </c>
      <c r="E3761" t="inlineStr">
        <is>
          <t>rs11760317</t>
        </is>
      </c>
      <c r="F3761" t="n">
        <v>0.016406201</v>
      </c>
      <c r="G3761" t="n">
        <v>0.3411679922125042</v>
      </c>
      <c r="H3761" t="n">
        <v>0.009237193897627999</v>
      </c>
      <c r="I3761" t="n">
        <v>0.620156164380757</v>
      </c>
      <c r="J3761" t="n">
        <v>0.0275014110065656</v>
      </c>
      <c r="K3761" t="n">
        <v>0.7802739092879998</v>
      </c>
      <c r="L3761" t="b">
        <v>0</v>
      </c>
      <c r="M3761" t="b">
        <v>0</v>
      </c>
      <c r="N3761" t="inlineStr">
        <is>
          <t>alt</t>
        </is>
      </c>
      <c r="O3761" t="n">
        <v>10</v>
      </c>
      <c r="P3761" t="n">
        <v>0.002014</v>
      </c>
      <c r="Q3761" t="n">
        <v>100</v>
      </c>
      <c r="R3761" t="n">
        <v>0.1195</v>
      </c>
      <c r="S3761">
        <f>IMAGE("https://mitra.stanford.edu/kundaje/oak/projects/neuro-variants/variant_position/credible/roussos_2024/variant_figures/roussos_2024.adolescence.GLU/rs11760317_count_position.png",4,220,900)</f>
        <v/>
      </c>
      <c r="T3761">
        <f>IMAGE("https://mitra.stanford.edu/kundaje/oak/projects/neuro-variants/variant_position/credible/roussos_2024/variant_figures/roussos_2024.adolescence.GLU/rs11760317_profile_position.png",4,220,900)</f>
        <v/>
      </c>
    </row>
    <row r="3762">
      <c r="A3762" t="inlineStr">
        <is>
          <t>chr7</t>
        </is>
      </c>
      <c r="B3762" t="n">
        <v>105075043</v>
      </c>
      <c r="C3762" t="inlineStr">
        <is>
          <t>T</t>
        </is>
      </c>
      <c r="D3762" t="inlineStr">
        <is>
          <t>G</t>
        </is>
      </c>
      <c r="E3762" t="inlineStr">
        <is>
          <t>rs10808141</t>
        </is>
      </c>
      <c r="F3762" t="n">
        <v>0.1068673756</v>
      </c>
      <c r="G3762" t="n">
        <v>0.0192268588589782</v>
      </c>
      <c r="H3762" t="n">
        <v>0.032031901358252</v>
      </c>
      <c r="I3762" t="n">
        <v>0.0184102562301343</v>
      </c>
      <c r="J3762" t="n">
        <v>0.1490108665366397</v>
      </c>
      <c r="K3762" t="n">
        <v>0.4666300232780925</v>
      </c>
      <c r="L3762" t="b">
        <v>1</v>
      </c>
      <c r="M3762" t="b">
        <v>0</v>
      </c>
      <c r="N3762" t="inlineStr">
        <is>
          <t>alt</t>
        </is>
      </c>
      <c r="O3762" t="n">
        <v>25</v>
      </c>
      <c r="P3762" t="n">
        <v>0.0108</v>
      </c>
      <c r="Q3762" t="n">
        <v>65</v>
      </c>
      <c r="R3762" t="n">
        <v>0.0415</v>
      </c>
      <c r="S3762">
        <f>IMAGE("https://mitra.stanford.edu/kundaje/oak/projects/neuro-variants/variant_position/credible/roussos_2024/variant_figures/roussos_2024.adolescence.GLU/rs10808141_count_position.png",4,220,900)</f>
        <v/>
      </c>
      <c r="T3762">
        <f>IMAGE("https://mitra.stanford.edu/kundaje/oak/projects/neuro-variants/variant_position/credible/roussos_2024/variant_figures/roussos_2024.adolescence.GLU/rs10808141_profile_position.png",4,220,900)</f>
        <v/>
      </c>
    </row>
    <row r="3763">
      <c r="A3763" t="inlineStr">
        <is>
          <t>chr7</t>
        </is>
      </c>
      <c r="B3763" t="n">
        <v>105101395</v>
      </c>
      <c r="C3763" t="inlineStr">
        <is>
          <t>A</t>
        </is>
      </c>
      <c r="D3763" t="inlineStr">
        <is>
          <t>T</t>
        </is>
      </c>
      <c r="E3763" t="inlineStr">
        <is>
          <t>rs10953468</t>
        </is>
      </c>
      <c r="F3763" t="n">
        <v>-0.00063771478</v>
      </c>
      <c r="G3763" t="n">
        <v>0.7090404488113178</v>
      </c>
      <c r="H3763" t="n">
        <v>0.0224127922943419</v>
      </c>
      <c r="I3763" t="n">
        <v>0.0312926074643989</v>
      </c>
      <c r="J3763" t="n">
        <v>0.0201998985504139</v>
      </c>
      <c r="K3763" t="n">
        <v>0.8181955933565187</v>
      </c>
      <c r="L3763" t="b">
        <v>0</v>
      </c>
      <c r="M3763" t="b">
        <v>0</v>
      </c>
      <c r="N3763" t="inlineStr">
        <is>
          <t>ref</t>
        </is>
      </c>
      <c r="O3763" t="n">
        <v>-5</v>
      </c>
      <c r="P3763" t="n">
        <v>0.00254</v>
      </c>
      <c r="Q3763" t="n">
        <v>5</v>
      </c>
      <c r="R3763" t="n">
        <v>0.00812</v>
      </c>
      <c r="S3763">
        <f>IMAGE("https://mitra.stanford.edu/kundaje/oak/projects/neuro-variants/variant_position/credible/roussos_2024/variant_figures/roussos_2024.adolescence.GLU/rs10953468_count_position.png",4,220,900)</f>
        <v/>
      </c>
      <c r="T3763">
        <f>IMAGE("https://mitra.stanford.edu/kundaje/oak/projects/neuro-variants/variant_position/credible/roussos_2024/variant_figures/roussos_2024.adolescence.GLU/rs10953468_profile_position.png",4,220,900)</f>
        <v/>
      </c>
    </row>
    <row r="3764">
      <c r="A3764" t="inlineStr">
        <is>
          <t>chr7</t>
        </is>
      </c>
      <c r="B3764" t="n">
        <v>105179032</v>
      </c>
      <c r="C3764" t="inlineStr">
        <is>
          <t>T</t>
        </is>
      </c>
      <c r="D3764" t="inlineStr">
        <is>
          <t>C</t>
        </is>
      </c>
      <c r="E3764" t="inlineStr">
        <is>
          <t>rs6943183</t>
        </is>
      </c>
      <c r="F3764" t="n">
        <v>0.00629781332</v>
      </c>
      <c r="G3764" t="n">
        <v>0.6484994771527466</v>
      </c>
      <c r="H3764" t="n">
        <v>0.0141375036762585</v>
      </c>
      <c r="I3764" t="n">
        <v>0.2097775004320221</v>
      </c>
      <c r="J3764" t="n">
        <v>0.0661722785434125</v>
      </c>
      <c r="K3764" t="n">
        <v>0.6624027225177621</v>
      </c>
      <c r="L3764" t="b">
        <v>0</v>
      </c>
      <c r="M3764" t="b">
        <v>0</v>
      </c>
      <c r="N3764" t="inlineStr">
        <is>
          <t>alt</t>
        </is>
      </c>
      <c r="O3764" t="n">
        <v>-5</v>
      </c>
      <c r="P3764" t="n">
        <v>0.001236</v>
      </c>
      <c r="Q3764" t="n">
        <v>70</v>
      </c>
      <c r="R3764" t="n">
        <v>0.0459</v>
      </c>
      <c r="S3764">
        <f>IMAGE("https://mitra.stanford.edu/kundaje/oak/projects/neuro-variants/variant_position/credible/roussos_2024/variant_figures/roussos_2024.adolescence.GLU/rs6943183_count_position.png",4,220,900)</f>
        <v/>
      </c>
      <c r="T3764">
        <f>IMAGE("https://mitra.stanford.edu/kundaje/oak/projects/neuro-variants/variant_position/credible/roussos_2024/variant_figures/roussos_2024.adolescence.GLU/rs6943183_profile_position.png",4,220,900)</f>
        <v/>
      </c>
    </row>
    <row r="3765">
      <c r="A3765" t="inlineStr">
        <is>
          <t>chr7</t>
        </is>
      </c>
      <c r="B3765" t="n">
        <v>105187651</v>
      </c>
      <c r="C3765" t="inlineStr">
        <is>
          <t>C</t>
        </is>
      </c>
      <c r="D3765" t="inlineStr">
        <is>
          <t>T</t>
        </is>
      </c>
      <c r="E3765" t="inlineStr">
        <is>
          <t>rs3779210</t>
        </is>
      </c>
      <c r="F3765" t="n">
        <v>-0.0128962796919999</v>
      </c>
      <c r="G3765" t="n">
        <v>0.444781979760856</v>
      </c>
      <c r="H3765" t="n">
        <v>0.0084911288539707</v>
      </c>
      <c r="I3765" t="n">
        <v>0.7202771993312592</v>
      </c>
      <c r="J3765" t="n">
        <v>0.0511048717234284</v>
      </c>
      <c r="K3765" t="n">
        <v>0.6997506385782838</v>
      </c>
      <c r="L3765" t="b">
        <v>0</v>
      </c>
      <c r="M3765" t="b">
        <v>0</v>
      </c>
      <c r="N3765" t="inlineStr">
        <is>
          <t>ref</t>
        </is>
      </c>
      <c r="O3765" t="n">
        <v>-100</v>
      </c>
      <c r="P3765" t="n">
        <v>0.00403</v>
      </c>
      <c r="Q3765" t="n">
        <v>5</v>
      </c>
      <c r="R3765" t="n">
        <v>0.002014</v>
      </c>
      <c r="S3765">
        <f>IMAGE("https://mitra.stanford.edu/kundaje/oak/projects/neuro-variants/variant_position/credible/roussos_2024/variant_figures/roussos_2024.adolescence.GLU/rs3779210_count_position.png",4,220,900)</f>
        <v/>
      </c>
      <c r="T3765">
        <f>IMAGE("https://mitra.stanford.edu/kundaje/oak/projects/neuro-variants/variant_position/credible/roussos_2024/variant_figures/roussos_2024.adolescence.GLU/rs3779210_profile_position.png",4,220,900)</f>
        <v/>
      </c>
    </row>
    <row r="3766">
      <c r="A3766" t="inlineStr">
        <is>
          <t>chr7</t>
        </is>
      </c>
      <c r="B3766" t="n">
        <v>105195441</v>
      </c>
      <c r="C3766" t="inlineStr">
        <is>
          <t>T</t>
        </is>
      </c>
      <c r="D3766" t="inlineStr">
        <is>
          <t>C</t>
        </is>
      </c>
      <c r="E3766" t="inlineStr">
        <is>
          <t>rs10281886</t>
        </is>
      </c>
      <c r="F3766" t="n">
        <v>0.0197536356</v>
      </c>
      <c r="G3766" t="n">
        <v>0.2945561426355911</v>
      </c>
      <c r="H3766" t="n">
        <v>0.0114988895947977</v>
      </c>
      <c r="I3766" t="n">
        <v>0.3924918689836037</v>
      </c>
      <c r="J3766" t="n">
        <v>0.1593272892241964</v>
      </c>
      <c r="K3766" t="n">
        <v>0.4646172487796379</v>
      </c>
      <c r="L3766" t="b">
        <v>0</v>
      </c>
      <c r="M3766" t="b">
        <v>0</v>
      </c>
      <c r="N3766" t="inlineStr">
        <is>
          <t>alt</t>
        </is>
      </c>
      <c r="O3766" t="n">
        <v>35</v>
      </c>
      <c r="P3766" t="n">
        <v>0.002571</v>
      </c>
      <c r="Q3766" t="n">
        <v>20</v>
      </c>
      <c r="R3766" t="n">
        <v>0.01985</v>
      </c>
      <c r="S3766">
        <f>IMAGE("https://mitra.stanford.edu/kundaje/oak/projects/neuro-variants/variant_position/credible/roussos_2024/variant_figures/roussos_2024.adolescence.GLU/rs10281886_count_position.png",4,220,900)</f>
        <v/>
      </c>
      <c r="T3766">
        <f>IMAGE("https://mitra.stanford.edu/kundaje/oak/projects/neuro-variants/variant_position/credible/roussos_2024/variant_figures/roussos_2024.adolescence.GLU/rs10281886_profile_position.png",4,220,900)</f>
        <v/>
      </c>
    </row>
    <row r="3767">
      <c r="A3767" t="inlineStr">
        <is>
          <t>chr7</t>
        </is>
      </c>
      <c r="B3767" t="n">
        <v>105203881</v>
      </c>
      <c r="C3767" t="inlineStr">
        <is>
          <t>C</t>
        </is>
      </c>
      <c r="D3767" t="inlineStr">
        <is>
          <t>T</t>
        </is>
      </c>
      <c r="E3767" t="inlineStr">
        <is>
          <t>rs2240463</t>
        </is>
      </c>
      <c r="F3767" t="n">
        <v>0.00178243064</v>
      </c>
      <c r="G3767" t="n">
        <v>0.8421717712917389</v>
      </c>
      <c r="H3767" t="n">
        <v>0.0210291219967808</v>
      </c>
      <c r="I3767" t="n">
        <v>0.043598848130935</v>
      </c>
      <c r="J3767" t="n">
        <v>0.3262075715683962</v>
      </c>
      <c r="K3767" t="n">
        <v>0.2412297023022142</v>
      </c>
      <c r="L3767" t="b">
        <v>0</v>
      </c>
      <c r="M3767" t="b">
        <v>0</v>
      </c>
      <c r="N3767" t="inlineStr">
        <is>
          <t>alt</t>
        </is>
      </c>
      <c r="O3767" t="n">
        <v>100</v>
      </c>
      <c r="P3767" t="n">
        <v>0.01988</v>
      </c>
      <c r="Q3767" t="n">
        <v>-90</v>
      </c>
      <c r="R3767" t="n">
        <v>0.11224</v>
      </c>
      <c r="S3767">
        <f>IMAGE("https://mitra.stanford.edu/kundaje/oak/projects/neuro-variants/variant_position/credible/roussos_2024/variant_figures/roussos_2024.adolescence.GLU/rs2240463_count_position.png",4,220,900)</f>
        <v/>
      </c>
      <c r="T3767">
        <f>IMAGE("https://mitra.stanford.edu/kundaje/oak/projects/neuro-variants/variant_position/credible/roussos_2024/variant_figures/roussos_2024.adolescence.GLU/rs2240463_profile_position.png",4,220,900)</f>
        <v/>
      </c>
    </row>
    <row r="3768">
      <c r="A3768" t="inlineStr">
        <is>
          <t>chr7</t>
        </is>
      </c>
      <c r="B3768" t="n">
        <v>105204072</v>
      </c>
      <c r="C3768" t="inlineStr">
        <is>
          <t>G</t>
        </is>
      </c>
      <c r="D3768" t="inlineStr">
        <is>
          <t>A</t>
        </is>
      </c>
      <c r="E3768" t="inlineStr">
        <is>
          <t>rs10281422</t>
        </is>
      </c>
      <c r="F3768" t="n">
        <v>-0.0525693704</v>
      </c>
      <c r="G3768" t="n">
        <v>0.0603079349459405</v>
      </c>
      <c r="H3768" t="n">
        <v>0.0165981348225919</v>
      </c>
      <c r="I3768" t="n">
        <v>0.1297051125379524</v>
      </c>
      <c r="J3768" t="n">
        <v>0.3846782547813475</v>
      </c>
      <c r="K3768" t="n">
        <v>0.1815114976989948</v>
      </c>
      <c r="L3768" t="b">
        <v>0</v>
      </c>
      <c r="M3768" t="b">
        <v>0</v>
      </c>
      <c r="N3768" t="inlineStr">
        <is>
          <t>ref</t>
        </is>
      </c>
      <c r="O3768" t="n">
        <v>35</v>
      </c>
      <c r="P3768" t="n">
        <v>0.005432</v>
      </c>
      <c r="Q3768" t="n">
        <v>40</v>
      </c>
      <c r="R3768" t="n">
        <v>0.03503</v>
      </c>
      <c r="S3768">
        <f>IMAGE("https://mitra.stanford.edu/kundaje/oak/projects/neuro-variants/variant_position/credible/roussos_2024/variant_figures/roussos_2024.adolescence.GLU/rs10281422_count_position.png",4,220,900)</f>
        <v/>
      </c>
      <c r="T3768">
        <f>IMAGE("https://mitra.stanford.edu/kundaje/oak/projects/neuro-variants/variant_position/credible/roussos_2024/variant_figures/roussos_2024.adolescence.GLU/rs10281422_profile_position.png",4,220,900)</f>
        <v/>
      </c>
    </row>
    <row r="3769">
      <c r="A3769" t="inlineStr">
        <is>
          <t>chr7</t>
        </is>
      </c>
      <c r="B3769" t="n">
        <v>105204647</v>
      </c>
      <c r="C3769" t="inlineStr">
        <is>
          <t>T</t>
        </is>
      </c>
      <c r="D3769" t="inlineStr">
        <is>
          <t>C</t>
        </is>
      </c>
      <c r="E3769" t="inlineStr">
        <is>
          <t>rs41562</t>
        </is>
      </c>
      <c r="F3769" t="n">
        <v>0.0641192414</v>
      </c>
      <c r="G3769" t="n">
        <v>0.0273449279554377</v>
      </c>
      <c r="H3769" t="n">
        <v>0.0136846816394255</v>
      </c>
      <c r="I3769" t="n">
        <v>0.2052529744486967</v>
      </c>
      <c r="J3769" t="n">
        <v>0.4619299712083217</v>
      </c>
      <c r="K3769" t="n">
        <v>0.1151879401971926</v>
      </c>
      <c r="L3769" t="b">
        <v>0</v>
      </c>
      <c r="M3769" t="b">
        <v>0</v>
      </c>
      <c r="N3769" t="inlineStr">
        <is>
          <t>alt</t>
        </is>
      </c>
      <c r="O3769" t="n">
        <v>-15</v>
      </c>
      <c r="P3769" t="n">
        <v>0.0008106</v>
      </c>
      <c r="Q3769" t="n">
        <v>-20</v>
      </c>
      <c r="R3769" t="n">
        <v>0.02576</v>
      </c>
      <c r="S3769">
        <f>IMAGE("https://mitra.stanford.edu/kundaje/oak/projects/neuro-variants/variant_position/credible/roussos_2024/variant_figures/roussos_2024.adolescence.GLU/rs41562_count_position.png",4,220,900)</f>
        <v/>
      </c>
      <c r="T3769">
        <f>IMAGE("https://mitra.stanford.edu/kundaje/oak/projects/neuro-variants/variant_position/credible/roussos_2024/variant_figures/roussos_2024.adolescence.GLU/rs41562_profile_position.png",4,220,900)</f>
        <v/>
      </c>
    </row>
    <row r="3770">
      <c r="A3770" t="inlineStr">
        <is>
          <t>chr7</t>
        </is>
      </c>
      <c r="B3770" t="n">
        <v>105204806</v>
      </c>
      <c r="C3770" t="inlineStr">
        <is>
          <t>G</t>
        </is>
      </c>
      <c r="D3770" t="inlineStr">
        <is>
          <t>C</t>
        </is>
      </c>
      <c r="E3770" t="inlineStr">
        <is>
          <t>rs2237613</t>
        </is>
      </c>
      <c r="F3770" t="n">
        <v>-0.0817050606</v>
      </c>
      <c r="G3770" t="n">
        <v>0.0136743608951762</v>
      </c>
      <c r="H3770" t="n">
        <v>0.0145203833795908</v>
      </c>
      <c r="I3770" t="n">
        <v>0.1671647619278006</v>
      </c>
      <c r="J3770" t="n">
        <v>0.426113980753156</v>
      </c>
      <c r="K3770" t="n">
        <v>0.1441461328054178</v>
      </c>
      <c r="L3770" t="b">
        <v>1</v>
      </c>
      <c r="M3770" t="b">
        <v>0</v>
      </c>
      <c r="N3770" t="inlineStr">
        <is>
          <t>ref</t>
        </is>
      </c>
      <c r="O3770" t="n">
        <v>-75</v>
      </c>
      <c r="P3770" t="n">
        <v>0.001381</v>
      </c>
      <c r="Q3770" t="n">
        <v>-100</v>
      </c>
      <c r="R3770" t="n">
        <v>0.1145</v>
      </c>
      <c r="S3770">
        <f>IMAGE("https://mitra.stanford.edu/kundaje/oak/projects/neuro-variants/variant_position/credible/roussos_2024/variant_figures/roussos_2024.adolescence.GLU/rs2237613_count_position.png",4,220,900)</f>
        <v/>
      </c>
      <c r="T3770">
        <f>IMAGE("https://mitra.stanford.edu/kundaje/oak/projects/neuro-variants/variant_position/credible/roussos_2024/variant_figures/roussos_2024.adolescence.GLU/rs2237613_profile_position.png",4,220,900)</f>
        <v/>
      </c>
    </row>
    <row r="3771">
      <c r="A3771" t="inlineStr">
        <is>
          <t>chr7</t>
        </is>
      </c>
      <c r="B3771" t="n">
        <v>105215424</v>
      </c>
      <c r="C3771" t="inlineStr">
        <is>
          <t>C</t>
        </is>
      </c>
      <c r="D3771" t="inlineStr">
        <is>
          <t>A</t>
        </is>
      </c>
      <c r="E3771" t="inlineStr">
        <is>
          <t>rs4730073</t>
        </is>
      </c>
      <c r="F3771" t="n">
        <v>0.0448223256</v>
      </c>
      <c r="G3771" t="n">
        <v>0.08633199187944821</v>
      </c>
      <c r="H3771" t="n">
        <v>0.0282309175271809</v>
      </c>
      <c r="I3771" t="n">
        <v>0.0139444518890449</v>
      </c>
      <c r="J3771" t="n">
        <v>0.1259589486393609</v>
      </c>
      <c r="K3771" t="n">
        <v>0.5174433760545146</v>
      </c>
      <c r="L3771" t="b">
        <v>1</v>
      </c>
      <c r="M3771" t="b">
        <v>0</v>
      </c>
      <c r="N3771" t="inlineStr">
        <is>
          <t>alt</t>
        </is>
      </c>
      <c r="O3771" t="n">
        <v>-15</v>
      </c>
      <c r="P3771" t="n">
        <v>0.003632</v>
      </c>
      <c r="Q3771" t="n">
        <v>25</v>
      </c>
      <c r="R3771" t="n">
        <v>0.02502</v>
      </c>
      <c r="S3771">
        <f>IMAGE("https://mitra.stanford.edu/kundaje/oak/projects/neuro-variants/variant_position/credible/roussos_2024/variant_figures/roussos_2024.adolescence.GLU/rs4730073_count_position.png",4,220,900)</f>
        <v/>
      </c>
      <c r="T3771">
        <f>IMAGE("https://mitra.stanford.edu/kundaje/oak/projects/neuro-variants/variant_position/credible/roussos_2024/variant_figures/roussos_2024.adolescence.GLU/rs4730073_profile_position.png",4,220,900)</f>
        <v/>
      </c>
    </row>
    <row r="3772">
      <c r="A3772" t="inlineStr">
        <is>
          <t>chr7</t>
        </is>
      </c>
      <c r="B3772" t="n">
        <v>105231445</v>
      </c>
      <c r="C3772" t="inlineStr">
        <is>
          <t>G</t>
        </is>
      </c>
      <c r="D3772" t="inlineStr">
        <is>
          <t>T</t>
        </is>
      </c>
      <c r="E3772" t="inlineStr">
        <is>
          <t>rs10953470</t>
        </is>
      </c>
      <c r="F3772" t="n">
        <v>-0.0792583952</v>
      </c>
      <c r="G3772" t="n">
        <v>0.0169985395703249</v>
      </c>
      <c r="H3772" t="n">
        <v>0.0130151150596857</v>
      </c>
      <c r="I3772" t="n">
        <v>0.2557345194774607</v>
      </c>
      <c r="J3772" t="n">
        <v>0.1012424002114723</v>
      </c>
      <c r="K3772" t="n">
        <v>0.580343670381106</v>
      </c>
      <c r="L3772" t="b">
        <v>1</v>
      </c>
      <c r="M3772" t="b">
        <v>0</v>
      </c>
      <c r="N3772" t="inlineStr">
        <is>
          <t>ref</t>
        </is>
      </c>
      <c r="O3772" t="n">
        <v>15</v>
      </c>
      <c r="P3772" t="n">
        <v>0.00382</v>
      </c>
      <c r="Q3772" t="n">
        <v>-5</v>
      </c>
      <c r="R3772" t="n">
        <v>0.00891</v>
      </c>
      <c r="S3772">
        <f>IMAGE("https://mitra.stanford.edu/kundaje/oak/projects/neuro-variants/variant_position/credible/roussos_2024/variant_figures/roussos_2024.adolescence.GLU/rs10953470_count_position.png",4,220,900)</f>
        <v/>
      </c>
      <c r="T3772">
        <f>IMAGE("https://mitra.stanford.edu/kundaje/oak/projects/neuro-variants/variant_position/credible/roussos_2024/variant_figures/roussos_2024.adolescence.GLU/rs10953470_profile_position.png",4,220,900)</f>
        <v/>
      </c>
    </row>
    <row r="3773">
      <c r="A3773" t="inlineStr">
        <is>
          <t>chr7</t>
        </is>
      </c>
      <c r="B3773" t="n">
        <v>105241083</v>
      </c>
      <c r="C3773" t="inlineStr">
        <is>
          <t>A</t>
        </is>
      </c>
      <c r="D3773" t="inlineStr">
        <is>
          <t>G</t>
        </is>
      </c>
      <c r="E3773" t="inlineStr">
        <is>
          <t>rs3801282</t>
        </is>
      </c>
      <c r="F3773" t="n">
        <v>-0.0198536451</v>
      </c>
      <c r="G3773" t="n">
        <v>0.3106343886760381</v>
      </c>
      <c r="H3773" t="n">
        <v>0.0206334638283024</v>
      </c>
      <c r="I3773" t="n">
        <v>0.0519917085680278</v>
      </c>
      <c r="J3773" t="n">
        <v>0.0492759214408698</v>
      </c>
      <c r="K3773" t="n">
        <v>0.7079083162756092</v>
      </c>
      <c r="L3773" t="b">
        <v>0</v>
      </c>
      <c r="M3773" t="b">
        <v>0</v>
      </c>
      <c r="N3773" t="inlineStr">
        <is>
          <t>ref</t>
        </is>
      </c>
      <c r="O3773" t="n">
        <v>-60</v>
      </c>
      <c r="P3773" t="n">
        <v>0.001984</v>
      </c>
      <c r="Q3773" t="n">
        <v>20</v>
      </c>
      <c r="R3773" t="n">
        <v>0.05905</v>
      </c>
      <c r="S3773">
        <f>IMAGE("https://mitra.stanford.edu/kundaje/oak/projects/neuro-variants/variant_position/credible/roussos_2024/variant_figures/roussos_2024.adolescence.GLU/rs3801282_count_position.png",4,220,900)</f>
        <v/>
      </c>
      <c r="T3773">
        <f>IMAGE("https://mitra.stanford.edu/kundaje/oak/projects/neuro-variants/variant_position/credible/roussos_2024/variant_figures/roussos_2024.adolescence.GLU/rs3801282_profile_position.png",4,220,900)</f>
        <v/>
      </c>
    </row>
    <row r="3774">
      <c r="A3774" t="inlineStr">
        <is>
          <t>chr7</t>
        </is>
      </c>
      <c r="B3774" t="n">
        <v>105266570</v>
      </c>
      <c r="C3774" t="inlineStr">
        <is>
          <t>C</t>
        </is>
      </c>
      <c r="D3774" t="inlineStr">
        <is>
          <t>T</t>
        </is>
      </c>
      <c r="E3774" t="inlineStr">
        <is>
          <t>rs3801278</t>
        </is>
      </c>
      <c r="F3774" t="n">
        <v>-0.0127497713999999</v>
      </c>
      <c r="G3774" t="n">
        <v>0.4431137330434262</v>
      </c>
      <c r="H3774" t="n">
        <v>0.008381339401160801</v>
      </c>
      <c r="I3774" t="n">
        <v>0.7558364475940276</v>
      </c>
      <c r="J3774" t="n">
        <v>0.0075529931200034</v>
      </c>
      <c r="K3774" t="n">
        <v>0.8976261482862451</v>
      </c>
      <c r="L3774" t="b">
        <v>0</v>
      </c>
      <c r="M3774" t="b">
        <v>0</v>
      </c>
      <c r="N3774" t="inlineStr">
        <is>
          <t>ref</t>
        </is>
      </c>
      <c r="O3774" t="n">
        <v>-25</v>
      </c>
      <c r="P3774" t="n">
        <v>0.003601</v>
      </c>
      <c r="Q3774" t="n">
        <v>-25</v>
      </c>
      <c r="R3774" t="n">
        <v>0.007965</v>
      </c>
      <c r="S3774">
        <f>IMAGE("https://mitra.stanford.edu/kundaje/oak/projects/neuro-variants/variant_position/credible/roussos_2024/variant_figures/roussos_2024.adolescence.GLU/rs3801278_count_position.png",4,220,900)</f>
        <v/>
      </c>
      <c r="T3774">
        <f>IMAGE("https://mitra.stanford.edu/kundaje/oak/projects/neuro-variants/variant_position/credible/roussos_2024/variant_figures/roussos_2024.adolescence.GLU/rs3801278_profile_position.png",4,220,900)</f>
        <v/>
      </c>
    </row>
    <row r="3775">
      <c r="A3775" t="inlineStr">
        <is>
          <t>chr7</t>
        </is>
      </c>
      <c r="B3775" t="n">
        <v>105288617</v>
      </c>
      <c r="C3775" t="inlineStr">
        <is>
          <t>A</t>
        </is>
      </c>
      <c r="D3775" t="inlineStr">
        <is>
          <t>C</t>
        </is>
      </c>
      <c r="E3775" t="inlineStr">
        <is>
          <t>rs6466055</t>
        </is>
      </c>
      <c r="F3775" t="n">
        <v>-0.0011700635199999</v>
      </c>
      <c r="G3775" t="n">
        <v>0.7865159511205498</v>
      </c>
      <c r="H3775" t="n">
        <v>0.0324219587701204</v>
      </c>
      <c r="I3775" t="n">
        <v>0.0060301812297586</v>
      </c>
      <c r="J3775" t="n">
        <v>0.1446756828200127</v>
      </c>
      <c r="K3775" t="n">
        <v>0.4883712346086716</v>
      </c>
      <c r="L3775" t="b">
        <v>1</v>
      </c>
      <c r="M3775" t="b">
        <v>1</v>
      </c>
      <c r="N3775" t="inlineStr">
        <is>
          <t>ref</t>
        </is>
      </c>
      <c r="O3775" t="n">
        <v>-80</v>
      </c>
      <c r="P3775" t="n">
        <v>0.0065</v>
      </c>
      <c r="Q3775" t="n">
        <v>-30</v>
      </c>
      <c r="R3775" t="n">
        <v>0.03723</v>
      </c>
      <c r="S3775">
        <f>IMAGE("https://mitra.stanford.edu/kundaje/oak/projects/neuro-variants/variant_position/credible/roussos_2024/variant_figures/roussos_2024.adolescence.GLU/rs6466055_count_position.png",4,220,900)</f>
        <v/>
      </c>
      <c r="T3775">
        <f>IMAGE("https://mitra.stanford.edu/kundaje/oak/projects/neuro-variants/variant_position/credible/roussos_2024/variant_figures/roussos_2024.adolescence.GLU/rs6466055_profile_position.png",4,220,900)</f>
        <v/>
      </c>
    </row>
    <row r="3776">
      <c r="A3776" t="inlineStr">
        <is>
          <t>chr7</t>
        </is>
      </c>
      <c r="B3776" t="n">
        <v>105288820</v>
      </c>
      <c r="C3776" t="inlineStr">
        <is>
          <t>T</t>
        </is>
      </c>
      <c r="D3776" t="inlineStr">
        <is>
          <t>C</t>
        </is>
      </c>
      <c r="E3776" t="inlineStr">
        <is>
          <t>rs6466056</t>
        </is>
      </c>
      <c r="F3776" t="n">
        <v>0.03287247</v>
      </c>
      <c r="G3776" t="n">
        <v>0.1476869895349375</v>
      </c>
      <c r="H3776" t="n">
        <v>0.008911350476861099</v>
      </c>
      <c r="I3776" t="n">
        <v>0.6768897281867464</v>
      </c>
      <c r="J3776" t="n">
        <v>0.1791799729944059</v>
      </c>
      <c r="K3776" t="n">
        <v>0.4327834630881992</v>
      </c>
      <c r="L3776" t="b">
        <v>0</v>
      </c>
      <c r="M3776" t="b">
        <v>0</v>
      </c>
      <c r="N3776" t="inlineStr">
        <is>
          <t>alt</t>
        </is>
      </c>
      <c r="O3776" t="n">
        <v>-90</v>
      </c>
      <c r="P3776" t="n">
        <v>0.01318</v>
      </c>
      <c r="Q3776" t="n">
        <v>-20</v>
      </c>
      <c r="R3776" t="n">
        <v>0.06850000000000001</v>
      </c>
      <c r="S3776">
        <f>IMAGE("https://mitra.stanford.edu/kundaje/oak/projects/neuro-variants/variant_position/credible/roussos_2024/variant_figures/roussos_2024.adolescence.GLU/rs6466056_count_position.png",4,220,900)</f>
        <v/>
      </c>
      <c r="T3776">
        <f>IMAGE("https://mitra.stanford.edu/kundaje/oak/projects/neuro-variants/variant_position/credible/roussos_2024/variant_figures/roussos_2024.adolescence.GLU/rs6466056_profile_position.png",4,220,900)</f>
        <v/>
      </c>
    </row>
    <row r="3777">
      <c r="A3777" t="inlineStr">
        <is>
          <t>chr7</t>
        </is>
      </c>
      <c r="B3777" t="n">
        <v>105289803</v>
      </c>
      <c r="C3777" t="inlineStr">
        <is>
          <t>T</t>
        </is>
      </c>
      <c r="D3777" t="inlineStr">
        <is>
          <t>C</t>
        </is>
      </c>
      <c r="E3777" t="inlineStr">
        <is>
          <t>rs2057884</t>
        </is>
      </c>
      <c r="F3777" t="n">
        <v>0.01402796878</v>
      </c>
      <c r="G3777" t="n">
        <v>0.4076091723024378</v>
      </c>
      <c r="H3777" t="n">
        <v>0.0081709632165068</v>
      </c>
      <c r="I3777" t="n">
        <v>0.770568761319762</v>
      </c>
      <c r="J3777" t="n">
        <v>0.0657093255031399</v>
      </c>
      <c r="K3777" t="n">
        <v>0.6519031380128258</v>
      </c>
      <c r="L3777" t="b">
        <v>0</v>
      </c>
      <c r="M3777" t="b">
        <v>0</v>
      </c>
      <c r="N3777" t="inlineStr">
        <is>
          <t>alt</t>
        </is>
      </c>
      <c r="O3777" t="n">
        <v>-95</v>
      </c>
      <c r="P3777" t="n">
        <v>0.01634</v>
      </c>
      <c r="Q3777" t="n">
        <v>55</v>
      </c>
      <c r="R3777" t="n">
        <v>0.0489</v>
      </c>
      <c r="S3777">
        <f>IMAGE("https://mitra.stanford.edu/kundaje/oak/projects/neuro-variants/variant_position/credible/roussos_2024/variant_figures/roussos_2024.adolescence.GLU/rs2057884_count_position.png",4,220,900)</f>
        <v/>
      </c>
      <c r="T3777">
        <f>IMAGE("https://mitra.stanford.edu/kundaje/oak/projects/neuro-variants/variant_position/credible/roussos_2024/variant_figures/roussos_2024.adolescence.GLU/rs2057884_profile_position.png",4,220,900)</f>
        <v/>
      </c>
    </row>
    <row r="3778">
      <c r="A3778" t="inlineStr">
        <is>
          <t>chr7</t>
        </is>
      </c>
      <c r="B3778" t="n">
        <v>110407907</v>
      </c>
      <c r="C3778" t="inlineStr">
        <is>
          <t>C</t>
        </is>
      </c>
      <c r="D3778" t="inlineStr">
        <is>
          <t>T</t>
        </is>
      </c>
      <c r="E3778" t="inlineStr">
        <is>
          <t>rs4730430</t>
        </is>
      </c>
      <c r="F3778" t="n">
        <v>-0.1427188959999999</v>
      </c>
      <c r="G3778" t="n">
        <v>0.0028732803924816</v>
      </c>
      <c r="H3778" t="n">
        <v>0.0290689118362648</v>
      </c>
      <c r="I3778" t="n">
        <v>0.0154491361042397</v>
      </c>
      <c r="J3778" t="n">
        <v>0.0513920740724863</v>
      </c>
      <c r="K3778" t="n">
        <v>0.6990099159726688</v>
      </c>
      <c r="L3778" t="b">
        <v>1</v>
      </c>
      <c r="M3778" t="b">
        <v>1</v>
      </c>
      <c r="N3778" t="inlineStr">
        <is>
          <t>ref</t>
        </is>
      </c>
      <c r="O3778" t="n">
        <v>15</v>
      </c>
      <c r="P3778" t="n">
        <v>0.0008545</v>
      </c>
      <c r="Q3778" t="n">
        <v>90</v>
      </c>
      <c r="R3778" t="n">
        <v>0.0359</v>
      </c>
      <c r="S3778">
        <f>IMAGE("https://mitra.stanford.edu/kundaje/oak/projects/neuro-variants/variant_position/credible/roussos_2024/variant_figures/roussos_2024.adolescence.GLU/rs4730430_count_position.png",4,220,900)</f>
        <v/>
      </c>
      <c r="T3778">
        <f>IMAGE("https://mitra.stanford.edu/kundaje/oak/projects/neuro-variants/variant_position/credible/roussos_2024/variant_figures/roussos_2024.adolescence.GLU/rs4730430_profile_position.png",4,220,900)</f>
        <v/>
      </c>
    </row>
    <row r="3779">
      <c r="A3779" t="inlineStr">
        <is>
          <t>chr7</t>
        </is>
      </c>
      <c r="B3779" t="n">
        <v>110413547</v>
      </c>
      <c r="C3779" t="inlineStr">
        <is>
          <t>A</t>
        </is>
      </c>
      <c r="D3779" t="inlineStr">
        <is>
          <t>G</t>
        </is>
      </c>
      <c r="E3779" t="inlineStr">
        <is>
          <t>rs55634663</t>
        </is>
      </c>
      <c r="F3779" t="n">
        <v>0.0093237766</v>
      </c>
      <c r="G3779" t="n">
        <v>0.5340260623834403</v>
      </c>
      <c r="H3779" t="n">
        <v>0.0165363471619045</v>
      </c>
      <c r="I3779" t="n">
        <v>0.1114817271494118</v>
      </c>
      <c r="J3779" t="n">
        <v>0.0089147037600645</v>
      </c>
      <c r="K3779" t="n">
        <v>0.8897630715206751</v>
      </c>
      <c r="L3779" t="b">
        <v>0</v>
      </c>
      <c r="M3779" t="b">
        <v>0</v>
      </c>
      <c r="N3779" t="inlineStr">
        <is>
          <t>alt</t>
        </is>
      </c>
      <c r="O3779" t="n">
        <v>10</v>
      </c>
      <c r="P3779" t="n">
        <v>0.001076</v>
      </c>
      <c r="Q3779" t="n">
        <v>80</v>
      </c>
      <c r="R3779" t="n">
        <v>0.063</v>
      </c>
      <c r="S3779">
        <f>IMAGE("https://mitra.stanford.edu/kundaje/oak/projects/neuro-variants/variant_position/credible/roussos_2024/variant_figures/roussos_2024.adolescence.GLU/rs55634663_count_position.png",4,220,900)</f>
        <v/>
      </c>
      <c r="T3779">
        <f>IMAGE("https://mitra.stanford.edu/kundaje/oak/projects/neuro-variants/variant_position/credible/roussos_2024/variant_figures/roussos_2024.adolescence.GLU/rs55634663_profile_position.png",4,220,900)</f>
        <v/>
      </c>
    </row>
    <row r="3780">
      <c r="A3780" t="inlineStr">
        <is>
          <t>chr7</t>
        </is>
      </c>
      <c r="B3780" t="n">
        <v>110432071</v>
      </c>
      <c r="C3780" t="inlineStr">
        <is>
          <t>G</t>
        </is>
      </c>
      <c r="D3780" t="inlineStr">
        <is>
          <t>T</t>
        </is>
      </c>
      <c r="E3780" t="inlineStr">
        <is>
          <t>rs211792</t>
        </is>
      </c>
      <c r="F3780" t="n">
        <v>0.015807380896</v>
      </c>
      <c r="G3780" t="n">
        <v>0.3942298786726182</v>
      </c>
      <c r="H3780" t="n">
        <v>0.0122187603889361</v>
      </c>
      <c r="I3780" t="n">
        <v>0.3165642787388313</v>
      </c>
      <c r="J3780" t="n">
        <v>0.1831522243893377</v>
      </c>
      <c r="K3780" t="n">
        <v>0.4205203096594924</v>
      </c>
      <c r="L3780" t="b">
        <v>0</v>
      </c>
      <c r="M3780" t="b">
        <v>0</v>
      </c>
      <c r="N3780" t="inlineStr">
        <is>
          <t>alt</t>
        </is>
      </c>
      <c r="O3780" t="n">
        <v>90</v>
      </c>
      <c r="P3780" t="n">
        <v>0.0182</v>
      </c>
      <c r="Q3780" t="n">
        <v>90</v>
      </c>
      <c r="R3780" t="n">
        <v>0.1486</v>
      </c>
      <c r="S3780">
        <f>IMAGE("https://mitra.stanford.edu/kundaje/oak/projects/neuro-variants/variant_position/credible/roussos_2024/variant_figures/roussos_2024.adolescence.GLU/rs211792_count_position.png",4,220,900)</f>
        <v/>
      </c>
      <c r="T3780">
        <f>IMAGE("https://mitra.stanford.edu/kundaje/oak/projects/neuro-variants/variant_position/credible/roussos_2024/variant_figures/roussos_2024.adolescence.GLU/rs211792_profile_position.png",4,220,900)</f>
        <v/>
      </c>
    </row>
    <row r="3781">
      <c r="A3781" t="inlineStr">
        <is>
          <t>chr7</t>
        </is>
      </c>
      <c r="B3781" t="n">
        <v>110467153</v>
      </c>
      <c r="C3781" t="inlineStr">
        <is>
          <t>A</t>
        </is>
      </c>
      <c r="D3781" t="inlineStr">
        <is>
          <t>C</t>
        </is>
      </c>
      <c r="E3781" t="inlineStr">
        <is>
          <t>rs56680698</t>
        </is>
      </c>
      <c r="F3781" t="n">
        <v>0.055255075</v>
      </c>
      <c r="G3781" t="n">
        <v>0.0461681209604646</v>
      </c>
      <c r="H3781" t="n">
        <v>0.0133602936683427</v>
      </c>
      <c r="I3781" t="n">
        <v>0.2398625844826258</v>
      </c>
      <c r="J3781" t="n">
        <v>0.2502146873280894</v>
      </c>
      <c r="K3781" t="n">
        <v>0.3306126795806969</v>
      </c>
      <c r="L3781" t="b">
        <v>0</v>
      </c>
      <c r="M3781" t="b">
        <v>0</v>
      </c>
      <c r="N3781" t="inlineStr">
        <is>
          <t>alt</t>
        </is>
      </c>
      <c r="O3781" t="n">
        <v>100</v>
      </c>
      <c r="P3781" t="n">
        <v>0.003906</v>
      </c>
      <c r="Q3781" t="n">
        <v>-95</v>
      </c>
      <c r="R3781" t="n">
        <v>0.07580000000000001</v>
      </c>
      <c r="S3781">
        <f>IMAGE("https://mitra.stanford.edu/kundaje/oak/projects/neuro-variants/variant_position/credible/roussos_2024/variant_figures/roussos_2024.adolescence.GLU/rs56680698_count_position.png",4,220,900)</f>
        <v/>
      </c>
      <c r="T3781">
        <f>IMAGE("https://mitra.stanford.edu/kundaje/oak/projects/neuro-variants/variant_position/credible/roussos_2024/variant_figures/roussos_2024.adolescence.GLU/rs56680698_profile_position.png",4,220,900)</f>
        <v/>
      </c>
    </row>
    <row r="3782">
      <c r="A3782" t="inlineStr">
        <is>
          <t>chr7</t>
        </is>
      </c>
      <c r="B3782" t="n">
        <v>110668619</v>
      </c>
      <c r="C3782" t="inlineStr">
        <is>
          <t>C</t>
        </is>
      </c>
      <c r="D3782" t="inlineStr">
        <is>
          <t>T</t>
        </is>
      </c>
      <c r="E3782" t="inlineStr">
        <is>
          <t>rs1525674</t>
        </is>
      </c>
      <c r="F3782" t="n">
        <v>-0.009494751500000001</v>
      </c>
      <c r="G3782" t="n">
        <v>0.5447881120885294</v>
      </c>
      <c r="H3782" t="n">
        <v>0.0198569840448808</v>
      </c>
      <c r="I3782" t="n">
        <v>0.0584739185303036</v>
      </c>
      <c r="J3782" t="n">
        <v>0.0479656500275056</v>
      </c>
      <c r="K3782" t="n">
        <v>0.7077365054942105</v>
      </c>
      <c r="L3782" t="b">
        <v>0</v>
      </c>
      <c r="M3782" t="b">
        <v>0</v>
      </c>
      <c r="N3782" t="inlineStr">
        <is>
          <t>ref</t>
        </is>
      </c>
      <c r="O3782" t="n">
        <v>80</v>
      </c>
      <c r="P3782" t="n">
        <v>0.007812</v>
      </c>
      <c r="Q3782" t="n">
        <v>30</v>
      </c>
      <c r="R3782" t="n">
        <v>0.03345</v>
      </c>
      <c r="S3782">
        <f>IMAGE("https://mitra.stanford.edu/kundaje/oak/projects/neuro-variants/variant_position/credible/roussos_2024/variant_figures/roussos_2024.adolescence.GLU/rs1525674_count_position.png",4,220,900)</f>
        <v/>
      </c>
      <c r="T3782">
        <f>IMAGE("https://mitra.stanford.edu/kundaje/oak/projects/neuro-variants/variant_position/credible/roussos_2024/variant_figures/roussos_2024.adolescence.GLU/rs1525674_profile_position.png",4,220,900)</f>
        <v/>
      </c>
    </row>
    <row r="3783">
      <c r="A3783" t="inlineStr">
        <is>
          <t>chr7</t>
        </is>
      </c>
      <c r="B3783" t="n">
        <v>111227479</v>
      </c>
      <c r="C3783" t="inlineStr">
        <is>
          <t>A</t>
        </is>
      </c>
      <c r="D3783" t="inlineStr">
        <is>
          <t>G</t>
        </is>
      </c>
      <c r="E3783" t="inlineStr">
        <is>
          <t>rs214475</t>
        </is>
      </c>
      <c r="F3783" t="n">
        <v>0.0048222084999999</v>
      </c>
      <c r="G3783" t="n">
        <v>0.6672010901130839</v>
      </c>
      <c r="H3783" t="n">
        <v>0.008848759044181901</v>
      </c>
      <c r="I3783" t="n">
        <v>0.6810316407556223</v>
      </c>
      <c r="J3783" t="n">
        <v>0.1279679362153588</v>
      </c>
      <c r="K3783" t="n">
        <v>0.5159867857557058</v>
      </c>
      <c r="L3783" t="b">
        <v>0</v>
      </c>
      <c r="M3783" t="b">
        <v>0</v>
      </c>
      <c r="N3783" t="inlineStr">
        <is>
          <t>alt</t>
        </is>
      </c>
      <c r="O3783" t="n">
        <v>-70</v>
      </c>
      <c r="P3783" t="n">
        <v>0.002607</v>
      </c>
      <c r="Q3783" t="n">
        <v>75</v>
      </c>
      <c r="R3783" t="n">
        <v>0.1078</v>
      </c>
      <c r="S3783">
        <f>IMAGE("https://mitra.stanford.edu/kundaje/oak/projects/neuro-variants/variant_position/credible/roussos_2024/variant_figures/roussos_2024.adolescence.GLU/rs214475_count_position.png",4,220,900)</f>
        <v/>
      </c>
      <c r="T3783">
        <f>IMAGE("https://mitra.stanford.edu/kundaje/oak/projects/neuro-variants/variant_position/credible/roussos_2024/variant_figures/roussos_2024.adolescence.GLU/rs214475_profile_position.png",4,220,900)</f>
        <v/>
      </c>
    </row>
    <row r="3784">
      <c r="A3784" t="inlineStr">
        <is>
          <t>chr7</t>
        </is>
      </c>
      <c r="B3784" t="n">
        <v>111269113</v>
      </c>
      <c r="C3784" t="inlineStr">
        <is>
          <t>C</t>
        </is>
      </c>
      <c r="D3784" t="inlineStr">
        <is>
          <t>T</t>
        </is>
      </c>
      <c r="E3784" t="inlineStr">
        <is>
          <t>rs6959670</t>
        </is>
      </c>
      <c r="F3784" t="n">
        <v>0.02970310616</v>
      </c>
      <c r="G3784" t="n">
        <v>0.1928058115869711</v>
      </c>
      <c r="H3784" t="n">
        <v>0.0142857301917805</v>
      </c>
      <c r="I3784" t="n">
        <v>0.2378796602530554</v>
      </c>
      <c r="J3784" t="n">
        <v>0.0475441341420722</v>
      </c>
      <c r="K3784" t="n">
        <v>0.7071739416519328</v>
      </c>
      <c r="L3784" t="b">
        <v>0</v>
      </c>
      <c r="M3784" t="b">
        <v>0</v>
      </c>
      <c r="N3784" t="inlineStr">
        <is>
          <t>alt</t>
        </is>
      </c>
      <c r="O3784" t="n">
        <v>-10</v>
      </c>
      <c r="P3784" t="n">
        <v>0.001068</v>
      </c>
      <c r="Q3784" t="n">
        <v>10</v>
      </c>
      <c r="R3784" t="n">
        <v>0.007324</v>
      </c>
      <c r="S3784">
        <f>IMAGE("https://mitra.stanford.edu/kundaje/oak/projects/neuro-variants/variant_position/credible/roussos_2024/variant_figures/roussos_2024.adolescence.GLU/rs6959670_count_position.png",4,220,900)</f>
        <v/>
      </c>
      <c r="T3784">
        <f>IMAGE("https://mitra.stanford.edu/kundaje/oak/projects/neuro-variants/variant_position/credible/roussos_2024/variant_figures/roussos_2024.adolescence.GLU/rs6959670_profile_position.png",4,220,900)</f>
        <v/>
      </c>
    </row>
    <row r="3785">
      <c r="A3785" t="inlineStr">
        <is>
          <t>chr7</t>
        </is>
      </c>
      <c r="B3785" t="n">
        <v>111277630</v>
      </c>
      <c r="C3785" t="inlineStr">
        <is>
          <t>C</t>
        </is>
      </c>
      <c r="D3785" t="inlineStr">
        <is>
          <t>T</t>
        </is>
      </c>
      <c r="E3785" t="inlineStr">
        <is>
          <t>rs13239254</t>
        </is>
      </c>
      <c r="F3785" t="n">
        <v>-0.037077315</v>
      </c>
      <c r="G3785" t="n">
        <v>0.1303795243310714</v>
      </c>
      <c r="H3785" t="n">
        <v>0.0121112718661971</v>
      </c>
      <c r="I3785" t="n">
        <v>0.329342042569369</v>
      </c>
      <c r="J3785" t="n">
        <v>0.0616699173400203</v>
      </c>
      <c r="K3785" t="n">
        <v>0.6607489067384891</v>
      </c>
      <c r="L3785" t="b">
        <v>0</v>
      </c>
      <c r="M3785" t="b">
        <v>0</v>
      </c>
      <c r="N3785" t="inlineStr">
        <is>
          <t>ref</t>
        </is>
      </c>
      <c r="O3785" t="n">
        <v>-5</v>
      </c>
      <c r="P3785" t="n">
        <v>0.001526</v>
      </c>
      <c r="Q3785" t="n">
        <v>-15</v>
      </c>
      <c r="R3785" t="n">
        <v>0.01074</v>
      </c>
      <c r="S3785">
        <f>IMAGE("https://mitra.stanford.edu/kundaje/oak/projects/neuro-variants/variant_position/credible/roussos_2024/variant_figures/roussos_2024.adolescence.GLU/rs13239254_count_position.png",4,220,900)</f>
        <v/>
      </c>
      <c r="T3785">
        <f>IMAGE("https://mitra.stanford.edu/kundaje/oak/projects/neuro-variants/variant_position/credible/roussos_2024/variant_figures/roussos_2024.adolescence.GLU/rs13239254_profile_position.png",4,220,900)</f>
        <v/>
      </c>
    </row>
    <row r="3786">
      <c r="A3786" t="inlineStr">
        <is>
          <t>chr7</t>
        </is>
      </c>
      <c r="B3786" t="n">
        <v>111348537</v>
      </c>
      <c r="C3786" t="inlineStr">
        <is>
          <t>G</t>
        </is>
      </c>
      <c r="D3786" t="inlineStr">
        <is>
          <t>T</t>
        </is>
      </c>
      <c r="E3786" t="inlineStr">
        <is>
          <t>rs35426637</t>
        </is>
      </c>
      <c r="F3786" t="n">
        <v>-0.0172165004</v>
      </c>
      <c r="G3786" t="n">
        <v>0.3450697288483327</v>
      </c>
      <c r="H3786" t="n">
        <v>0.0153503213641696</v>
      </c>
      <c r="I3786" t="n">
        <v>0.1458826533318357</v>
      </c>
      <c r="J3786" t="n">
        <v>0.08445463703195651</v>
      </c>
      <c r="K3786" t="n">
        <v>0.6095784778657953</v>
      </c>
      <c r="L3786" t="b">
        <v>0</v>
      </c>
      <c r="M3786" t="b">
        <v>0</v>
      </c>
      <c r="N3786" t="inlineStr">
        <is>
          <t>ref</t>
        </is>
      </c>
      <c r="O3786" t="n">
        <v>-100</v>
      </c>
      <c r="P3786" t="n">
        <v>0.008835000000000001</v>
      </c>
      <c r="Q3786" t="n">
        <v>0</v>
      </c>
      <c r="R3786" t="n">
        <v>0</v>
      </c>
      <c r="S3786">
        <f>IMAGE("https://mitra.stanford.edu/kundaje/oak/projects/neuro-variants/variant_position/credible/roussos_2024/variant_figures/roussos_2024.adolescence.GLU/rs35426637_count_position.png",4,220,900)</f>
        <v/>
      </c>
      <c r="T3786">
        <f>IMAGE("https://mitra.stanford.edu/kundaje/oak/projects/neuro-variants/variant_position/credible/roussos_2024/variant_figures/roussos_2024.adolescence.GLU/rs35426637_profile_position.png",4,220,900)</f>
        <v/>
      </c>
    </row>
    <row r="3787">
      <c r="A3787" t="inlineStr">
        <is>
          <t>chr7</t>
        </is>
      </c>
      <c r="B3787" t="n">
        <v>115389596</v>
      </c>
      <c r="C3787" t="inlineStr">
        <is>
          <t>T</t>
        </is>
      </c>
      <c r="D3787" t="inlineStr">
        <is>
          <t>C</t>
        </is>
      </c>
      <c r="E3787" t="inlineStr">
        <is>
          <t>rs59369558</t>
        </is>
      </c>
      <c r="F3787" t="n">
        <v>0.0200507878</v>
      </c>
      <c r="G3787" t="n">
        <v>0.1826934711004754</v>
      </c>
      <c r="H3787" t="n">
        <v>0.0143789984265331</v>
      </c>
      <c r="I3787" t="n">
        <v>0.1877354805065906</v>
      </c>
      <c r="J3787" t="n">
        <v>0.0216430546327453</v>
      </c>
      <c r="K3787" t="n">
        <v>0.8097947845621795</v>
      </c>
      <c r="L3787" t="b">
        <v>0</v>
      </c>
      <c r="M3787" t="b">
        <v>0</v>
      </c>
      <c r="N3787" t="inlineStr">
        <is>
          <t>alt</t>
        </is>
      </c>
      <c r="O3787" t="n">
        <v>-55</v>
      </c>
      <c r="P3787" t="n">
        <v>0.005566</v>
      </c>
      <c r="Q3787" t="n">
        <v>100</v>
      </c>
      <c r="R3787" t="n">
        <v>0.01495</v>
      </c>
      <c r="S3787">
        <f>IMAGE("https://mitra.stanford.edu/kundaje/oak/projects/neuro-variants/variant_position/credible/roussos_2024/variant_figures/roussos_2024.adolescence.GLU/rs59369558_count_position.png",4,220,900)</f>
        <v/>
      </c>
      <c r="T3787">
        <f>IMAGE("https://mitra.stanford.edu/kundaje/oak/projects/neuro-variants/variant_position/credible/roussos_2024/variant_figures/roussos_2024.adolescence.GLU/rs59369558_profile_position.png",4,220,900)</f>
        <v/>
      </c>
    </row>
    <row r="3788">
      <c r="A3788" t="inlineStr">
        <is>
          <t>chr7</t>
        </is>
      </c>
      <c r="B3788" t="n">
        <v>115405658</v>
      </c>
      <c r="C3788" t="inlineStr">
        <is>
          <t>A</t>
        </is>
      </c>
      <c r="D3788" t="inlineStr">
        <is>
          <t>C</t>
        </is>
      </c>
      <c r="E3788" t="inlineStr">
        <is>
          <t>rs12706031</t>
        </is>
      </c>
      <c r="F3788" t="n">
        <v>-0.0266003664</v>
      </c>
      <c r="G3788" t="n">
        <v>0.2140303459333844</v>
      </c>
      <c r="H3788" t="n">
        <v>0.0273657807860125</v>
      </c>
      <c r="I3788" t="n">
        <v>0.0133901486809119</v>
      </c>
      <c r="J3788" t="n">
        <v>0.0560058869337219</v>
      </c>
      <c r="K3788" t="n">
        <v>0.6802116029951594</v>
      </c>
      <c r="L3788" t="b">
        <v>1</v>
      </c>
      <c r="M3788" t="b">
        <v>0</v>
      </c>
      <c r="N3788" t="inlineStr">
        <is>
          <t>ref</t>
        </is>
      </c>
      <c r="O3788" t="n">
        <v>85</v>
      </c>
      <c r="P3788" t="n">
        <v>0.002434</v>
      </c>
      <c r="Q3788" t="n">
        <v>85</v>
      </c>
      <c r="R3788" t="n">
        <v>0.0733</v>
      </c>
      <c r="S3788">
        <f>IMAGE("https://mitra.stanford.edu/kundaje/oak/projects/neuro-variants/variant_position/credible/roussos_2024/variant_figures/roussos_2024.adolescence.GLU/rs12706031_count_position.png",4,220,900)</f>
        <v/>
      </c>
      <c r="T3788">
        <f>IMAGE("https://mitra.stanford.edu/kundaje/oak/projects/neuro-variants/variant_position/credible/roussos_2024/variant_figures/roussos_2024.adolescence.GLU/rs12706031_profile_position.png",4,220,900)</f>
        <v/>
      </c>
    </row>
    <row r="3789">
      <c r="A3789" t="inlineStr">
        <is>
          <t>chr7</t>
        </is>
      </c>
      <c r="B3789" t="n">
        <v>115417808</v>
      </c>
      <c r="C3789" t="inlineStr">
        <is>
          <t>G</t>
        </is>
      </c>
      <c r="D3789" t="inlineStr">
        <is>
          <t>C</t>
        </is>
      </c>
      <c r="E3789" t="inlineStr">
        <is>
          <t>rs2401924</t>
        </is>
      </c>
      <c r="F3789" t="n">
        <v>-0.0506715857999999</v>
      </c>
      <c r="G3789" t="n">
        <v>0.0709760818762767</v>
      </c>
      <c r="H3789" t="n">
        <v>0.0122390317034653</v>
      </c>
      <c r="I3789" t="n">
        <v>0.3194261250672315</v>
      </c>
      <c r="J3789" t="n">
        <v>0.1643626179708654</v>
      </c>
      <c r="K3789" t="n">
        <v>0.4458853674526472</v>
      </c>
      <c r="L3789" t="b">
        <v>0</v>
      </c>
      <c r="M3789" t="b">
        <v>0</v>
      </c>
      <c r="N3789" t="inlineStr">
        <is>
          <t>ref</t>
        </is>
      </c>
      <c r="O3789" t="n">
        <v>-100</v>
      </c>
      <c r="P3789" t="n">
        <v>0.0361</v>
      </c>
      <c r="Q3789" t="n">
        <v>-50</v>
      </c>
      <c r="R3789" t="n">
        <v>0.03247</v>
      </c>
      <c r="S3789">
        <f>IMAGE("https://mitra.stanford.edu/kundaje/oak/projects/neuro-variants/variant_position/credible/roussos_2024/variant_figures/roussos_2024.adolescence.GLU/rs2401924_count_position.png",4,220,900)</f>
        <v/>
      </c>
      <c r="T3789">
        <f>IMAGE("https://mitra.stanford.edu/kundaje/oak/projects/neuro-variants/variant_position/credible/roussos_2024/variant_figures/roussos_2024.adolescence.GLU/rs2401924_profile_position.png",4,220,900)</f>
        <v/>
      </c>
    </row>
    <row r="3790">
      <c r="A3790" t="inlineStr">
        <is>
          <t>chr7</t>
        </is>
      </c>
      <c r="B3790" t="n">
        <v>115420155</v>
      </c>
      <c r="C3790" t="inlineStr">
        <is>
          <t>G</t>
        </is>
      </c>
      <c r="D3790" t="inlineStr">
        <is>
          <t>A</t>
        </is>
      </c>
      <c r="E3790" t="inlineStr">
        <is>
          <t>rs62474713</t>
        </is>
      </c>
      <c r="F3790" t="n">
        <v>-0.0378134208</v>
      </c>
      <c r="G3790" t="n">
        <v>0.1288191041734224</v>
      </c>
      <c r="H3790" t="n">
        <v>0.0091091789044324</v>
      </c>
      <c r="I3790" t="n">
        <v>0.6382727275743071</v>
      </c>
      <c r="J3790" t="n">
        <v>0.0880268055525787</v>
      </c>
      <c r="K3790" t="n">
        <v>0.5968482805988714</v>
      </c>
      <c r="L3790" t="b">
        <v>0</v>
      </c>
      <c r="M3790" t="b">
        <v>0</v>
      </c>
      <c r="N3790" t="inlineStr">
        <is>
          <t>ref</t>
        </is>
      </c>
      <c r="O3790" t="n">
        <v>75</v>
      </c>
      <c r="P3790" t="n">
        <v>0.00613</v>
      </c>
      <c r="Q3790" t="n">
        <v>-10</v>
      </c>
      <c r="R3790" t="n">
        <v>0.002014</v>
      </c>
      <c r="S3790">
        <f>IMAGE("https://mitra.stanford.edu/kundaje/oak/projects/neuro-variants/variant_position/credible/roussos_2024/variant_figures/roussos_2024.adolescence.GLU/rs62474713_count_position.png",4,220,900)</f>
        <v/>
      </c>
      <c r="T3790">
        <f>IMAGE("https://mitra.stanford.edu/kundaje/oak/projects/neuro-variants/variant_position/credible/roussos_2024/variant_figures/roussos_2024.adolescence.GLU/rs62474713_profile_position.png",4,220,900)</f>
        <v/>
      </c>
    </row>
    <row r="3791">
      <c r="A3791" t="inlineStr">
        <is>
          <t>chr7</t>
        </is>
      </c>
      <c r="B3791" t="n">
        <v>115421602</v>
      </c>
      <c r="C3791" t="inlineStr">
        <is>
          <t>A</t>
        </is>
      </c>
      <c r="D3791" t="inlineStr">
        <is>
          <t>G</t>
        </is>
      </c>
      <c r="E3791" t="inlineStr">
        <is>
          <t>rs2401925</t>
        </is>
      </c>
      <c r="F3791" t="n">
        <v>0.0626756882</v>
      </c>
      <c r="G3791" t="n">
        <v>0.0297235243418788</v>
      </c>
      <c r="H3791" t="n">
        <v>0.0133472320297249</v>
      </c>
      <c r="I3791" t="n">
        <v>0.2352640171744145</v>
      </c>
      <c r="J3791" t="n">
        <v>0.0589836466125125</v>
      </c>
      <c r="K3791" t="n">
        <v>0.6768900420498236</v>
      </c>
      <c r="L3791" t="b">
        <v>0</v>
      </c>
      <c r="M3791" t="b">
        <v>0</v>
      </c>
      <c r="N3791" t="inlineStr">
        <is>
          <t>alt</t>
        </is>
      </c>
      <c r="O3791" t="n">
        <v>-95</v>
      </c>
      <c r="P3791" t="n">
        <v>0.06665</v>
      </c>
      <c r="Q3791" t="n">
        <v>0</v>
      </c>
      <c r="R3791" t="n">
        <v>0</v>
      </c>
      <c r="S3791">
        <f>IMAGE("https://mitra.stanford.edu/kundaje/oak/projects/neuro-variants/variant_position/credible/roussos_2024/variant_figures/roussos_2024.adolescence.GLU/rs2401925_count_position.png",4,220,900)</f>
        <v/>
      </c>
      <c r="T3791">
        <f>IMAGE("https://mitra.stanford.edu/kundaje/oak/projects/neuro-variants/variant_position/credible/roussos_2024/variant_figures/roussos_2024.adolescence.GLU/rs2401925_profile_position.png",4,220,900)</f>
        <v/>
      </c>
    </row>
    <row r="3792">
      <c r="A3792" t="inlineStr">
        <is>
          <t>chr7</t>
        </is>
      </c>
      <c r="B3792" t="n">
        <v>115428659</v>
      </c>
      <c r="C3792" t="inlineStr">
        <is>
          <t>A</t>
        </is>
      </c>
      <c r="D3792" t="inlineStr">
        <is>
          <t>G</t>
        </is>
      </c>
      <c r="E3792" t="inlineStr">
        <is>
          <t>rs1358394</t>
        </is>
      </c>
      <c r="F3792" t="n">
        <v>0.001875757168</v>
      </c>
      <c r="G3792" t="n">
        <v>0.8150342089789326</v>
      </c>
      <c r="H3792" t="n">
        <v>0.0211330331922943</v>
      </c>
      <c r="I3792" t="n">
        <v>0.0479689463064241</v>
      </c>
      <c r="J3792" t="n">
        <v>0.0191082438505118</v>
      </c>
      <c r="K3792" t="n">
        <v>0.8290517713695079</v>
      </c>
      <c r="L3792" t="b">
        <v>0</v>
      </c>
      <c r="M3792" t="b">
        <v>0</v>
      </c>
      <c r="N3792" t="inlineStr">
        <is>
          <t>alt</t>
        </is>
      </c>
      <c r="O3792" t="n">
        <v>30</v>
      </c>
      <c r="P3792" t="n">
        <v>0.014175</v>
      </c>
      <c r="Q3792" t="n">
        <v>45</v>
      </c>
      <c r="R3792" t="n">
        <v>0.01709</v>
      </c>
      <c r="S3792">
        <f>IMAGE("https://mitra.stanford.edu/kundaje/oak/projects/neuro-variants/variant_position/credible/roussos_2024/variant_figures/roussos_2024.adolescence.GLU/rs1358394_count_position.png",4,220,900)</f>
        <v/>
      </c>
      <c r="T3792">
        <f>IMAGE("https://mitra.stanford.edu/kundaje/oak/projects/neuro-variants/variant_position/credible/roussos_2024/variant_figures/roussos_2024.adolescence.GLU/rs1358394_profile_position.png",4,220,900)</f>
        <v/>
      </c>
    </row>
    <row r="3793">
      <c r="A3793" t="inlineStr">
        <is>
          <t>chr7</t>
        </is>
      </c>
      <c r="B3793" t="n">
        <v>115464509</v>
      </c>
      <c r="C3793" t="inlineStr">
        <is>
          <t>T</t>
        </is>
      </c>
      <c r="D3793" t="inlineStr">
        <is>
          <t>C</t>
        </is>
      </c>
      <c r="E3793" t="inlineStr">
        <is>
          <t>rs4730682</t>
        </is>
      </c>
      <c r="F3793" t="n">
        <v>0.02254251824</v>
      </c>
      <c r="G3793" t="n">
        <v>0.2809532639498086</v>
      </c>
      <c r="H3793" t="n">
        <v>0.0178654227208346</v>
      </c>
      <c r="I3793" t="n">
        <v>0.095129358062352</v>
      </c>
      <c r="J3793" t="n">
        <v>0.0019689792885668</v>
      </c>
      <c r="K3793" t="n">
        <v>0.9607582077034644</v>
      </c>
      <c r="L3793" t="b">
        <v>0</v>
      </c>
      <c r="M3793" t="b">
        <v>0</v>
      </c>
      <c r="N3793" t="inlineStr">
        <is>
          <t>alt</t>
        </is>
      </c>
      <c r="O3793" t="n">
        <v>-50</v>
      </c>
      <c r="P3793" t="n">
        <v>0.002195</v>
      </c>
      <c r="Q3793" t="n">
        <v>-95</v>
      </c>
      <c r="R3793" t="n">
        <v>0.0944</v>
      </c>
      <c r="S3793">
        <f>IMAGE("https://mitra.stanford.edu/kundaje/oak/projects/neuro-variants/variant_position/credible/roussos_2024/variant_figures/roussos_2024.adolescence.GLU/rs4730682_count_position.png",4,220,900)</f>
        <v/>
      </c>
      <c r="T3793">
        <f>IMAGE("https://mitra.stanford.edu/kundaje/oak/projects/neuro-variants/variant_position/credible/roussos_2024/variant_figures/roussos_2024.adolescence.GLU/rs4730682_profile_position.png",4,220,900)</f>
        <v/>
      </c>
    </row>
    <row r="3794">
      <c r="A3794" t="inlineStr">
        <is>
          <t>chr7</t>
        </is>
      </c>
      <c r="B3794" t="n">
        <v>127857531</v>
      </c>
      <c r="C3794" t="inlineStr">
        <is>
          <t>C</t>
        </is>
      </c>
      <c r="D3794" t="inlineStr">
        <is>
          <t>T</t>
        </is>
      </c>
      <c r="E3794" t="inlineStr">
        <is>
          <t>rs10269552</t>
        </is>
      </c>
      <c r="F3794" t="n">
        <v>-0.0004029119313999</v>
      </c>
      <c r="G3794" t="n">
        <v>0.7918316653231654</v>
      </c>
      <c r="H3794" t="n">
        <v>0.0216340999004521</v>
      </c>
      <c r="I3794" t="n">
        <v>0.0401893421220186</v>
      </c>
      <c r="J3794" t="n">
        <v>0.2558272785076908</v>
      </c>
      <c r="K3794" t="n">
        <v>0.3245545554469391</v>
      </c>
      <c r="L3794" t="b">
        <v>0</v>
      </c>
      <c r="M3794" t="b">
        <v>0</v>
      </c>
      <c r="N3794" t="inlineStr">
        <is>
          <t>ref</t>
        </is>
      </c>
      <c r="O3794" t="n">
        <v>-65</v>
      </c>
      <c r="P3794" t="n">
        <v>0.06915</v>
      </c>
      <c r="Q3794" t="n">
        <v>40</v>
      </c>
      <c r="R3794" t="n">
        <v>0.08594</v>
      </c>
      <c r="S3794">
        <f>IMAGE("https://mitra.stanford.edu/kundaje/oak/projects/neuro-variants/variant_position/credible/roussos_2024/variant_figures/roussos_2024.adolescence.GLU/rs10269552_count_position.png",4,220,900)</f>
        <v/>
      </c>
      <c r="T3794">
        <f>IMAGE("https://mitra.stanford.edu/kundaje/oak/projects/neuro-variants/variant_position/credible/roussos_2024/variant_figures/roussos_2024.adolescence.GLU/rs10269552_profile_position.png",4,220,900)</f>
        <v/>
      </c>
    </row>
    <row r="3795">
      <c r="A3795" t="inlineStr">
        <is>
          <t>chr7</t>
        </is>
      </c>
      <c r="B3795" t="n">
        <v>128029531</v>
      </c>
      <c r="C3795" t="inlineStr">
        <is>
          <t>T</t>
        </is>
      </c>
      <c r="D3795" t="inlineStr">
        <is>
          <t>C</t>
        </is>
      </c>
      <c r="E3795" t="inlineStr">
        <is>
          <t>rs73238074</t>
        </is>
      </c>
      <c r="F3795" t="n">
        <v>0.127013934</v>
      </c>
      <c r="G3795" t="n">
        <v>0.0035602289491927</v>
      </c>
      <c r="H3795" t="n">
        <v>0.0229697096737624</v>
      </c>
      <c r="I3795" t="n">
        <v>0.0316537438841471</v>
      </c>
      <c r="J3795" t="n">
        <v>0.5604132284544655</v>
      </c>
      <c r="K3795" t="n">
        <v>0.0538833949358366</v>
      </c>
      <c r="L3795" t="b">
        <v>1</v>
      </c>
      <c r="M3795" t="b">
        <v>1</v>
      </c>
      <c r="N3795" t="inlineStr">
        <is>
          <t>alt</t>
        </is>
      </c>
      <c r="O3795" t="n">
        <v>-95</v>
      </c>
      <c r="P3795" t="n">
        <v>0.00103</v>
      </c>
      <c r="Q3795" t="n">
        <v>-5</v>
      </c>
      <c r="R3795" t="n">
        <v>0.01062</v>
      </c>
      <c r="S3795">
        <f>IMAGE("https://mitra.stanford.edu/kundaje/oak/projects/neuro-variants/variant_position/credible/roussos_2024/variant_figures/roussos_2024.adolescence.GLU/rs73238074_count_position.png",4,220,900)</f>
        <v/>
      </c>
      <c r="T3795">
        <f>IMAGE("https://mitra.stanford.edu/kundaje/oak/projects/neuro-variants/variant_position/credible/roussos_2024/variant_figures/roussos_2024.adolescence.GLU/rs73238074_profile_position.png",4,220,900)</f>
        <v/>
      </c>
    </row>
    <row r="3796">
      <c r="A3796" t="inlineStr">
        <is>
          <t>chr7</t>
        </is>
      </c>
      <c r="B3796" t="n">
        <v>128066983</v>
      </c>
      <c r="C3796" t="inlineStr">
        <is>
          <t>C</t>
        </is>
      </c>
      <c r="D3796" t="inlineStr">
        <is>
          <t>T</t>
        </is>
      </c>
      <c r="E3796" t="inlineStr">
        <is>
          <t>rs3757753</t>
        </is>
      </c>
      <c r="F3796" t="n">
        <v>-0.0607629956</v>
      </c>
      <c r="G3796" t="n">
        <v>0.039412024761012</v>
      </c>
      <c r="H3796" t="n">
        <v>0.0136328760089823</v>
      </c>
      <c r="I3796" t="n">
        <v>0.2368885388767353</v>
      </c>
      <c r="J3796" t="n">
        <v>0.5289095598373948</v>
      </c>
      <c r="K3796" t="n">
        <v>0.07127235029877819</v>
      </c>
      <c r="L3796" t="b">
        <v>0</v>
      </c>
      <c r="M3796" t="b">
        <v>0</v>
      </c>
      <c r="N3796" t="inlineStr">
        <is>
          <t>ref</t>
        </is>
      </c>
      <c r="O3796" t="n">
        <v>-50</v>
      </c>
      <c r="P3796" t="n">
        <v>0.001242</v>
      </c>
      <c r="Q3796" t="n">
        <v>-95</v>
      </c>
      <c r="R3796" t="n">
        <v>0.08890000000000001</v>
      </c>
      <c r="S3796">
        <f>IMAGE("https://mitra.stanford.edu/kundaje/oak/projects/neuro-variants/variant_position/credible/roussos_2024/variant_figures/roussos_2024.adolescence.GLU/rs3757753_count_position.png",4,220,900)</f>
        <v/>
      </c>
      <c r="T3796">
        <f>IMAGE("https://mitra.stanford.edu/kundaje/oak/projects/neuro-variants/variant_position/credible/roussos_2024/variant_figures/roussos_2024.adolescence.GLU/rs3757753_profile_position.png",4,220,900)</f>
        <v/>
      </c>
    </row>
    <row r="3797">
      <c r="A3797" t="inlineStr">
        <is>
          <t>chr7</t>
        </is>
      </c>
      <c r="B3797" t="n">
        <v>128075850</v>
      </c>
      <c r="C3797" t="inlineStr">
        <is>
          <t>T</t>
        </is>
      </c>
      <c r="D3797" t="inlineStr">
        <is>
          <t>C</t>
        </is>
      </c>
      <c r="E3797" t="inlineStr">
        <is>
          <t>rs322832</t>
        </is>
      </c>
      <c r="F3797" t="n">
        <v>-0.0176734398</v>
      </c>
      <c r="G3797" t="n">
        <v>0.2588986337687959</v>
      </c>
      <c r="H3797" t="n">
        <v>0.0107566046446594</v>
      </c>
      <c r="I3797" t="n">
        <v>0.4468313970580436</v>
      </c>
      <c r="J3797" t="n">
        <v>0.5392474155360752</v>
      </c>
      <c r="K3797" t="n">
        <v>0.0658931225438497</v>
      </c>
      <c r="L3797" t="b">
        <v>0</v>
      </c>
      <c r="M3797" t="b">
        <v>0</v>
      </c>
      <c r="N3797" t="inlineStr">
        <is>
          <t>ref</t>
        </is>
      </c>
      <c r="O3797" t="n">
        <v>-65</v>
      </c>
      <c r="P3797" t="n">
        <v>0.001518</v>
      </c>
      <c r="Q3797" t="n">
        <v>65</v>
      </c>
      <c r="R3797" t="n">
        <v>0.04517</v>
      </c>
      <c r="S3797">
        <f>IMAGE("https://mitra.stanford.edu/kundaje/oak/projects/neuro-variants/variant_position/credible/roussos_2024/variant_figures/roussos_2024.adolescence.GLU/rs322832_count_position.png",4,220,900)</f>
        <v/>
      </c>
      <c r="T3797">
        <f>IMAGE("https://mitra.stanford.edu/kundaje/oak/projects/neuro-variants/variant_position/credible/roussos_2024/variant_figures/roussos_2024.adolescence.GLU/rs322832_profile_position.png",4,220,900)</f>
        <v/>
      </c>
    </row>
    <row r="3798">
      <c r="A3798" t="inlineStr">
        <is>
          <t>chr7</t>
        </is>
      </c>
      <c r="B3798" t="n">
        <v>128099669</v>
      </c>
      <c r="C3798" t="inlineStr">
        <is>
          <t>G</t>
        </is>
      </c>
      <c r="D3798" t="inlineStr">
        <is>
          <t>T</t>
        </is>
      </c>
      <c r="E3798" t="inlineStr">
        <is>
          <t>rs6954161</t>
        </is>
      </c>
      <c r="F3798" t="n">
        <v>0.01039552888</v>
      </c>
      <c r="G3798" t="n">
        <v>0.5133831179453402</v>
      </c>
      <c r="H3798" t="n">
        <v>0.0281264554863526</v>
      </c>
      <c r="I3798" t="n">
        <v>0.0112640953967827</v>
      </c>
      <c r="J3798" t="n">
        <v>0.2823899236270369</v>
      </c>
      <c r="K3798" t="n">
        <v>0.2937257053442594</v>
      </c>
      <c r="L3798" t="b">
        <v>1</v>
      </c>
      <c r="M3798" t="b">
        <v>0</v>
      </c>
      <c r="N3798" t="inlineStr">
        <is>
          <t>alt</t>
        </is>
      </c>
      <c r="O3798" t="n">
        <v>-5</v>
      </c>
      <c r="P3798" t="n">
        <v>0.0004048</v>
      </c>
      <c r="Q3798" t="n">
        <v>-80</v>
      </c>
      <c r="R3798" t="n">
        <v>0.07434</v>
      </c>
      <c r="S3798">
        <f>IMAGE("https://mitra.stanford.edu/kundaje/oak/projects/neuro-variants/variant_position/credible/roussos_2024/variant_figures/roussos_2024.adolescence.GLU/rs6954161_count_position.png",4,220,900)</f>
        <v/>
      </c>
      <c r="T3798">
        <f>IMAGE("https://mitra.stanford.edu/kundaje/oak/projects/neuro-variants/variant_position/credible/roussos_2024/variant_figures/roussos_2024.adolescence.GLU/rs6954161_profile_position.png",4,220,900)</f>
        <v/>
      </c>
    </row>
    <row r="3799">
      <c r="A3799" t="inlineStr">
        <is>
          <t>chr7</t>
        </is>
      </c>
      <c r="B3799" t="n">
        <v>128100012</v>
      </c>
      <c r="C3799" t="inlineStr">
        <is>
          <t>A</t>
        </is>
      </c>
      <c r="D3799" t="inlineStr">
        <is>
          <t>G</t>
        </is>
      </c>
      <c r="E3799" t="inlineStr">
        <is>
          <t>rs6954389</t>
        </is>
      </c>
      <c r="F3799" t="n">
        <v>0.0420997624</v>
      </c>
      <c r="G3799" t="n">
        <v>0.0904850797332649</v>
      </c>
      <c r="H3799" t="n">
        <v>0.0164567680840071</v>
      </c>
      <c r="I3799" t="n">
        <v>0.1159075398116824</v>
      </c>
      <c r="J3799" t="n">
        <v>0.3588757671231897</v>
      </c>
      <c r="K3799" t="n">
        <v>0.2073123869772138</v>
      </c>
      <c r="L3799" t="b">
        <v>0</v>
      </c>
      <c r="M3799" t="b">
        <v>0</v>
      </c>
      <c r="N3799" t="inlineStr">
        <is>
          <t>alt</t>
        </is>
      </c>
      <c r="O3799" t="n">
        <v>-100</v>
      </c>
      <c r="P3799" t="n">
        <v>0.007732</v>
      </c>
      <c r="Q3799" t="n">
        <v>65</v>
      </c>
      <c r="R3799" t="n">
        <v>0.0823</v>
      </c>
      <c r="S3799">
        <f>IMAGE("https://mitra.stanford.edu/kundaje/oak/projects/neuro-variants/variant_position/credible/roussos_2024/variant_figures/roussos_2024.adolescence.GLU/rs6954389_count_position.png",4,220,900)</f>
        <v/>
      </c>
      <c r="T3799">
        <f>IMAGE("https://mitra.stanford.edu/kundaje/oak/projects/neuro-variants/variant_position/credible/roussos_2024/variant_figures/roussos_2024.adolescence.GLU/rs6954389_profile_position.png",4,220,900)</f>
        <v/>
      </c>
    </row>
    <row r="3800">
      <c r="A3800" t="inlineStr">
        <is>
          <t>chr7</t>
        </is>
      </c>
      <c r="B3800" t="n">
        <v>128100939</v>
      </c>
      <c r="C3800" t="inlineStr">
        <is>
          <t>G</t>
        </is>
      </c>
      <c r="D3800" t="inlineStr">
        <is>
          <t>T</t>
        </is>
      </c>
      <c r="E3800" t="inlineStr">
        <is>
          <t>rs7792971</t>
        </is>
      </c>
      <c r="F3800" t="n">
        <v>-0.0385906224</v>
      </c>
      <c r="G3800" t="n">
        <v>0.1235916293662558</v>
      </c>
      <c r="H3800" t="n">
        <v>0.0133177971052909</v>
      </c>
      <c r="I3800" t="n">
        <v>0.2542513201853573</v>
      </c>
      <c r="J3800" t="n">
        <v>0.4730894256667453</v>
      </c>
      <c r="K3800" t="n">
        <v>0.1077203918246621</v>
      </c>
      <c r="L3800" t="b">
        <v>0</v>
      </c>
      <c r="M3800" t="b">
        <v>0</v>
      </c>
      <c r="N3800" t="inlineStr">
        <is>
          <t>ref</t>
        </is>
      </c>
      <c r="O3800" t="n">
        <v>-35</v>
      </c>
      <c r="P3800" t="n">
        <v>0.004272</v>
      </c>
      <c r="Q3800" t="n">
        <v>-25</v>
      </c>
      <c r="R3800" t="n">
        <v>0.00354</v>
      </c>
      <c r="S3800">
        <f>IMAGE("https://mitra.stanford.edu/kundaje/oak/projects/neuro-variants/variant_position/credible/roussos_2024/variant_figures/roussos_2024.adolescence.GLU/rs7792971_count_position.png",4,220,900)</f>
        <v/>
      </c>
      <c r="T3800">
        <f>IMAGE("https://mitra.stanford.edu/kundaje/oak/projects/neuro-variants/variant_position/credible/roussos_2024/variant_figures/roussos_2024.adolescence.GLU/rs7792971_profile_position.png",4,220,900)</f>
        <v/>
      </c>
    </row>
    <row r="3801">
      <c r="A3801" t="inlineStr">
        <is>
          <t>chr7</t>
        </is>
      </c>
      <c r="B3801" t="n">
        <v>128102510</v>
      </c>
      <c r="C3801" t="inlineStr">
        <is>
          <t>G</t>
        </is>
      </c>
      <c r="D3801" t="inlineStr">
        <is>
          <t>A</t>
        </is>
      </c>
      <c r="E3801" t="inlineStr">
        <is>
          <t>rs6467161</t>
        </is>
      </c>
      <c r="F3801" t="n">
        <v>-0.028707548</v>
      </c>
      <c r="G3801" t="n">
        <v>0.1856383265287312</v>
      </c>
      <c r="H3801" t="n">
        <v>0.0133938239386432</v>
      </c>
      <c r="I3801" t="n">
        <v>0.2616294396805585</v>
      </c>
      <c r="J3801" t="n">
        <v>0.3366168706374892</v>
      </c>
      <c r="K3801" t="n">
        <v>0.2286019775067337</v>
      </c>
      <c r="L3801" t="b">
        <v>0</v>
      </c>
      <c r="M3801" t="b">
        <v>0</v>
      </c>
      <c r="N3801" t="inlineStr">
        <is>
          <t>ref</t>
        </is>
      </c>
      <c r="O3801" t="n">
        <v>-60</v>
      </c>
      <c r="P3801" t="n">
        <v>0.003359</v>
      </c>
      <c r="Q3801" t="n">
        <v>-60</v>
      </c>
      <c r="R3801" t="n">
        <v>0.03056</v>
      </c>
      <c r="S3801">
        <f>IMAGE("https://mitra.stanford.edu/kundaje/oak/projects/neuro-variants/variant_position/credible/roussos_2024/variant_figures/roussos_2024.adolescence.GLU/rs6467161_count_position.png",4,220,900)</f>
        <v/>
      </c>
      <c r="T3801">
        <f>IMAGE("https://mitra.stanford.edu/kundaje/oak/projects/neuro-variants/variant_position/credible/roussos_2024/variant_figures/roussos_2024.adolescence.GLU/rs6467161_profile_position.png",4,220,900)</f>
        <v/>
      </c>
    </row>
    <row r="3802">
      <c r="A3802" t="inlineStr">
        <is>
          <t>chr7</t>
        </is>
      </c>
      <c r="B3802" t="n">
        <v>128103272</v>
      </c>
      <c r="C3802" t="inlineStr">
        <is>
          <t>G</t>
        </is>
      </c>
      <c r="D3802" t="inlineStr">
        <is>
          <t>A</t>
        </is>
      </c>
      <c r="E3802" t="inlineStr">
        <is>
          <t>rs7803473</t>
        </is>
      </c>
      <c r="F3802" t="n">
        <v>-0.0333337551999999</v>
      </c>
      <c r="G3802" t="n">
        <v>0.1598255358295359</v>
      </c>
      <c r="H3802" t="n">
        <v>0.008152040818380901</v>
      </c>
      <c r="I3802" t="n">
        <v>0.7751494133576168</v>
      </c>
      <c r="J3802" t="n">
        <v>0.6081173957462618</v>
      </c>
      <c r="K3802" t="n">
        <v>0.0350770970422589</v>
      </c>
      <c r="L3802" t="b">
        <v>0</v>
      </c>
      <c r="M3802" t="b">
        <v>0</v>
      </c>
      <c r="N3802" t="inlineStr">
        <is>
          <t>ref</t>
        </is>
      </c>
      <c r="O3802" t="n">
        <v>-75</v>
      </c>
      <c r="P3802" t="n">
        <v>0.003967</v>
      </c>
      <c r="Q3802" t="n">
        <v>100</v>
      </c>
      <c r="R3802" t="n">
        <v>0.0564</v>
      </c>
      <c r="S3802">
        <f>IMAGE("https://mitra.stanford.edu/kundaje/oak/projects/neuro-variants/variant_position/credible/roussos_2024/variant_figures/roussos_2024.adolescence.GLU/rs7803473_count_position.png",4,220,900)</f>
        <v/>
      </c>
      <c r="T3802">
        <f>IMAGE("https://mitra.stanford.edu/kundaje/oak/projects/neuro-variants/variant_position/credible/roussos_2024/variant_figures/roussos_2024.adolescence.GLU/rs7803473_profile_position.png",4,220,900)</f>
        <v/>
      </c>
    </row>
    <row r="3803">
      <c r="A3803" t="inlineStr">
        <is>
          <t>chr7</t>
        </is>
      </c>
      <c r="B3803" t="n">
        <v>128103586</v>
      </c>
      <c r="C3803" t="inlineStr">
        <is>
          <t>G</t>
        </is>
      </c>
      <c r="D3803" t="inlineStr">
        <is>
          <t>A</t>
        </is>
      </c>
      <c r="E3803" t="inlineStr">
        <is>
          <t>rs6467163</t>
        </is>
      </c>
      <c r="F3803" t="n">
        <v>-0.2030478299999999</v>
      </c>
      <c r="G3803" t="n">
        <v>0.0011049003100495</v>
      </c>
      <c r="H3803" t="n">
        <v>0.0628728945135652</v>
      </c>
      <c r="I3803" t="n">
        <v>0.0008791892796976</v>
      </c>
      <c r="J3803" t="n">
        <v>0.7354494859649499</v>
      </c>
      <c r="K3803" t="n">
        <v>0.0116914699395244</v>
      </c>
      <c r="L3803" t="b">
        <v>1</v>
      </c>
      <c r="M3803" t="b">
        <v>1</v>
      </c>
      <c r="N3803" t="inlineStr">
        <is>
          <t>ref</t>
        </is>
      </c>
      <c r="O3803" t="n">
        <v>-75</v>
      </c>
      <c r="P3803" t="n">
        <v>0.003006</v>
      </c>
      <c r="Q3803" t="n">
        <v>75</v>
      </c>
      <c r="R3803" t="n">
        <v>0.1105</v>
      </c>
      <c r="S3803">
        <f>IMAGE("https://mitra.stanford.edu/kundaje/oak/projects/neuro-variants/variant_position/credible/roussos_2024/variant_figures/roussos_2024.adolescence.GLU/rs6467163_count_position.png",4,220,900)</f>
        <v/>
      </c>
      <c r="T3803">
        <f>IMAGE("https://mitra.stanford.edu/kundaje/oak/projects/neuro-variants/variant_position/credible/roussos_2024/variant_figures/roussos_2024.adolescence.GLU/rs6467163_profile_position.png",4,220,900)</f>
        <v/>
      </c>
    </row>
    <row r="3804">
      <c r="A3804" t="inlineStr">
        <is>
          <t>chr7</t>
        </is>
      </c>
      <c r="B3804" t="n">
        <v>128133841</v>
      </c>
      <c r="C3804" t="inlineStr">
        <is>
          <t>G</t>
        </is>
      </c>
      <c r="D3804" t="inlineStr">
        <is>
          <t>A</t>
        </is>
      </c>
      <c r="E3804" t="inlineStr">
        <is>
          <t>rs73239723</t>
        </is>
      </c>
      <c r="F3804" t="n">
        <v>0.00837667424</v>
      </c>
      <c r="G3804" t="n">
        <v>0.5198421543329679</v>
      </c>
      <c r="H3804" t="n">
        <v>0.0098965594332117</v>
      </c>
      <c r="I3804" t="n">
        <v>0.5384650090885054</v>
      </c>
      <c r="J3804" t="n">
        <v>0.1992569889477105</v>
      </c>
      <c r="K3804" t="n">
        <v>0.4079608688384515</v>
      </c>
      <c r="L3804" t="b">
        <v>0</v>
      </c>
      <c r="M3804" t="b">
        <v>0</v>
      </c>
      <c r="N3804" t="inlineStr">
        <is>
          <t>alt</t>
        </is>
      </c>
      <c r="O3804" t="n">
        <v>-35</v>
      </c>
      <c r="P3804" t="n">
        <v>0.001465</v>
      </c>
      <c r="Q3804" t="n">
        <v>-95</v>
      </c>
      <c r="R3804" t="n">
        <v>0.0885</v>
      </c>
      <c r="S3804">
        <f>IMAGE("https://mitra.stanford.edu/kundaje/oak/projects/neuro-variants/variant_position/credible/roussos_2024/variant_figures/roussos_2024.adolescence.GLU/rs73239723_count_position.png",4,220,900)</f>
        <v/>
      </c>
      <c r="T3804">
        <f>IMAGE("https://mitra.stanford.edu/kundaje/oak/projects/neuro-variants/variant_position/credible/roussos_2024/variant_figures/roussos_2024.adolescence.GLU/rs73239723_profile_position.png",4,220,900)</f>
        <v/>
      </c>
    </row>
    <row r="3805">
      <c r="A3805" t="inlineStr">
        <is>
          <t>chr7</t>
        </is>
      </c>
      <c r="B3805" t="n">
        <v>128266837</v>
      </c>
      <c r="C3805" t="inlineStr">
        <is>
          <t>G</t>
        </is>
      </c>
      <c r="D3805" t="inlineStr">
        <is>
          <t>A</t>
        </is>
      </c>
      <c r="E3805" t="inlineStr">
        <is>
          <t>rs142949934</t>
        </is>
      </c>
      <c r="F3805" t="n">
        <v>-0.0349818616</v>
      </c>
      <c r="G3805" t="n">
        <v>0.1485054713391317</v>
      </c>
      <c r="H3805" t="n">
        <v>0.0072439882641822</v>
      </c>
      <c r="I3805" t="n">
        <v>0.8648675664586075</v>
      </c>
      <c r="J3805" t="n">
        <v>0.4059326574790492</v>
      </c>
      <c r="K3805" t="n">
        <v>0.1625069783297037</v>
      </c>
      <c r="L3805" t="b">
        <v>0</v>
      </c>
      <c r="M3805" t="b">
        <v>0</v>
      </c>
      <c r="N3805" t="inlineStr">
        <is>
          <t>ref</t>
        </is>
      </c>
      <c r="O3805" t="n">
        <v>-55</v>
      </c>
      <c r="P3805" t="n">
        <v>0.00721</v>
      </c>
      <c r="Q3805" t="n">
        <v>85</v>
      </c>
      <c r="R3805" t="n">
        <v>0.1229</v>
      </c>
      <c r="S3805">
        <f>IMAGE("https://mitra.stanford.edu/kundaje/oak/projects/neuro-variants/variant_position/credible/roussos_2024/variant_figures/roussos_2024.adolescence.GLU/rs142949934_count_position.png",4,220,900)</f>
        <v/>
      </c>
      <c r="T3805">
        <f>IMAGE("https://mitra.stanford.edu/kundaje/oak/projects/neuro-variants/variant_position/credible/roussos_2024/variant_figures/roussos_2024.adolescence.GLU/rs142949934_profile_position.png",4,220,900)</f>
        <v/>
      </c>
    </row>
    <row r="3806">
      <c r="A3806" t="inlineStr">
        <is>
          <t>chr7</t>
        </is>
      </c>
      <c r="B3806" t="n">
        <v>128291271</v>
      </c>
      <c r="C3806" t="inlineStr">
        <is>
          <t>C</t>
        </is>
      </c>
      <c r="D3806" t="inlineStr">
        <is>
          <t>T</t>
        </is>
      </c>
      <c r="E3806" t="inlineStr">
        <is>
          <t>rs2122628</t>
        </is>
      </c>
      <c r="F3806" t="n">
        <v>-0.003861911576</v>
      </c>
      <c r="G3806" t="n">
        <v>0.6943611007257178</v>
      </c>
      <c r="H3806" t="n">
        <v>0.0106963602461126</v>
      </c>
      <c r="I3806" t="n">
        <v>0.4501034697163262</v>
      </c>
      <c r="J3806" t="n">
        <v>0.0526723392702773</v>
      </c>
      <c r="K3806" t="n">
        <v>0.6884067930278844</v>
      </c>
      <c r="L3806" t="b">
        <v>0</v>
      </c>
      <c r="M3806" t="b">
        <v>0</v>
      </c>
      <c r="N3806" t="inlineStr">
        <is>
          <t>ref</t>
        </is>
      </c>
      <c r="O3806" t="n">
        <v>-55</v>
      </c>
      <c r="P3806" t="n">
        <v>0.00386</v>
      </c>
      <c r="Q3806" t="n">
        <v>10</v>
      </c>
      <c r="R3806" t="n">
        <v>0.00589</v>
      </c>
      <c r="S3806">
        <f>IMAGE("https://mitra.stanford.edu/kundaje/oak/projects/neuro-variants/variant_position/credible/roussos_2024/variant_figures/roussos_2024.adolescence.GLU/rs2122628_count_position.png",4,220,900)</f>
        <v/>
      </c>
      <c r="T3806">
        <f>IMAGE("https://mitra.stanford.edu/kundaje/oak/projects/neuro-variants/variant_position/credible/roussos_2024/variant_figures/roussos_2024.adolescence.GLU/rs2122628_profile_position.png",4,220,900)</f>
        <v/>
      </c>
    </row>
    <row r="3807">
      <c r="A3807" t="inlineStr">
        <is>
          <t>chr7</t>
        </is>
      </c>
      <c r="B3807" t="n">
        <v>128292333</v>
      </c>
      <c r="C3807" t="inlineStr">
        <is>
          <t>T</t>
        </is>
      </c>
      <c r="D3807" t="inlineStr">
        <is>
          <t>G</t>
        </is>
      </c>
      <c r="E3807" t="inlineStr">
        <is>
          <t>rs10245775</t>
        </is>
      </c>
      <c r="F3807" t="n">
        <v>0.0591167743999999</v>
      </c>
      <c r="G3807" t="n">
        <v>0.0374152701381484</v>
      </c>
      <c r="H3807" t="n">
        <v>0.0129669095518369</v>
      </c>
      <c r="I3807" t="n">
        <v>0.2635979164287262</v>
      </c>
      <c r="J3807" t="n">
        <v>0.6120439233841296</v>
      </c>
      <c r="K3807" t="n">
        <v>0.033886104246521</v>
      </c>
      <c r="L3807" t="b">
        <v>0</v>
      </c>
      <c r="M3807" t="b">
        <v>0</v>
      </c>
      <c r="N3807" t="inlineStr">
        <is>
          <t>alt</t>
        </is>
      </c>
      <c r="O3807" t="n">
        <v>55</v>
      </c>
      <c r="P3807" t="n">
        <v>0.00399</v>
      </c>
      <c r="Q3807" t="n">
        <v>100</v>
      </c>
      <c r="R3807" t="n">
        <v>0.1018</v>
      </c>
      <c r="S3807">
        <f>IMAGE("https://mitra.stanford.edu/kundaje/oak/projects/neuro-variants/variant_position/credible/roussos_2024/variant_figures/roussos_2024.adolescence.GLU/rs10245775_count_position.png",4,220,900)</f>
        <v/>
      </c>
      <c r="T3807">
        <f>IMAGE("https://mitra.stanford.edu/kundaje/oak/projects/neuro-variants/variant_position/credible/roussos_2024/variant_figures/roussos_2024.adolescence.GLU/rs10245775_profile_position.png",4,220,900)</f>
        <v/>
      </c>
    </row>
    <row r="3808">
      <c r="A3808" t="inlineStr">
        <is>
          <t>chr7</t>
        </is>
      </c>
      <c r="B3808" t="n">
        <v>131832443</v>
      </c>
      <c r="C3808" t="inlineStr">
        <is>
          <t>C</t>
        </is>
      </c>
      <c r="D3808" t="inlineStr">
        <is>
          <t>A</t>
        </is>
      </c>
      <c r="E3808" t="inlineStr">
        <is>
          <t>rs6944918</t>
        </is>
      </c>
      <c r="F3808" t="n">
        <v>-0.007826584879999999</v>
      </c>
      <c r="G3808" t="n">
        <v>0.6199558374082415</v>
      </c>
      <c r="H3808" t="n">
        <v>0.0109272319964825</v>
      </c>
      <c r="I3808" t="n">
        <v>0.4186601562311567</v>
      </c>
      <c r="J3808" t="n">
        <v>0.4035564509791313</v>
      </c>
      <c r="K3808" t="n">
        <v>0.1637997444411752</v>
      </c>
      <c r="L3808" t="b">
        <v>0</v>
      </c>
      <c r="M3808" t="b">
        <v>0</v>
      </c>
      <c r="N3808" t="inlineStr">
        <is>
          <t>ref</t>
        </is>
      </c>
      <c r="O3808" t="n">
        <v>60</v>
      </c>
      <c r="P3808" t="n">
        <v>0.002491</v>
      </c>
      <c r="Q3808" t="n">
        <v>85</v>
      </c>
      <c r="R3808" t="n">
        <v>0.0506</v>
      </c>
      <c r="S3808">
        <f>IMAGE("https://mitra.stanford.edu/kundaje/oak/projects/neuro-variants/variant_position/credible/roussos_2024/variant_figures/roussos_2024.adolescence.GLU/rs6944918_count_position.png",4,220,900)</f>
        <v/>
      </c>
      <c r="T3808">
        <f>IMAGE("https://mitra.stanford.edu/kundaje/oak/projects/neuro-variants/variant_position/credible/roussos_2024/variant_figures/roussos_2024.adolescence.GLU/rs6944918_profile_position.png",4,220,900)</f>
        <v/>
      </c>
    </row>
    <row r="3809">
      <c r="A3809" t="inlineStr">
        <is>
          <t>chr7</t>
        </is>
      </c>
      <c r="B3809" t="n">
        <v>131832656</v>
      </c>
      <c r="C3809" t="inlineStr">
        <is>
          <t>G</t>
        </is>
      </c>
      <c r="D3809" t="inlineStr">
        <is>
          <t>A</t>
        </is>
      </c>
      <c r="E3809" t="inlineStr">
        <is>
          <t>rs6945544</t>
        </is>
      </c>
      <c r="F3809" t="n">
        <v>-0.0414718558</v>
      </c>
      <c r="G3809" t="n">
        <v>0.1041383047793178</v>
      </c>
      <c r="H3809" t="n">
        <v>0.0094532835486208</v>
      </c>
      <c r="I3809" t="n">
        <v>0.589436638483399</v>
      </c>
      <c r="J3809" t="n">
        <v>0.3972237106257724</v>
      </c>
      <c r="K3809" t="n">
        <v>0.1700306110781909</v>
      </c>
      <c r="L3809" t="b">
        <v>0</v>
      </c>
      <c r="M3809" t="b">
        <v>0</v>
      </c>
      <c r="N3809" t="inlineStr">
        <is>
          <t>ref</t>
        </is>
      </c>
      <c r="O3809" t="n">
        <v>45</v>
      </c>
      <c r="P3809" t="n">
        <v>0.004387</v>
      </c>
      <c r="Q3809" t="n">
        <v>-100</v>
      </c>
      <c r="R3809" t="n">
        <v>0.04053</v>
      </c>
      <c r="S3809">
        <f>IMAGE("https://mitra.stanford.edu/kundaje/oak/projects/neuro-variants/variant_position/credible/roussos_2024/variant_figures/roussos_2024.adolescence.GLU/rs6945544_count_position.png",4,220,900)</f>
        <v/>
      </c>
      <c r="T3809">
        <f>IMAGE("https://mitra.stanford.edu/kundaje/oak/projects/neuro-variants/variant_position/credible/roussos_2024/variant_figures/roussos_2024.adolescence.GLU/rs6945544_profile_position.png",4,220,900)</f>
        <v/>
      </c>
    </row>
    <row r="3810">
      <c r="A3810" t="inlineStr">
        <is>
          <t>chr7</t>
        </is>
      </c>
      <c r="B3810" t="n">
        <v>131854604</v>
      </c>
      <c r="C3810" t="inlineStr">
        <is>
          <t>T</t>
        </is>
      </c>
      <c r="D3810" t="inlineStr">
        <is>
          <t>C</t>
        </is>
      </c>
      <c r="E3810" t="inlineStr">
        <is>
          <t>rs11975170</t>
        </is>
      </c>
      <c r="F3810" t="n">
        <v>0.124510656</v>
      </c>
      <c r="G3810" t="n">
        <v>0.0050728141013983</v>
      </c>
      <c r="H3810" t="n">
        <v>0.0316367047834386</v>
      </c>
      <c r="I3810" t="n">
        <v>0.0090021516607551</v>
      </c>
      <c r="J3810" t="n">
        <v>0.2188539054518435</v>
      </c>
      <c r="K3810" t="n">
        <v>0.3719337748178692</v>
      </c>
      <c r="L3810" t="b">
        <v>1</v>
      </c>
      <c r="M3810" t="b">
        <v>1</v>
      </c>
      <c r="N3810" t="inlineStr">
        <is>
          <t>alt</t>
        </is>
      </c>
      <c r="O3810" t="n">
        <v>-95</v>
      </c>
      <c r="P3810" t="n">
        <v>0.02277</v>
      </c>
      <c r="Q3810" t="n">
        <v>-100</v>
      </c>
      <c r="R3810" t="n">
        <v>0.06042</v>
      </c>
      <c r="S3810">
        <f>IMAGE("https://mitra.stanford.edu/kundaje/oak/projects/neuro-variants/variant_position/credible/roussos_2024/variant_figures/roussos_2024.adolescence.GLU/rs11975170_count_position.png",4,220,900)</f>
        <v/>
      </c>
      <c r="T3810">
        <f>IMAGE("https://mitra.stanford.edu/kundaje/oak/projects/neuro-variants/variant_position/credible/roussos_2024/variant_figures/roussos_2024.adolescence.GLU/rs11975170_profile_position.png",4,220,900)</f>
        <v/>
      </c>
    </row>
    <row r="3811">
      <c r="A3811" t="inlineStr">
        <is>
          <t>chr7</t>
        </is>
      </c>
      <c r="B3811" t="n">
        <v>131861984</v>
      </c>
      <c r="C3811" t="inlineStr">
        <is>
          <t>T</t>
        </is>
      </c>
      <c r="D3811" t="inlineStr">
        <is>
          <t>C</t>
        </is>
      </c>
      <c r="E3811" t="inlineStr">
        <is>
          <t>rs10954343</t>
        </is>
      </c>
      <c r="F3811" t="n">
        <v>0.0049734767</v>
      </c>
      <c r="G3811" t="n">
        <v>0.7231175680046333</v>
      </c>
      <c r="H3811" t="n">
        <v>0.0217558553967405</v>
      </c>
      <c r="I3811" t="n">
        <v>0.037515782908423</v>
      </c>
      <c r="J3811" t="n">
        <v>0.3475477063105929</v>
      </c>
      <c r="K3811" t="n">
        <v>0.2155205568966949</v>
      </c>
      <c r="L3811" t="b">
        <v>0</v>
      </c>
      <c r="M3811" t="b">
        <v>0</v>
      </c>
      <c r="N3811" t="inlineStr">
        <is>
          <t>alt</t>
        </is>
      </c>
      <c r="O3811" t="n">
        <v>70</v>
      </c>
      <c r="P3811" t="n">
        <v>0.02625</v>
      </c>
      <c r="Q3811" t="n">
        <v>-45</v>
      </c>
      <c r="R3811" t="n">
        <v>0.03992</v>
      </c>
      <c r="S3811">
        <f>IMAGE("https://mitra.stanford.edu/kundaje/oak/projects/neuro-variants/variant_position/credible/roussos_2024/variant_figures/roussos_2024.adolescence.GLU/rs10954343_count_position.png",4,220,900)</f>
        <v/>
      </c>
      <c r="T3811">
        <f>IMAGE("https://mitra.stanford.edu/kundaje/oak/projects/neuro-variants/variant_position/credible/roussos_2024/variant_figures/roussos_2024.adolescence.GLU/rs10954343_profile_position.png",4,220,900)</f>
        <v/>
      </c>
    </row>
    <row r="3812">
      <c r="A3812" t="inlineStr">
        <is>
          <t>chr7</t>
        </is>
      </c>
      <c r="B3812" t="n">
        <v>131864194</v>
      </c>
      <c r="C3812" t="inlineStr">
        <is>
          <t>A</t>
        </is>
      </c>
      <c r="D3812" t="inlineStr">
        <is>
          <t>G</t>
        </is>
      </c>
      <c r="E3812" t="inlineStr">
        <is>
          <t>rs6955090</t>
        </is>
      </c>
      <c r="F3812" t="n">
        <v>-0.00416103072</v>
      </c>
      <c r="G3812" t="n">
        <v>0.7023007391846771</v>
      </c>
      <c r="H3812" t="n">
        <v>0.0094185957644135</v>
      </c>
      <c r="I3812" t="n">
        <v>0.5929962349672492</v>
      </c>
      <c r="J3812" t="n">
        <v>0.1161254831357923</v>
      </c>
      <c r="K3812" t="n">
        <v>0.5458000948874696</v>
      </c>
      <c r="L3812" t="b">
        <v>0</v>
      </c>
      <c r="M3812" t="b">
        <v>0</v>
      </c>
      <c r="N3812" t="inlineStr">
        <is>
          <t>ref</t>
        </is>
      </c>
      <c r="O3812" t="n">
        <v>100</v>
      </c>
      <c r="P3812" t="n">
        <v>0.0191</v>
      </c>
      <c r="Q3812" t="n">
        <v>100</v>
      </c>
      <c r="R3812" t="n">
        <v>0.06569999999999999</v>
      </c>
      <c r="S3812">
        <f>IMAGE("https://mitra.stanford.edu/kundaje/oak/projects/neuro-variants/variant_position/credible/roussos_2024/variant_figures/roussos_2024.adolescence.GLU/rs6955090_count_position.png",4,220,900)</f>
        <v/>
      </c>
      <c r="T3812">
        <f>IMAGE("https://mitra.stanford.edu/kundaje/oak/projects/neuro-variants/variant_position/credible/roussos_2024/variant_figures/roussos_2024.adolescence.GLU/rs6955090_profile_position.png",4,220,900)</f>
        <v/>
      </c>
    </row>
    <row r="3813">
      <c r="A3813" t="inlineStr">
        <is>
          <t>chr7</t>
        </is>
      </c>
      <c r="B3813" t="n">
        <v>131885258</v>
      </c>
      <c r="C3813" t="inlineStr">
        <is>
          <t>C</t>
        </is>
      </c>
      <c r="D3813" t="inlineStr">
        <is>
          <t>A</t>
        </is>
      </c>
      <c r="E3813" t="inlineStr">
        <is>
          <t>rs73725651</t>
        </is>
      </c>
      <c r="F3813" t="n">
        <v>0.00326801062</v>
      </c>
      <c r="G3813" t="n">
        <v>0.8110155543145398</v>
      </c>
      <c r="H3813" t="n">
        <v>0.0128388768493836</v>
      </c>
      <c r="I3813" t="n">
        <v>0.277573374561668</v>
      </c>
      <c r="J3813" t="n">
        <v>0.2859692364847003</v>
      </c>
      <c r="K3813" t="n">
        <v>0.2860519231828735</v>
      </c>
      <c r="L3813" t="b">
        <v>0</v>
      </c>
      <c r="M3813" t="b">
        <v>0</v>
      </c>
      <c r="N3813" t="inlineStr">
        <is>
          <t>alt</t>
        </is>
      </c>
      <c r="O3813" t="n">
        <v>-100</v>
      </c>
      <c r="P3813" t="n">
        <v>0.0119</v>
      </c>
      <c r="Q3813" t="n">
        <v>-75</v>
      </c>
      <c r="R3813" t="n">
        <v>0.1018</v>
      </c>
      <c r="S3813">
        <f>IMAGE("https://mitra.stanford.edu/kundaje/oak/projects/neuro-variants/variant_position/credible/roussos_2024/variant_figures/roussos_2024.adolescence.GLU/rs73725651_count_position.png",4,220,900)</f>
        <v/>
      </c>
      <c r="T3813">
        <f>IMAGE("https://mitra.stanford.edu/kundaje/oak/projects/neuro-variants/variant_position/credible/roussos_2024/variant_figures/roussos_2024.adolescence.GLU/rs73725651_profile_position.png",4,220,900)</f>
        <v/>
      </c>
    </row>
    <row r="3814">
      <c r="A3814" t="inlineStr">
        <is>
          <t>chr7</t>
        </is>
      </c>
      <c r="B3814" t="n">
        <v>131886936</v>
      </c>
      <c r="C3814" t="inlineStr">
        <is>
          <t>G</t>
        </is>
      </c>
      <c r="D3814" t="inlineStr">
        <is>
          <t>A</t>
        </is>
      </c>
      <c r="E3814" t="inlineStr">
        <is>
          <t>rs7799455</t>
        </is>
      </c>
      <c r="F3814" t="n">
        <v>-0.00935264502</v>
      </c>
      <c r="G3814" t="n">
        <v>0.5466350641871278</v>
      </c>
      <c r="H3814" t="n">
        <v>0.0118666206423091</v>
      </c>
      <c r="I3814" t="n">
        <v>0.333843843569316</v>
      </c>
      <c r="J3814" t="n">
        <v>0.0723292682055568</v>
      </c>
      <c r="K3814" t="n">
        <v>0.6415206330026908</v>
      </c>
      <c r="L3814" t="b">
        <v>0</v>
      </c>
      <c r="M3814" t="b">
        <v>0</v>
      </c>
      <c r="N3814" t="inlineStr">
        <is>
          <t>ref</t>
        </is>
      </c>
      <c r="O3814" t="n">
        <v>-35</v>
      </c>
      <c r="P3814" t="n">
        <v>0.004456</v>
      </c>
      <c r="Q3814" t="n">
        <v>100</v>
      </c>
      <c r="R3814" t="n">
        <v>0.08699999999999999</v>
      </c>
      <c r="S3814">
        <f>IMAGE("https://mitra.stanford.edu/kundaje/oak/projects/neuro-variants/variant_position/credible/roussos_2024/variant_figures/roussos_2024.adolescence.GLU/rs7799455_count_position.png",4,220,900)</f>
        <v/>
      </c>
      <c r="T3814">
        <f>IMAGE("https://mitra.stanford.edu/kundaje/oak/projects/neuro-variants/variant_position/credible/roussos_2024/variant_figures/roussos_2024.adolescence.GLU/rs7799455_profile_position.png",4,220,900)</f>
        <v/>
      </c>
    </row>
    <row r="3815">
      <c r="A3815" t="inlineStr">
        <is>
          <t>chr7</t>
        </is>
      </c>
      <c r="B3815" t="n">
        <v>131913188</v>
      </c>
      <c r="C3815" t="inlineStr">
        <is>
          <t>C</t>
        </is>
      </c>
      <c r="D3815" t="inlineStr">
        <is>
          <t>T</t>
        </is>
      </c>
      <c r="E3815" t="inlineStr">
        <is>
          <t>rs10260150</t>
        </is>
      </c>
      <c r="F3815" t="n">
        <v>-0.1351702152</v>
      </c>
      <c r="G3815" t="n">
        <v>0.0038037238954077</v>
      </c>
      <c r="H3815" t="n">
        <v>0.0331744299833248</v>
      </c>
      <c r="I3815" t="n">
        <v>0.0107618871286465</v>
      </c>
      <c r="J3815" t="n">
        <v>0.301338134327825</v>
      </c>
      <c r="K3815" t="n">
        <v>0.2688139744153833</v>
      </c>
      <c r="L3815" t="b">
        <v>1</v>
      </c>
      <c r="M3815" t="b">
        <v>1</v>
      </c>
      <c r="N3815" t="inlineStr">
        <is>
          <t>ref</t>
        </is>
      </c>
      <c r="O3815" t="n">
        <v>-95</v>
      </c>
      <c r="P3815" t="n">
        <v>0.01094</v>
      </c>
      <c r="Q3815" t="n">
        <v>100</v>
      </c>
      <c r="R3815" t="n">
        <v>0.1066</v>
      </c>
      <c r="S3815">
        <f>IMAGE("https://mitra.stanford.edu/kundaje/oak/projects/neuro-variants/variant_position/credible/roussos_2024/variant_figures/roussos_2024.adolescence.GLU/rs10260150_count_position.png",4,220,900)</f>
        <v/>
      </c>
      <c r="T3815">
        <f>IMAGE("https://mitra.stanford.edu/kundaje/oak/projects/neuro-variants/variant_position/credible/roussos_2024/variant_figures/roussos_2024.adolescence.GLU/rs10260150_profile_position.png",4,220,900)</f>
        <v/>
      </c>
    </row>
    <row r="3816">
      <c r="A3816" t="inlineStr">
        <is>
          <t>chr7</t>
        </is>
      </c>
      <c r="B3816" t="n">
        <v>132064837</v>
      </c>
      <c r="C3816" t="inlineStr">
        <is>
          <t>A</t>
        </is>
      </c>
      <c r="D3816" t="inlineStr">
        <is>
          <t>G</t>
        </is>
      </c>
      <c r="E3816" t="inlineStr">
        <is>
          <t>rs11772439</t>
        </is>
      </c>
      <c r="F3816" t="n">
        <v>0.0473224296</v>
      </c>
      <c r="G3816" t="n">
        <v>0.06621850417565479</v>
      </c>
      <c r="H3816" t="n">
        <v>0.0120660734193163</v>
      </c>
      <c r="I3816" t="n">
        <v>0.331595595546843</v>
      </c>
      <c r="J3816" t="n">
        <v>0.3845753763279536</v>
      </c>
      <c r="K3816" t="n">
        <v>0.1820640767660652</v>
      </c>
      <c r="L3816" t="b">
        <v>0</v>
      </c>
      <c r="M3816" t="b">
        <v>0</v>
      </c>
      <c r="N3816" t="inlineStr">
        <is>
          <t>alt</t>
        </is>
      </c>
      <c r="O3816" t="n">
        <v>100</v>
      </c>
      <c r="P3816" t="n">
        <v>0.003115</v>
      </c>
      <c r="Q3816" t="n">
        <v>45</v>
      </c>
      <c r="R3816" t="n">
        <v>0.11694</v>
      </c>
      <c r="S3816">
        <f>IMAGE("https://mitra.stanford.edu/kundaje/oak/projects/neuro-variants/variant_position/credible/roussos_2024/variant_figures/roussos_2024.adolescence.GLU/rs11772439_count_position.png",4,220,900)</f>
        <v/>
      </c>
      <c r="T3816">
        <f>IMAGE("https://mitra.stanford.edu/kundaje/oak/projects/neuro-variants/variant_position/credible/roussos_2024/variant_figures/roussos_2024.adolescence.GLU/rs11772439_profile_position.png",4,220,900)</f>
        <v/>
      </c>
    </row>
    <row r="3817">
      <c r="A3817" t="inlineStr">
        <is>
          <t>chr7</t>
        </is>
      </c>
      <c r="B3817" t="n">
        <v>132076501</v>
      </c>
      <c r="C3817" t="inlineStr">
        <is>
          <t>C</t>
        </is>
      </c>
      <c r="D3817" t="inlineStr">
        <is>
          <t>A</t>
        </is>
      </c>
      <c r="E3817" t="inlineStr">
        <is>
          <t>rs10954356</t>
        </is>
      </c>
      <c r="F3817" t="n">
        <v>-0.0353244083999999</v>
      </c>
      <c r="G3817" t="n">
        <v>0.1412088933824539</v>
      </c>
      <c r="H3817" t="n">
        <v>0.0106135162806257</v>
      </c>
      <c r="I3817" t="n">
        <v>0.4509894565705026</v>
      </c>
      <c r="J3817" t="n">
        <v>0.4524865865072051</v>
      </c>
      <c r="K3817" t="n">
        <v>0.1234570464624686</v>
      </c>
      <c r="L3817" t="b">
        <v>0</v>
      </c>
      <c r="M3817" t="b">
        <v>0</v>
      </c>
      <c r="N3817" t="inlineStr">
        <is>
          <t>ref</t>
        </is>
      </c>
      <c r="O3817" t="n">
        <v>85</v>
      </c>
      <c r="P3817" t="n">
        <v>0.0002251</v>
      </c>
      <c r="Q3817" t="n">
        <v>-80</v>
      </c>
      <c r="R3817" t="n">
        <v>0.09075999999999999</v>
      </c>
      <c r="S3817">
        <f>IMAGE("https://mitra.stanford.edu/kundaje/oak/projects/neuro-variants/variant_position/credible/roussos_2024/variant_figures/roussos_2024.adolescence.GLU/rs10954356_count_position.png",4,220,900)</f>
        <v/>
      </c>
      <c r="T3817">
        <f>IMAGE("https://mitra.stanford.edu/kundaje/oak/projects/neuro-variants/variant_position/credible/roussos_2024/variant_figures/roussos_2024.adolescence.GLU/rs10954356_profile_position.png",4,220,900)</f>
        <v/>
      </c>
    </row>
    <row r="3818">
      <c r="A3818" t="inlineStr">
        <is>
          <t>chr7</t>
        </is>
      </c>
      <c r="B3818" t="n">
        <v>132145569</v>
      </c>
      <c r="C3818" t="inlineStr">
        <is>
          <t>G</t>
        </is>
      </c>
      <c r="D3818" t="inlineStr">
        <is>
          <t>A</t>
        </is>
      </c>
      <c r="E3818" t="inlineStr">
        <is>
          <t>rs2122635</t>
        </is>
      </c>
      <c r="F3818" t="n">
        <v>-0.253210442</v>
      </c>
      <c r="G3818" t="n">
        <v>0.0004104232494131</v>
      </c>
      <c r="H3818" t="n">
        <v>0.0769083680943273</v>
      </c>
      <c r="I3818" t="n">
        <v>0.0004559592471628</v>
      </c>
      <c r="J3818" t="n">
        <v>0.4873823863514585</v>
      </c>
      <c r="K3818" t="n">
        <v>0.09750700895287941</v>
      </c>
      <c r="L3818" t="b">
        <v>1</v>
      </c>
      <c r="M3818" t="b">
        <v>1</v>
      </c>
      <c r="N3818" t="inlineStr">
        <is>
          <t>ref</t>
        </is>
      </c>
      <c r="O3818" t="n">
        <v>5</v>
      </c>
      <c r="P3818" t="n">
        <v>0.0003967</v>
      </c>
      <c r="Q3818" t="n">
        <v>85</v>
      </c>
      <c r="R3818" t="n">
        <v>0.10547</v>
      </c>
      <c r="S3818">
        <f>IMAGE("https://mitra.stanford.edu/kundaje/oak/projects/neuro-variants/variant_position/credible/roussos_2024/variant_figures/roussos_2024.adolescence.GLU/rs2122635_count_position.png",4,220,900)</f>
        <v/>
      </c>
      <c r="T3818">
        <f>IMAGE("https://mitra.stanford.edu/kundaje/oak/projects/neuro-variants/variant_position/credible/roussos_2024/variant_figures/roussos_2024.adolescence.GLU/rs2122635_profile_position.png",4,220,900)</f>
        <v/>
      </c>
    </row>
    <row r="3819">
      <c r="A3819" t="inlineStr">
        <is>
          <t>chr7</t>
        </is>
      </c>
      <c r="B3819" t="n">
        <v>137378039</v>
      </c>
      <c r="C3819" t="inlineStr">
        <is>
          <t>C</t>
        </is>
      </c>
      <c r="D3819" t="inlineStr">
        <is>
          <t>A</t>
        </is>
      </c>
      <c r="E3819" t="inlineStr">
        <is>
          <t>rs11771579</t>
        </is>
      </c>
      <c r="F3819" t="n">
        <v>-0.0335527444</v>
      </c>
      <c r="G3819" t="n">
        <v>0.1548680614706338</v>
      </c>
      <c r="H3819" t="n">
        <v>0.0172968132268637</v>
      </c>
      <c r="I3819" t="n">
        <v>0.1063556228721103</v>
      </c>
      <c r="J3819" t="n">
        <v>0.0374934807924498</v>
      </c>
      <c r="K3819" t="n">
        <v>0.742444450034083</v>
      </c>
      <c r="L3819" t="b">
        <v>0</v>
      </c>
      <c r="M3819" t="b">
        <v>0</v>
      </c>
      <c r="N3819" t="inlineStr">
        <is>
          <t>ref</t>
        </is>
      </c>
      <c r="O3819" t="n">
        <v>-20</v>
      </c>
      <c r="P3819" t="n">
        <v>0.001652</v>
      </c>
      <c r="Q3819" t="n">
        <v>-35</v>
      </c>
      <c r="R3819" t="n">
        <v>0.02838</v>
      </c>
      <c r="S3819">
        <f>IMAGE("https://mitra.stanford.edu/kundaje/oak/projects/neuro-variants/variant_position/credible/roussos_2024/variant_figures/roussos_2024.adolescence.GLU/rs11771579_count_position.png",4,220,900)</f>
        <v/>
      </c>
      <c r="T3819">
        <f>IMAGE("https://mitra.stanford.edu/kundaje/oak/projects/neuro-variants/variant_position/credible/roussos_2024/variant_figures/roussos_2024.adolescence.GLU/rs11771579_profile_position.png",4,220,900)</f>
        <v/>
      </c>
    </row>
    <row r="3820">
      <c r="A3820" t="inlineStr">
        <is>
          <t>chr7</t>
        </is>
      </c>
      <c r="B3820" t="n">
        <v>137386398</v>
      </c>
      <c r="C3820" t="inlineStr">
        <is>
          <t>T</t>
        </is>
      </c>
      <c r="D3820" t="inlineStr">
        <is>
          <t>C</t>
        </is>
      </c>
      <c r="E3820" t="inlineStr">
        <is>
          <t>rs4518583</t>
        </is>
      </c>
      <c r="F3820" t="n">
        <v>0.070988897</v>
      </c>
      <c r="G3820" t="n">
        <v>0.0203807830530028</v>
      </c>
      <c r="H3820" t="n">
        <v>0.0131972020282757</v>
      </c>
      <c r="I3820" t="n">
        <v>0.2495895242786408</v>
      </c>
      <c r="J3820" t="n">
        <v>0.0673768137685663</v>
      </c>
      <c r="K3820" t="n">
        <v>0.6512135308993297</v>
      </c>
      <c r="L3820" t="b">
        <v>0</v>
      </c>
      <c r="M3820" t="b">
        <v>0</v>
      </c>
      <c r="N3820" t="inlineStr">
        <is>
          <t>alt</t>
        </is>
      </c>
      <c r="O3820" t="n">
        <v>100</v>
      </c>
      <c r="P3820" t="n">
        <v>0.010086</v>
      </c>
      <c r="Q3820" t="n">
        <v>-70</v>
      </c>
      <c r="R3820" t="n">
        <v>0.03174</v>
      </c>
      <c r="S3820">
        <f>IMAGE("https://mitra.stanford.edu/kundaje/oak/projects/neuro-variants/variant_position/credible/roussos_2024/variant_figures/roussos_2024.adolescence.GLU/rs4518583_count_position.png",4,220,900)</f>
        <v/>
      </c>
      <c r="T3820">
        <f>IMAGE("https://mitra.stanford.edu/kundaje/oak/projects/neuro-variants/variant_position/credible/roussos_2024/variant_figures/roussos_2024.adolescence.GLU/rs4518583_profile_position.png",4,220,900)</f>
        <v/>
      </c>
    </row>
    <row r="3821">
      <c r="A3821" t="inlineStr">
        <is>
          <t>chr7</t>
        </is>
      </c>
      <c r="B3821" t="n">
        <v>137387785</v>
      </c>
      <c r="C3821" t="inlineStr">
        <is>
          <t>T</t>
        </is>
      </c>
      <c r="D3821" t="inlineStr">
        <is>
          <t>A</t>
        </is>
      </c>
      <c r="E3821" t="inlineStr">
        <is>
          <t>rs728055</t>
        </is>
      </c>
      <c r="F3821" t="n">
        <v>-0.00030552504</v>
      </c>
      <c r="G3821" t="n">
        <v>0.8344509091866488</v>
      </c>
      <c r="H3821" t="n">
        <v>0.0153020651268929</v>
      </c>
      <c r="I3821" t="n">
        <v>0.1572952922977822</v>
      </c>
      <c r="J3821" t="n">
        <v>0.0603310685784912</v>
      </c>
      <c r="K3821" t="n">
        <v>0.6668591850738899</v>
      </c>
      <c r="L3821" t="b">
        <v>0</v>
      </c>
      <c r="M3821" t="b">
        <v>0</v>
      </c>
      <c r="N3821" t="inlineStr">
        <is>
          <t>ref</t>
        </is>
      </c>
      <c r="O3821" t="n">
        <v>55</v>
      </c>
      <c r="P3821" t="n">
        <v>0.002747</v>
      </c>
      <c r="Q3821" t="n">
        <v>-70</v>
      </c>
      <c r="R3821" t="n">
        <v>0.0789</v>
      </c>
      <c r="S3821">
        <f>IMAGE("https://mitra.stanford.edu/kundaje/oak/projects/neuro-variants/variant_position/credible/roussos_2024/variant_figures/roussos_2024.adolescence.GLU/rs728055_count_position.png",4,220,900)</f>
        <v/>
      </c>
      <c r="T3821">
        <f>IMAGE("https://mitra.stanford.edu/kundaje/oak/projects/neuro-variants/variant_position/credible/roussos_2024/variant_figures/roussos_2024.adolescence.GLU/rs728055_profile_position.png",4,220,900)</f>
        <v/>
      </c>
    </row>
    <row r="3822">
      <c r="A3822" t="inlineStr">
        <is>
          <t>chr7</t>
        </is>
      </c>
      <c r="B3822" t="n">
        <v>137388185</v>
      </c>
      <c r="C3822" t="inlineStr">
        <is>
          <t>A</t>
        </is>
      </c>
      <c r="D3822" t="inlineStr">
        <is>
          <t>C</t>
        </is>
      </c>
      <c r="E3822" t="inlineStr">
        <is>
          <t>rs2278829</t>
        </is>
      </c>
      <c r="F3822" t="n">
        <v>0.06905471232</v>
      </c>
      <c r="G3822" t="n">
        <v>0.0662269856490153</v>
      </c>
      <c r="H3822" t="n">
        <v>0.0234896051852721</v>
      </c>
      <c r="I3822" t="n">
        <v>0.0758408865433209</v>
      </c>
      <c r="J3822" t="n">
        <v>0.0860806881425437</v>
      </c>
      <c r="K3822" t="n">
        <v>0.5980079025689862</v>
      </c>
      <c r="L3822" t="b">
        <v>0</v>
      </c>
      <c r="M3822" t="b">
        <v>0</v>
      </c>
      <c r="N3822" t="inlineStr">
        <is>
          <t>alt</t>
        </is>
      </c>
      <c r="O3822" t="n">
        <v>-90</v>
      </c>
      <c r="P3822" t="n">
        <v>0.00466</v>
      </c>
      <c r="Q3822" t="n">
        <v>-90</v>
      </c>
      <c r="R3822" t="n">
        <v>0.0824</v>
      </c>
      <c r="S3822">
        <f>IMAGE("https://mitra.stanford.edu/kundaje/oak/projects/neuro-variants/variant_position/credible/roussos_2024/variant_figures/roussos_2024.adolescence.GLU/rs2278829_count_position.png",4,220,900)</f>
        <v/>
      </c>
      <c r="T3822">
        <f>IMAGE("https://mitra.stanford.edu/kundaje/oak/projects/neuro-variants/variant_position/credible/roussos_2024/variant_figures/roussos_2024.adolescence.GLU/rs2278829_profile_position.png",4,220,900)</f>
        <v/>
      </c>
    </row>
    <row r="3823">
      <c r="A3823" t="inlineStr">
        <is>
          <t>chr7</t>
        </is>
      </c>
      <c r="B3823" t="n">
        <v>137389794</v>
      </c>
      <c r="C3823" t="inlineStr">
        <is>
          <t>G</t>
        </is>
      </c>
      <c r="D3823" t="inlineStr">
        <is>
          <t>A</t>
        </is>
      </c>
      <c r="E3823" t="inlineStr">
        <is>
          <t>rs7779548</t>
        </is>
      </c>
      <c r="F3823" t="n">
        <v>-0.0152985213</v>
      </c>
      <c r="G3823" t="n">
        <v>0.3797512682196267</v>
      </c>
      <c r="H3823" t="n">
        <v>0.007877737425211801</v>
      </c>
      <c r="I3823" t="n">
        <v>0.7578704177111576</v>
      </c>
      <c r="J3823" t="n">
        <v>0.1829578984218159</v>
      </c>
      <c r="K3823" t="n">
        <v>0.4246037346957129</v>
      </c>
      <c r="L3823" t="b">
        <v>0</v>
      </c>
      <c r="M3823" t="b">
        <v>0</v>
      </c>
      <c r="N3823" t="inlineStr">
        <is>
          <t>ref</t>
        </is>
      </c>
      <c r="O3823" t="n">
        <v>5</v>
      </c>
      <c r="P3823" t="n">
        <v>0.000595</v>
      </c>
      <c r="Q3823" t="n">
        <v>-90</v>
      </c>
      <c r="R3823" t="n">
        <v>0.0847</v>
      </c>
      <c r="S3823">
        <f>IMAGE("https://mitra.stanford.edu/kundaje/oak/projects/neuro-variants/variant_position/credible/roussos_2024/variant_figures/roussos_2024.adolescence.GLU/rs7779548_count_position.png",4,220,900)</f>
        <v/>
      </c>
      <c r="T3823">
        <f>IMAGE("https://mitra.stanford.edu/kundaje/oak/projects/neuro-variants/variant_position/credible/roussos_2024/variant_figures/roussos_2024.adolescence.GLU/rs7779548_profile_position.png",4,220,900)</f>
        <v/>
      </c>
    </row>
    <row r="3824">
      <c r="A3824" t="inlineStr">
        <is>
          <t>chr7</t>
        </is>
      </c>
      <c r="B3824" t="n">
        <v>137392157</v>
      </c>
      <c r="C3824" t="inlineStr">
        <is>
          <t>G</t>
        </is>
      </c>
      <c r="D3824" t="inlineStr">
        <is>
          <t>T</t>
        </is>
      </c>
      <c r="E3824" t="inlineStr">
        <is>
          <t>rs11766321</t>
        </is>
      </c>
      <c r="F3824" t="n">
        <v>0.00190014412</v>
      </c>
      <c r="G3824" t="n">
        <v>0.8497196834371615</v>
      </c>
      <c r="H3824" t="n">
        <v>0.0201081172849236</v>
      </c>
      <c r="I3824" t="n">
        <v>0.0555282857440291</v>
      </c>
      <c r="J3824" t="n">
        <v>0.00546684670396</v>
      </c>
      <c r="K3824" t="n">
        <v>0.9185248887257308</v>
      </c>
      <c r="L3824" t="b">
        <v>0</v>
      </c>
      <c r="M3824" t="b">
        <v>0</v>
      </c>
      <c r="N3824" t="inlineStr">
        <is>
          <t>alt</t>
        </is>
      </c>
      <c r="O3824" t="n">
        <v>100</v>
      </c>
      <c r="P3824" t="n">
        <v>0.010124</v>
      </c>
      <c r="Q3824" t="n">
        <v>-95</v>
      </c>
      <c r="R3824" t="n">
        <v>0.02448</v>
      </c>
      <c r="S3824">
        <f>IMAGE("https://mitra.stanford.edu/kundaje/oak/projects/neuro-variants/variant_position/credible/roussos_2024/variant_figures/roussos_2024.adolescence.GLU/rs11766321_count_position.png",4,220,900)</f>
        <v/>
      </c>
      <c r="T3824">
        <f>IMAGE("https://mitra.stanford.edu/kundaje/oak/projects/neuro-variants/variant_position/credible/roussos_2024/variant_figures/roussos_2024.adolescence.GLU/rs11766321_profile_position.png",4,220,900)</f>
        <v/>
      </c>
    </row>
    <row r="3825">
      <c r="A3825" t="inlineStr">
        <is>
          <t>chr7</t>
        </is>
      </c>
      <c r="B3825" t="n">
        <v>137393444</v>
      </c>
      <c r="C3825" t="inlineStr">
        <is>
          <t>G</t>
        </is>
      </c>
      <c r="D3825" t="inlineStr">
        <is>
          <t>C</t>
        </is>
      </c>
      <c r="E3825" t="inlineStr">
        <is>
          <t>rs13222414</t>
        </is>
      </c>
      <c r="F3825" t="n">
        <v>0.003607579416</v>
      </c>
      <c r="G3825" t="n">
        <v>0.6848060400308345</v>
      </c>
      <c r="H3825" t="n">
        <v>0.008639612491977601</v>
      </c>
      <c r="I3825" t="n">
        <v>0.7094754825688822</v>
      </c>
      <c r="J3825" t="n">
        <v>0.0348086389323502</v>
      </c>
      <c r="K3825" t="n">
        <v>0.7554835230174232</v>
      </c>
      <c r="L3825" t="b">
        <v>0</v>
      </c>
      <c r="M3825" t="b">
        <v>0</v>
      </c>
      <c r="N3825" t="inlineStr">
        <is>
          <t>alt</t>
        </is>
      </c>
      <c r="O3825" t="n">
        <v>-100</v>
      </c>
      <c r="P3825" t="n">
        <v>0.05365</v>
      </c>
      <c r="Q3825" t="n">
        <v>-100</v>
      </c>
      <c r="R3825" t="n">
        <v>0.04895</v>
      </c>
      <c r="S3825">
        <f>IMAGE("https://mitra.stanford.edu/kundaje/oak/projects/neuro-variants/variant_position/credible/roussos_2024/variant_figures/roussos_2024.adolescence.GLU/rs13222414_count_position.png",4,220,900)</f>
        <v/>
      </c>
      <c r="T3825">
        <f>IMAGE("https://mitra.stanford.edu/kundaje/oak/projects/neuro-variants/variant_position/credible/roussos_2024/variant_figures/roussos_2024.adolescence.GLU/rs13222414_profile_position.png",4,220,900)</f>
        <v/>
      </c>
    </row>
    <row r="3826">
      <c r="A3826" t="inlineStr">
        <is>
          <t>chr7</t>
        </is>
      </c>
      <c r="B3826" t="n">
        <v>137394538</v>
      </c>
      <c r="C3826" t="inlineStr">
        <is>
          <t>G</t>
        </is>
      </c>
      <c r="D3826" t="inlineStr">
        <is>
          <t>C</t>
        </is>
      </c>
      <c r="E3826" t="inlineStr">
        <is>
          <t>rs17530005</t>
        </is>
      </c>
      <c r="F3826" t="n">
        <v>0.076423345</v>
      </c>
      <c r="G3826" t="n">
        <v>0.0173507063236575</v>
      </c>
      <c r="H3826" t="n">
        <v>0.0144875652151843</v>
      </c>
      <c r="I3826" t="n">
        <v>0.1885028585582432</v>
      </c>
      <c r="J3826" t="n">
        <v>0.2251280622414642</v>
      </c>
      <c r="K3826" t="n">
        <v>0.3662136614936656</v>
      </c>
      <c r="L3826" t="b">
        <v>1</v>
      </c>
      <c r="M3826" t="b">
        <v>0</v>
      </c>
      <c r="N3826" t="inlineStr">
        <is>
          <t>alt</t>
        </is>
      </c>
      <c r="O3826" t="n">
        <v>30</v>
      </c>
      <c r="P3826" t="n">
        <v>0.001764</v>
      </c>
      <c r="Q3826" t="n">
        <v>-35</v>
      </c>
      <c r="R3826" t="n">
        <v>0.014465</v>
      </c>
      <c r="S3826">
        <f>IMAGE("https://mitra.stanford.edu/kundaje/oak/projects/neuro-variants/variant_position/credible/roussos_2024/variant_figures/roussos_2024.adolescence.GLU/rs17530005_count_position.png",4,220,900)</f>
        <v/>
      </c>
      <c r="T3826">
        <f>IMAGE("https://mitra.stanford.edu/kundaje/oak/projects/neuro-variants/variant_position/credible/roussos_2024/variant_figures/roussos_2024.adolescence.GLU/rs17530005_profile_position.png",4,220,900)</f>
        <v/>
      </c>
    </row>
    <row r="3827">
      <c r="A3827" t="inlineStr">
        <is>
          <t>chr7</t>
        </is>
      </c>
      <c r="B3827" t="n">
        <v>139355181</v>
      </c>
      <c r="C3827" t="inlineStr">
        <is>
          <t>C</t>
        </is>
      </c>
      <c r="D3827" t="inlineStr">
        <is>
          <t>T</t>
        </is>
      </c>
      <c r="E3827" t="inlineStr">
        <is>
          <t>rs7801613</t>
        </is>
      </c>
      <c r="F3827" t="n">
        <v>-0.0469535922</v>
      </c>
      <c r="G3827" t="n">
        <v>0.0765834796210903</v>
      </c>
      <c r="H3827" t="n">
        <v>0.0090444692643656</v>
      </c>
      <c r="I3827" t="n">
        <v>0.6453440303785666</v>
      </c>
      <c r="J3827" t="n">
        <v>0.0197212279686506</v>
      </c>
      <c r="K3827" t="n">
        <v>0.827143700762846</v>
      </c>
      <c r="L3827" t="b">
        <v>0</v>
      </c>
      <c r="M3827" t="b">
        <v>0</v>
      </c>
      <c r="N3827" t="inlineStr">
        <is>
          <t>ref</t>
        </is>
      </c>
      <c r="O3827" t="n">
        <v>90</v>
      </c>
      <c r="P3827" t="n">
        <v>0.01808</v>
      </c>
      <c r="Q3827" t="n">
        <v>-95</v>
      </c>
      <c r="R3827" t="n">
        <v>0.02081</v>
      </c>
      <c r="S3827">
        <f>IMAGE("https://mitra.stanford.edu/kundaje/oak/projects/neuro-variants/variant_position/credible/roussos_2024/variant_figures/roussos_2024.adolescence.GLU/rs7801613_count_position.png",4,220,900)</f>
        <v/>
      </c>
      <c r="T3827">
        <f>IMAGE("https://mitra.stanford.edu/kundaje/oak/projects/neuro-variants/variant_position/credible/roussos_2024/variant_figures/roussos_2024.adolescence.GLU/rs7801613_profile_position.png",4,220,900)</f>
        <v/>
      </c>
    </row>
    <row r="3828">
      <c r="A3828" t="inlineStr">
        <is>
          <t>chr7</t>
        </is>
      </c>
      <c r="B3828" t="n">
        <v>139385344</v>
      </c>
      <c r="C3828" t="inlineStr">
        <is>
          <t>A</t>
        </is>
      </c>
      <c r="D3828" t="inlineStr">
        <is>
          <t>G</t>
        </is>
      </c>
      <c r="E3828" t="inlineStr">
        <is>
          <t>rs6942519</t>
        </is>
      </c>
      <c r="F3828" t="n">
        <v>0.00738043276</v>
      </c>
      <c r="G3828" t="n">
        <v>0.5683248200624853</v>
      </c>
      <c r="H3828" t="n">
        <v>0.0225628973293821</v>
      </c>
      <c r="I3828" t="n">
        <v>0.0365754736830914</v>
      </c>
      <c r="J3828" t="n">
        <v>0.0152002914889512</v>
      </c>
      <c r="K3828" t="n">
        <v>0.8429749102033556</v>
      </c>
      <c r="L3828" t="b">
        <v>0</v>
      </c>
      <c r="M3828" t="b">
        <v>0</v>
      </c>
      <c r="N3828" t="inlineStr">
        <is>
          <t>alt</t>
        </is>
      </c>
      <c r="O3828" t="n">
        <v>-75</v>
      </c>
      <c r="P3828" t="n">
        <v>0.003479</v>
      </c>
      <c r="Q3828" t="n">
        <v>-75</v>
      </c>
      <c r="R3828" t="n">
        <v>0.06128</v>
      </c>
      <c r="S3828">
        <f>IMAGE("https://mitra.stanford.edu/kundaje/oak/projects/neuro-variants/variant_position/credible/roussos_2024/variant_figures/roussos_2024.adolescence.GLU/rs6942519_count_position.png",4,220,900)</f>
        <v/>
      </c>
      <c r="T3828">
        <f>IMAGE("https://mitra.stanford.edu/kundaje/oak/projects/neuro-variants/variant_position/credible/roussos_2024/variant_figures/roussos_2024.adolescence.GLU/rs6942519_profile_position.png",4,220,900)</f>
        <v/>
      </c>
    </row>
    <row r="3829">
      <c r="A3829" t="inlineStr">
        <is>
          <t>chr7</t>
        </is>
      </c>
      <c r="B3829" t="n">
        <v>139387747</v>
      </c>
      <c r="C3829" t="inlineStr">
        <is>
          <t>G</t>
        </is>
      </c>
      <c r="D3829" t="inlineStr">
        <is>
          <t>T</t>
        </is>
      </c>
      <c r="E3829" t="inlineStr">
        <is>
          <t>rs2355784</t>
        </is>
      </c>
      <c r="F3829" t="n">
        <v>-0.00387202582</v>
      </c>
      <c r="G3829" t="n">
        <v>0.7619193378484059</v>
      </c>
      <c r="H3829" t="n">
        <v>0.0270457769663355</v>
      </c>
      <c r="I3829" t="n">
        <v>0.0135043036749182</v>
      </c>
      <c r="J3829" t="n">
        <v>0.1226997020811453</v>
      </c>
      <c r="K3829" t="n">
        <v>0.5315587586438643</v>
      </c>
      <c r="L3829" t="b">
        <v>1</v>
      </c>
      <c r="M3829" t="b">
        <v>0</v>
      </c>
      <c r="N3829" t="inlineStr">
        <is>
          <t>ref</t>
        </is>
      </c>
      <c r="O3829" t="n">
        <v>-95</v>
      </c>
      <c r="P3829" t="n">
        <v>0.01404</v>
      </c>
      <c r="Q3829" t="n">
        <v>-100</v>
      </c>
      <c r="R3829" t="n">
        <v>0.03748</v>
      </c>
      <c r="S3829">
        <f>IMAGE("https://mitra.stanford.edu/kundaje/oak/projects/neuro-variants/variant_position/credible/roussos_2024/variant_figures/roussos_2024.adolescence.GLU/rs2355784_count_position.png",4,220,900)</f>
        <v/>
      </c>
      <c r="T3829">
        <f>IMAGE("https://mitra.stanford.edu/kundaje/oak/projects/neuro-variants/variant_position/credible/roussos_2024/variant_figures/roussos_2024.adolescence.GLU/rs2355784_profile_position.png",4,220,900)</f>
        <v/>
      </c>
    </row>
    <row r="3830">
      <c r="A3830" t="inlineStr">
        <is>
          <t>chr7</t>
        </is>
      </c>
      <c r="B3830" t="n">
        <v>139419122</v>
      </c>
      <c r="C3830" t="inlineStr">
        <is>
          <t>A</t>
        </is>
      </c>
      <c r="D3830" t="inlineStr">
        <is>
          <t>C</t>
        </is>
      </c>
      <c r="E3830" t="inlineStr">
        <is>
          <t>rs10230398</t>
        </is>
      </c>
      <c r="F3830" t="n">
        <v>-0.0024662279</v>
      </c>
      <c r="G3830" t="n">
        <v>0.7244585148123182</v>
      </c>
      <c r="H3830" t="n">
        <v>0.0345749109172202</v>
      </c>
      <c r="I3830" t="n">
        <v>0.0046016196180607</v>
      </c>
      <c r="J3830" t="n">
        <v>0.0230990705217509</v>
      </c>
      <c r="K3830" t="n">
        <v>0.8050453201416149</v>
      </c>
      <c r="L3830" t="b">
        <v>1</v>
      </c>
      <c r="M3830" t="b">
        <v>0</v>
      </c>
      <c r="N3830" t="inlineStr">
        <is>
          <t>ref</t>
        </is>
      </c>
      <c r="O3830" t="n">
        <v>-85</v>
      </c>
      <c r="P3830" t="n">
        <v>0.002289</v>
      </c>
      <c r="Q3830" t="n">
        <v>100</v>
      </c>
      <c r="R3830" t="n">
        <v>0.05258</v>
      </c>
      <c r="S3830">
        <f>IMAGE("https://mitra.stanford.edu/kundaje/oak/projects/neuro-variants/variant_position/credible/roussos_2024/variant_figures/roussos_2024.adolescence.GLU/rs10230398_count_position.png",4,220,900)</f>
        <v/>
      </c>
      <c r="T3830">
        <f>IMAGE("https://mitra.stanford.edu/kundaje/oak/projects/neuro-variants/variant_position/credible/roussos_2024/variant_figures/roussos_2024.adolescence.GLU/rs10230398_profile_position.png",4,220,900)</f>
        <v/>
      </c>
    </row>
    <row r="3831">
      <c r="A3831" t="inlineStr">
        <is>
          <t>chr7</t>
        </is>
      </c>
      <c r="B3831" t="n">
        <v>140951723</v>
      </c>
      <c r="C3831" t="inlineStr">
        <is>
          <t>G</t>
        </is>
      </c>
      <c r="D3831" t="inlineStr">
        <is>
          <t>A</t>
        </is>
      </c>
      <c r="E3831" t="inlineStr">
        <is>
          <t>rs801089</t>
        </is>
      </c>
      <c r="F3831" t="n">
        <v>-0.077413869</v>
      </c>
      <c r="G3831" t="n">
        <v>0.0199167157589378</v>
      </c>
      <c r="H3831" t="n">
        <v>0.0155712481090565</v>
      </c>
      <c r="I3831" t="n">
        <v>0.1567788237746785</v>
      </c>
      <c r="J3831" t="n">
        <v>0.0123582742139442</v>
      </c>
      <c r="K3831" t="n">
        <v>0.8632691960513453</v>
      </c>
      <c r="L3831" t="b">
        <v>1</v>
      </c>
      <c r="M3831" t="b">
        <v>0</v>
      </c>
      <c r="N3831" t="inlineStr">
        <is>
          <t>ref</t>
        </is>
      </c>
      <c r="O3831" t="n">
        <v>-45</v>
      </c>
      <c r="P3831" t="n">
        <v>0.04684</v>
      </c>
      <c r="Q3831" t="n">
        <v>100</v>
      </c>
      <c r="R3831" t="n">
        <v>0.0625</v>
      </c>
      <c r="S3831">
        <f>IMAGE("https://mitra.stanford.edu/kundaje/oak/projects/neuro-variants/variant_position/credible/roussos_2024/variant_figures/roussos_2024.adolescence.GLU/rs801089_count_position.png",4,220,900)</f>
        <v/>
      </c>
      <c r="T3831">
        <f>IMAGE("https://mitra.stanford.edu/kundaje/oak/projects/neuro-variants/variant_position/credible/roussos_2024/variant_figures/roussos_2024.adolescence.GLU/rs801089_profile_position.png",4,220,900)</f>
        <v/>
      </c>
    </row>
    <row r="3832">
      <c r="A3832" t="inlineStr">
        <is>
          <t>chr7</t>
        </is>
      </c>
      <c r="B3832" t="n">
        <v>141006357</v>
      </c>
      <c r="C3832" t="inlineStr">
        <is>
          <t>G</t>
        </is>
      </c>
      <c r="D3832" t="inlineStr">
        <is>
          <t>T</t>
        </is>
      </c>
      <c r="E3832" t="inlineStr">
        <is>
          <t>rs6662</t>
        </is>
      </c>
      <c r="F3832" t="n">
        <v>-0.108688978</v>
      </c>
      <c r="G3832" t="n">
        <v>0.0086526347616851</v>
      </c>
      <c r="H3832" t="n">
        <v>0.0265745737532015</v>
      </c>
      <c r="I3832" t="n">
        <v>0.0210475075213144</v>
      </c>
      <c r="J3832" t="n">
        <v>0.2413085567724742</v>
      </c>
      <c r="K3832" t="n">
        <v>0.3439546269352368</v>
      </c>
      <c r="L3832" t="b">
        <v>1</v>
      </c>
      <c r="M3832" t="b">
        <v>1</v>
      </c>
      <c r="N3832" t="inlineStr">
        <is>
          <t>ref</t>
        </is>
      </c>
      <c r="O3832" t="n">
        <v>95</v>
      </c>
      <c r="P3832" t="n">
        <v>0.01217</v>
      </c>
      <c r="Q3832" t="n">
        <v>40</v>
      </c>
      <c r="R3832" t="n">
        <v>0.02893</v>
      </c>
      <c r="S3832">
        <f>IMAGE("https://mitra.stanford.edu/kundaje/oak/projects/neuro-variants/variant_position/credible/roussos_2024/variant_figures/roussos_2024.adolescence.GLU/rs6662_count_position.png",4,220,900)</f>
        <v/>
      </c>
      <c r="T3832">
        <f>IMAGE("https://mitra.stanford.edu/kundaje/oak/projects/neuro-variants/variant_position/credible/roussos_2024/variant_figures/roussos_2024.adolescence.GLU/rs6662_profile_position.png",4,220,900)</f>
        <v/>
      </c>
    </row>
    <row r="3833">
      <c r="A3833" t="inlineStr">
        <is>
          <t>chr7</t>
        </is>
      </c>
      <c r="B3833" t="n">
        <v>141016390</v>
      </c>
      <c r="C3833" t="inlineStr">
        <is>
          <t>T</t>
        </is>
      </c>
      <c r="D3833" t="inlineStr">
        <is>
          <t>C</t>
        </is>
      </c>
      <c r="E3833" t="inlineStr">
        <is>
          <t>rs246745</t>
        </is>
      </c>
      <c r="F3833" t="n">
        <v>0.0350192448</v>
      </c>
      <c r="G3833" t="n">
        <v>0.1202685413043098</v>
      </c>
      <c r="H3833" t="n">
        <v>0.008970032138986299</v>
      </c>
      <c r="I3833" t="n">
        <v>0.6303195292066529</v>
      </c>
      <c r="J3833" t="n">
        <v>0.1856484557515484</v>
      </c>
      <c r="K3833" t="n">
        <v>0.4205512750550465</v>
      </c>
      <c r="L3833" t="b">
        <v>0</v>
      </c>
      <c r="M3833" t="b">
        <v>0</v>
      </c>
      <c r="N3833" t="inlineStr">
        <is>
          <t>alt</t>
        </is>
      </c>
      <c r="O3833" t="n">
        <v>-75</v>
      </c>
      <c r="P3833" t="n">
        <v>0.001442</v>
      </c>
      <c r="Q3833" t="n">
        <v>45</v>
      </c>
      <c r="R3833" t="n">
        <v>0.0623</v>
      </c>
      <c r="S3833">
        <f>IMAGE("https://mitra.stanford.edu/kundaje/oak/projects/neuro-variants/variant_position/credible/roussos_2024/variant_figures/roussos_2024.adolescence.GLU/rs246745_count_position.png",4,220,900)</f>
        <v/>
      </c>
      <c r="T3833">
        <f>IMAGE("https://mitra.stanford.edu/kundaje/oak/projects/neuro-variants/variant_position/credible/roussos_2024/variant_figures/roussos_2024.adolescence.GLU/rs246745_profile_position.png",4,220,900)</f>
        <v/>
      </c>
    </row>
    <row r="3834">
      <c r="A3834" t="inlineStr">
        <is>
          <t>chr7</t>
        </is>
      </c>
      <c r="B3834" t="n">
        <v>141034465</v>
      </c>
      <c r="C3834" t="inlineStr">
        <is>
          <t>T</t>
        </is>
      </c>
      <c r="D3834" t="inlineStr">
        <is>
          <t>C</t>
        </is>
      </c>
      <c r="E3834" t="inlineStr">
        <is>
          <t>rs1089258</t>
        </is>
      </c>
      <c r="F3834" t="n">
        <v>0.07009742399999989</v>
      </c>
      <c r="G3834" t="n">
        <v>0.024452602036483</v>
      </c>
      <c r="H3834" t="n">
        <v>0.0115521977697636</v>
      </c>
      <c r="I3834" t="n">
        <v>0.3654184207936289</v>
      </c>
      <c r="J3834" t="n">
        <v>0.2326781976266511</v>
      </c>
      <c r="K3834" t="n">
        <v>0.3536716283137886</v>
      </c>
      <c r="L3834" t="b">
        <v>0</v>
      </c>
      <c r="M3834" t="b">
        <v>0</v>
      </c>
      <c r="N3834" t="inlineStr">
        <is>
          <t>alt</t>
        </is>
      </c>
      <c r="O3834" t="n">
        <v>-20</v>
      </c>
      <c r="P3834" t="n">
        <v>0.007934999999999999</v>
      </c>
      <c r="Q3834" t="n">
        <v>-85</v>
      </c>
      <c r="R3834" t="n">
        <v>0.01892</v>
      </c>
      <c r="S3834">
        <f>IMAGE("https://mitra.stanford.edu/kundaje/oak/projects/neuro-variants/variant_position/credible/roussos_2024/variant_figures/roussos_2024.adolescence.GLU/rs1089258_count_position.png",4,220,900)</f>
        <v/>
      </c>
      <c r="T3834">
        <f>IMAGE("https://mitra.stanford.edu/kundaje/oak/projects/neuro-variants/variant_position/credible/roussos_2024/variant_figures/roussos_2024.adolescence.GLU/rs1089258_profile_position.png",4,220,900)</f>
        <v/>
      </c>
    </row>
    <row r="3835">
      <c r="A3835" t="inlineStr">
        <is>
          <t>chr7</t>
        </is>
      </c>
      <c r="B3835" t="n">
        <v>157664118</v>
      </c>
      <c r="C3835" t="inlineStr">
        <is>
          <t>G</t>
        </is>
      </c>
      <c r="D3835" t="inlineStr">
        <is>
          <t>A</t>
        </is>
      </c>
      <c r="E3835" t="inlineStr">
        <is>
          <t>rs10241251</t>
        </is>
      </c>
      <c r="F3835" t="n">
        <v>-0.0397701758</v>
      </c>
      <c r="G3835" t="n">
        <v>0.1159100051787432</v>
      </c>
      <c r="H3835" t="n">
        <v>0.0115166721077901</v>
      </c>
      <c r="I3835" t="n">
        <v>0.347125963794551</v>
      </c>
      <c r="J3835" t="n">
        <v>0.489589986497203</v>
      </c>
      <c r="K3835" t="n">
        <v>0.0954295037018095</v>
      </c>
      <c r="L3835" t="b">
        <v>0</v>
      </c>
      <c r="M3835" t="b">
        <v>0</v>
      </c>
      <c r="N3835" t="inlineStr">
        <is>
          <t>ref</t>
        </is>
      </c>
      <c r="O3835" t="n">
        <v>30</v>
      </c>
      <c r="P3835" t="n">
        <v>0.002598</v>
      </c>
      <c r="Q3835" t="n">
        <v>90</v>
      </c>
      <c r="R3835" t="n">
        <v>0.0897</v>
      </c>
      <c r="S3835">
        <f>IMAGE("https://mitra.stanford.edu/kundaje/oak/projects/neuro-variants/variant_position/credible/roussos_2024/variant_figures/roussos_2024.adolescence.GLU/rs10241251_count_position.png",4,220,900)</f>
        <v/>
      </c>
      <c r="T3835">
        <f>IMAGE("https://mitra.stanford.edu/kundaje/oak/projects/neuro-variants/variant_position/credible/roussos_2024/variant_figures/roussos_2024.adolescence.GLU/rs10241251_profile_position.png",4,220,900)</f>
        <v/>
      </c>
    </row>
    <row r="3836">
      <c r="A3836" t="inlineStr">
        <is>
          <t>chr7</t>
        </is>
      </c>
      <c r="B3836" t="n">
        <v>157664482</v>
      </c>
      <c r="C3836" t="inlineStr">
        <is>
          <t>G</t>
        </is>
      </c>
      <c r="D3836" t="inlineStr">
        <is>
          <t>T</t>
        </is>
      </c>
      <c r="E3836" t="inlineStr">
        <is>
          <t>rs10244667</t>
        </is>
      </c>
      <c r="F3836" t="n">
        <v>-0.0347891782</v>
      </c>
      <c r="G3836" t="n">
        <v>0.1467329389380771</v>
      </c>
      <c r="H3836" t="n">
        <v>0.009588217739301399</v>
      </c>
      <c r="I3836" t="n">
        <v>0.5675100949596824</v>
      </c>
      <c r="J3836" t="n">
        <v>0.4412385422694701</v>
      </c>
      <c r="K3836" t="n">
        <v>0.1314776920652546</v>
      </c>
      <c r="L3836" t="b">
        <v>0</v>
      </c>
      <c r="M3836" t="b">
        <v>0</v>
      </c>
      <c r="N3836" t="inlineStr">
        <is>
          <t>ref</t>
        </is>
      </c>
      <c r="O3836" t="n">
        <v>0</v>
      </c>
      <c r="P3836" t="n">
        <v>0</v>
      </c>
      <c r="Q3836" t="n">
        <v>-65</v>
      </c>
      <c r="R3836" t="n">
        <v>0.1476</v>
      </c>
      <c r="S3836">
        <f>IMAGE("https://mitra.stanford.edu/kundaje/oak/projects/neuro-variants/variant_position/credible/roussos_2024/variant_figures/roussos_2024.adolescence.GLU/rs10244667_count_position.png",4,220,900)</f>
        <v/>
      </c>
      <c r="T3836">
        <f>IMAGE("https://mitra.stanford.edu/kundaje/oak/projects/neuro-variants/variant_position/credible/roussos_2024/variant_figures/roussos_2024.adolescence.GLU/rs10244667_profile_position.png",4,220,900)</f>
        <v/>
      </c>
    </row>
    <row r="3837">
      <c r="A3837" t="inlineStr">
        <is>
          <t>chr7</t>
        </is>
      </c>
      <c r="B3837" t="n">
        <v>157665453</v>
      </c>
      <c r="C3837" t="inlineStr">
        <is>
          <t>C</t>
        </is>
      </c>
      <c r="D3837" t="inlineStr">
        <is>
          <t>T</t>
        </is>
      </c>
      <c r="E3837" t="inlineStr">
        <is>
          <t>rs2366647</t>
        </is>
      </c>
      <c r="F3837" t="n">
        <v>-0.0586309286</v>
      </c>
      <c r="G3837" t="n">
        <v>0.0427213410696914</v>
      </c>
      <c r="H3837" t="n">
        <v>0.0144879336990196</v>
      </c>
      <c r="I3837" t="n">
        <v>0.1896012779729814</v>
      </c>
      <c r="J3837" t="n">
        <v>0.352710204256596</v>
      </c>
      <c r="K3837" t="n">
        <v>0.214123902905642</v>
      </c>
      <c r="L3837" t="b">
        <v>0</v>
      </c>
      <c r="M3837" t="b">
        <v>0</v>
      </c>
      <c r="N3837" t="inlineStr">
        <is>
          <t>ref</t>
        </is>
      </c>
      <c r="O3837" t="n">
        <v>35</v>
      </c>
      <c r="P3837" t="n">
        <v>0.007126</v>
      </c>
      <c r="Q3837" t="n">
        <v>75</v>
      </c>
      <c r="R3837" t="n">
        <v>0.01617</v>
      </c>
      <c r="S3837">
        <f>IMAGE("https://mitra.stanford.edu/kundaje/oak/projects/neuro-variants/variant_position/credible/roussos_2024/variant_figures/roussos_2024.adolescence.GLU/rs2366647_count_position.png",4,220,900)</f>
        <v/>
      </c>
      <c r="T3837">
        <f>IMAGE("https://mitra.stanford.edu/kundaje/oak/projects/neuro-variants/variant_position/credible/roussos_2024/variant_figures/roussos_2024.adolescence.GLU/rs2366647_profile_position.png",4,220,900)</f>
        <v/>
      </c>
    </row>
    <row r="3838">
      <c r="A3838" t="inlineStr">
        <is>
          <t>chr8</t>
        </is>
      </c>
      <c r="B3838" t="n">
        <v>4325535</v>
      </c>
      <c r="C3838" t="inlineStr">
        <is>
          <t>A</t>
        </is>
      </c>
      <c r="D3838" t="inlineStr">
        <is>
          <t>G</t>
        </is>
      </c>
      <c r="E3838" t="inlineStr">
        <is>
          <t>rs13261217</t>
        </is>
      </c>
      <c r="F3838" t="n">
        <v>-0.1217402876</v>
      </c>
      <c r="G3838" t="n">
        <v>0.009860924715607899</v>
      </c>
      <c r="H3838" t="n">
        <v>0.0363933214383094</v>
      </c>
      <c r="I3838" t="n">
        <v>0.0041170465083206</v>
      </c>
      <c r="J3838" t="n">
        <v>0.4271827735745261</v>
      </c>
      <c r="K3838" t="n">
        <v>0.1409819659645589</v>
      </c>
      <c r="L3838" t="b">
        <v>1</v>
      </c>
      <c r="M3838" t="b">
        <v>1</v>
      </c>
      <c r="N3838" t="inlineStr">
        <is>
          <t>ref</t>
        </is>
      </c>
      <c r="O3838" t="n">
        <v>-10</v>
      </c>
      <c r="P3838" t="n">
        <v>0.0004578</v>
      </c>
      <c r="Q3838" t="n">
        <v>-15</v>
      </c>
      <c r="R3838" t="n">
        <v>0.006348</v>
      </c>
      <c r="S3838">
        <f>IMAGE("https://mitra.stanford.edu/kundaje/oak/projects/neuro-variants/variant_position/credible/roussos_2024/variant_figures/roussos_2024.adolescence.GLU/rs13261217_count_position.png",4,220,900)</f>
        <v/>
      </c>
      <c r="T3838">
        <f>IMAGE("https://mitra.stanford.edu/kundaje/oak/projects/neuro-variants/variant_position/credible/roussos_2024/variant_figures/roussos_2024.adolescence.GLU/rs13261217_profile_position.png",4,220,900)</f>
        <v/>
      </c>
    </row>
    <row r="3839">
      <c r="A3839" t="inlineStr">
        <is>
          <t>chr8</t>
        </is>
      </c>
      <c r="B3839" t="n">
        <v>4364481</v>
      </c>
      <c r="C3839" t="inlineStr">
        <is>
          <t>T</t>
        </is>
      </c>
      <c r="D3839" t="inlineStr">
        <is>
          <t>G</t>
        </is>
      </c>
      <c r="E3839" t="inlineStr">
        <is>
          <t>rs7813162</t>
        </is>
      </c>
      <c r="F3839" t="n">
        <v>0.07577809719999989</v>
      </c>
      <c r="G3839" t="n">
        <v>0.0174253072890782</v>
      </c>
      <c r="H3839" t="n">
        <v>0.01243898521058</v>
      </c>
      <c r="I3839" t="n">
        <v>0.3002188731558222</v>
      </c>
      <c r="J3839" t="n">
        <v>0.1497953147437683</v>
      </c>
      <c r="K3839" t="n">
        <v>0.4794265079498256</v>
      </c>
      <c r="L3839" t="b">
        <v>1</v>
      </c>
      <c r="M3839" t="b">
        <v>0</v>
      </c>
      <c r="N3839" t="inlineStr">
        <is>
          <t>alt</t>
        </is>
      </c>
      <c r="O3839" t="n">
        <v>-90</v>
      </c>
      <c r="P3839" t="n">
        <v>0.0393</v>
      </c>
      <c r="Q3839" t="n">
        <v>85</v>
      </c>
      <c r="R3839" t="n">
        <v>0.0941</v>
      </c>
      <c r="S3839">
        <f>IMAGE("https://mitra.stanford.edu/kundaje/oak/projects/neuro-variants/variant_position/credible/roussos_2024/variant_figures/roussos_2024.adolescence.GLU/rs7813162_count_position.png",4,220,900)</f>
        <v/>
      </c>
      <c r="T3839">
        <f>IMAGE("https://mitra.stanford.edu/kundaje/oak/projects/neuro-variants/variant_position/credible/roussos_2024/variant_figures/roussos_2024.adolescence.GLU/rs7813162_profile_position.png",4,220,900)</f>
        <v/>
      </c>
    </row>
    <row r="3840">
      <c r="A3840" t="inlineStr">
        <is>
          <t>chr8</t>
        </is>
      </c>
      <c r="B3840" t="n">
        <v>4419110</v>
      </c>
      <c r="C3840" t="inlineStr">
        <is>
          <t>T</t>
        </is>
      </c>
      <c r="D3840" t="inlineStr">
        <is>
          <t>C</t>
        </is>
      </c>
      <c r="E3840" t="inlineStr">
        <is>
          <t>rs1230767</t>
        </is>
      </c>
      <c r="F3840" t="n">
        <v>0.0921055984</v>
      </c>
      <c r="G3840" t="n">
        <v>0.0219626626367491</v>
      </c>
      <c r="H3840" t="n">
        <v>0.0289742193154323</v>
      </c>
      <c r="I3840" t="n">
        <v>0.0246894006143701</v>
      </c>
      <c r="J3840" t="n">
        <v>0.2672467868344156</v>
      </c>
      <c r="K3840" t="n">
        <v>0.3107342201431325</v>
      </c>
      <c r="L3840" t="b">
        <v>0</v>
      </c>
      <c r="M3840" t="b">
        <v>0</v>
      </c>
      <c r="N3840" t="inlineStr">
        <is>
          <t>alt</t>
        </is>
      </c>
      <c r="O3840" t="n">
        <v>0</v>
      </c>
      <c r="P3840" t="n">
        <v>0</v>
      </c>
      <c r="Q3840" t="n">
        <v>-95</v>
      </c>
      <c r="R3840" t="n">
        <v>0.0004883</v>
      </c>
      <c r="S3840">
        <f>IMAGE("https://mitra.stanford.edu/kundaje/oak/projects/neuro-variants/variant_position/credible/roussos_2024/variant_figures/roussos_2024.adolescence.GLU/rs1230767_count_position.png",4,220,900)</f>
        <v/>
      </c>
      <c r="T3840">
        <f>IMAGE("https://mitra.stanford.edu/kundaje/oak/projects/neuro-variants/variant_position/credible/roussos_2024/variant_figures/roussos_2024.adolescence.GLU/rs1230767_profile_position.png",4,220,900)</f>
        <v/>
      </c>
    </row>
    <row r="3841">
      <c r="A3841" t="inlineStr">
        <is>
          <t>chr8</t>
        </is>
      </c>
      <c r="B3841" t="n">
        <v>10265517</v>
      </c>
      <c r="C3841" t="inlineStr">
        <is>
          <t>C</t>
        </is>
      </c>
      <c r="D3841" t="inlineStr">
        <is>
          <t>T</t>
        </is>
      </c>
      <c r="E3841" t="inlineStr">
        <is>
          <t>rs12679687</t>
        </is>
      </c>
      <c r="F3841" t="n">
        <v>-0.040781956</v>
      </c>
      <c r="G3841" t="n">
        <v>0.1277759551391638</v>
      </c>
      <c r="H3841" t="n">
        <v>0.0131425492658812</v>
      </c>
      <c r="I3841" t="n">
        <v>0.2955869274395523</v>
      </c>
      <c r="J3841" t="n">
        <v>0.2967900493673689</v>
      </c>
      <c r="K3841" t="n">
        <v>0.2727981623982934</v>
      </c>
      <c r="L3841" t="b">
        <v>0</v>
      </c>
      <c r="M3841" t="b">
        <v>0</v>
      </c>
      <c r="N3841" t="inlineStr">
        <is>
          <t>ref</t>
        </is>
      </c>
      <c r="O3841" t="n">
        <v>-50</v>
      </c>
      <c r="P3841" t="n">
        <v>0.005478</v>
      </c>
      <c r="Q3841" t="n">
        <v>-35</v>
      </c>
      <c r="R3841" t="n">
        <v>0.03653</v>
      </c>
      <c r="S3841">
        <f>IMAGE("https://mitra.stanford.edu/kundaje/oak/projects/neuro-variants/variant_position/credible/roussos_2024/variant_figures/roussos_2024.adolescence.GLU/rs12679687_count_position.png",4,220,900)</f>
        <v/>
      </c>
      <c r="T3841">
        <f>IMAGE("https://mitra.stanford.edu/kundaje/oak/projects/neuro-variants/variant_position/credible/roussos_2024/variant_figures/roussos_2024.adolescence.GLU/rs12679687_profile_position.png",4,220,900)</f>
        <v/>
      </c>
    </row>
    <row r="3842">
      <c r="A3842" t="inlineStr">
        <is>
          <t>chr8</t>
        </is>
      </c>
      <c r="B3842" t="n">
        <v>10280381</v>
      </c>
      <c r="C3842" t="inlineStr">
        <is>
          <t>G</t>
        </is>
      </c>
      <c r="D3842" t="inlineStr">
        <is>
          <t>A</t>
        </is>
      </c>
      <c r="E3842" t="inlineStr">
        <is>
          <t>rs2952245</t>
        </is>
      </c>
      <c r="F3842" t="n">
        <v>-0.001798754228</v>
      </c>
      <c r="G3842" t="n">
        <v>0.8902029147372856</v>
      </c>
      <c r="H3842" t="n">
        <v>0.0186104227871622</v>
      </c>
      <c r="I3842" t="n">
        <v>0.07716711420687811</v>
      </c>
      <c r="J3842" t="n">
        <v>0.0829114602310478</v>
      </c>
      <c r="K3842" t="n">
        <v>0.6070726646540459</v>
      </c>
      <c r="L3842" t="b">
        <v>0</v>
      </c>
      <c r="M3842" t="b">
        <v>0</v>
      </c>
      <c r="N3842" t="inlineStr">
        <is>
          <t>ref</t>
        </is>
      </c>
      <c r="O3842" t="n">
        <v>-55</v>
      </c>
      <c r="P3842" t="n">
        <v>0.003231</v>
      </c>
      <c r="Q3842" t="n">
        <v>100</v>
      </c>
      <c r="R3842" t="n">
        <v>0.1449</v>
      </c>
      <c r="S3842">
        <f>IMAGE("https://mitra.stanford.edu/kundaje/oak/projects/neuro-variants/variant_position/credible/roussos_2024/variant_figures/roussos_2024.adolescence.GLU/rs2952245_count_position.png",4,220,900)</f>
        <v/>
      </c>
      <c r="T3842">
        <f>IMAGE("https://mitra.stanford.edu/kundaje/oak/projects/neuro-variants/variant_position/credible/roussos_2024/variant_figures/roussos_2024.adolescence.GLU/rs2952245_profile_position.png",4,220,900)</f>
        <v/>
      </c>
    </row>
    <row r="3843">
      <c r="A3843" t="inlineStr">
        <is>
          <t>chr8</t>
        </is>
      </c>
      <c r="B3843" t="n">
        <v>10398391</v>
      </c>
      <c r="C3843" t="inlineStr">
        <is>
          <t>G</t>
        </is>
      </c>
      <c r="D3843" t="inlineStr">
        <is>
          <t>A</t>
        </is>
      </c>
      <c r="E3843" t="inlineStr">
        <is>
          <t>rs11250001</t>
        </is>
      </c>
      <c r="F3843" t="n">
        <v>-0.0266626344</v>
      </c>
      <c r="G3843" t="n">
        <v>0.2199767023195437</v>
      </c>
      <c r="H3843" t="n">
        <v>0.0075061628209903</v>
      </c>
      <c r="I3843" t="n">
        <v>0.8587817833896083</v>
      </c>
      <c r="J3843" t="n">
        <v>0.3789456387394532</v>
      </c>
      <c r="K3843" t="n">
        <v>0.1864400329472763</v>
      </c>
      <c r="L3843" t="b">
        <v>0</v>
      </c>
      <c r="M3843" t="b">
        <v>0</v>
      </c>
      <c r="N3843" t="inlineStr">
        <is>
          <t>ref</t>
        </is>
      </c>
      <c r="O3843" t="n">
        <v>100</v>
      </c>
      <c r="P3843" t="n">
        <v>0.02759</v>
      </c>
      <c r="Q3843" t="n">
        <v>45</v>
      </c>
      <c r="R3843" t="n">
        <v>0.03748</v>
      </c>
      <c r="S3843">
        <f>IMAGE("https://mitra.stanford.edu/kundaje/oak/projects/neuro-variants/variant_position/credible/roussos_2024/variant_figures/roussos_2024.adolescence.GLU/rs11250001_count_position.png",4,220,900)</f>
        <v/>
      </c>
      <c r="T3843">
        <f>IMAGE("https://mitra.stanford.edu/kundaje/oak/projects/neuro-variants/variant_position/credible/roussos_2024/variant_figures/roussos_2024.adolescence.GLU/rs11250001_profile_position.png",4,220,900)</f>
        <v/>
      </c>
    </row>
    <row r="3844">
      <c r="A3844" t="inlineStr">
        <is>
          <t>chr8</t>
        </is>
      </c>
      <c r="B3844" t="n">
        <v>10401678</v>
      </c>
      <c r="C3844" t="inlineStr">
        <is>
          <t>T</t>
        </is>
      </c>
      <c r="D3844" t="inlineStr">
        <is>
          <t>C</t>
        </is>
      </c>
      <c r="E3844" t="inlineStr">
        <is>
          <t>rs35388602</t>
        </is>
      </c>
      <c r="F3844" t="n">
        <v>0.0284373502</v>
      </c>
      <c r="G3844" t="n">
        <v>0.182099667975326</v>
      </c>
      <c r="H3844" t="n">
        <v>0.0111597566436331</v>
      </c>
      <c r="I3844" t="n">
        <v>0.4008251516214232</v>
      </c>
      <c r="J3844" t="n">
        <v>0.2401883247244071</v>
      </c>
      <c r="K3844" t="n">
        <v>0.3458452650483237</v>
      </c>
      <c r="L3844" t="b">
        <v>0</v>
      </c>
      <c r="M3844" t="b">
        <v>0</v>
      </c>
      <c r="N3844" t="inlineStr">
        <is>
          <t>alt</t>
        </is>
      </c>
      <c r="O3844" t="n">
        <v>55</v>
      </c>
      <c r="P3844" t="n">
        <v>0.004242</v>
      </c>
      <c r="Q3844" t="n">
        <v>-70</v>
      </c>
      <c r="R3844" t="n">
        <v>0.0603</v>
      </c>
      <c r="S3844">
        <f>IMAGE("https://mitra.stanford.edu/kundaje/oak/projects/neuro-variants/variant_position/credible/roussos_2024/variant_figures/roussos_2024.adolescence.GLU/rs35388602_count_position.png",4,220,900)</f>
        <v/>
      </c>
      <c r="T3844">
        <f>IMAGE("https://mitra.stanford.edu/kundaje/oak/projects/neuro-variants/variant_position/credible/roussos_2024/variant_figures/roussos_2024.adolescence.GLU/rs35388602_profile_position.png",4,220,900)</f>
        <v/>
      </c>
    </row>
    <row r="3845">
      <c r="A3845" t="inlineStr">
        <is>
          <t>chr8</t>
        </is>
      </c>
      <c r="B3845" t="n">
        <v>13742372</v>
      </c>
      <c r="C3845" t="inlineStr">
        <is>
          <t>A</t>
        </is>
      </c>
      <c r="D3845" t="inlineStr">
        <is>
          <t>G</t>
        </is>
      </c>
      <c r="E3845" t="inlineStr">
        <is>
          <t>rs7839817</t>
        </is>
      </c>
      <c r="F3845" t="n">
        <v>0.00745213168</v>
      </c>
      <c r="G3845" t="n">
        <v>0.5777111164583559</v>
      </c>
      <c r="H3845" t="n">
        <v>0.0186342110586347</v>
      </c>
      <c r="I3845" t="n">
        <v>0.0764390317211452</v>
      </c>
      <c r="J3845" t="n">
        <v>0.1297297297297296</v>
      </c>
      <c r="K3845" t="n">
        <v>0.5094250743887058</v>
      </c>
      <c r="L3845" t="b">
        <v>0</v>
      </c>
      <c r="M3845" t="b">
        <v>0</v>
      </c>
      <c r="N3845" t="inlineStr">
        <is>
          <t>alt</t>
        </is>
      </c>
      <c r="O3845" t="n">
        <v>-75</v>
      </c>
      <c r="P3845" t="n">
        <v>0.005062</v>
      </c>
      <c r="Q3845" t="n">
        <v>-55</v>
      </c>
      <c r="R3845" t="n">
        <v>0.04242</v>
      </c>
      <c r="S3845">
        <f>IMAGE("https://mitra.stanford.edu/kundaje/oak/projects/neuro-variants/variant_position/credible/roussos_2024/variant_figures/roussos_2024.adolescence.GLU/rs7839817_count_position.png",4,220,900)</f>
        <v/>
      </c>
      <c r="T3845">
        <f>IMAGE("https://mitra.stanford.edu/kundaje/oak/projects/neuro-variants/variant_position/credible/roussos_2024/variant_figures/roussos_2024.adolescence.GLU/rs7839817_profile_position.png",4,220,900)</f>
        <v/>
      </c>
    </row>
    <row r="3846">
      <c r="A3846" t="inlineStr">
        <is>
          <t>chr8</t>
        </is>
      </c>
      <c r="B3846" t="n">
        <v>13743692</v>
      </c>
      <c r="C3846" t="inlineStr">
        <is>
          <t>C</t>
        </is>
      </c>
      <c r="D3846" t="inlineStr">
        <is>
          <t>T</t>
        </is>
      </c>
      <c r="E3846" t="inlineStr">
        <is>
          <t>rs5012670</t>
        </is>
      </c>
      <c r="F3846" t="n">
        <v>0.0381121804</v>
      </c>
      <c r="G3846" t="n">
        <v>0.1268108977424975</v>
      </c>
      <c r="H3846" t="n">
        <v>0.0235346345463116</v>
      </c>
      <c r="I3846" t="n">
        <v>0.0338216994563353</v>
      </c>
      <c r="J3846" t="n">
        <v>0.0333511941759364</v>
      </c>
      <c r="K3846" t="n">
        <v>0.759581617215766</v>
      </c>
      <c r="L3846" t="b">
        <v>0</v>
      </c>
      <c r="M3846" t="b">
        <v>0</v>
      </c>
      <c r="N3846" t="inlineStr">
        <is>
          <t>alt</t>
        </is>
      </c>
      <c r="O3846" t="n">
        <v>75</v>
      </c>
      <c r="P3846" t="n">
        <v>0.003975</v>
      </c>
      <c r="Q3846" t="n">
        <v>5</v>
      </c>
      <c r="R3846" t="n">
        <v>0.007934999999999999</v>
      </c>
      <c r="S3846">
        <f>IMAGE("https://mitra.stanford.edu/kundaje/oak/projects/neuro-variants/variant_position/credible/roussos_2024/variant_figures/roussos_2024.adolescence.GLU/rs5012670_count_position.png",4,220,900)</f>
        <v/>
      </c>
      <c r="T3846">
        <f>IMAGE("https://mitra.stanford.edu/kundaje/oak/projects/neuro-variants/variant_position/credible/roussos_2024/variant_figures/roussos_2024.adolescence.GLU/rs5012670_profile_position.png",4,220,900)</f>
        <v/>
      </c>
    </row>
    <row r="3847">
      <c r="A3847" t="inlineStr">
        <is>
          <t>chr8</t>
        </is>
      </c>
      <c r="B3847" t="n">
        <v>13744943</v>
      </c>
      <c r="C3847" t="inlineStr">
        <is>
          <t>T</t>
        </is>
      </c>
      <c r="D3847" t="inlineStr">
        <is>
          <t>C</t>
        </is>
      </c>
      <c r="E3847" t="inlineStr">
        <is>
          <t>rs13267233</t>
        </is>
      </c>
      <c r="F3847" t="n">
        <v>0.0235730826</v>
      </c>
      <c r="G3847" t="n">
        <v>0.2890309209173647</v>
      </c>
      <c r="H3847" t="n">
        <v>0.0179720042162004</v>
      </c>
      <c r="I3847" t="n">
        <v>0.0875582883813546</v>
      </c>
      <c r="J3847" t="n">
        <v>0.0424145001464588</v>
      </c>
      <c r="K3847" t="n">
        <v>0.726789668154261</v>
      </c>
      <c r="L3847" t="b">
        <v>0</v>
      </c>
      <c r="M3847" t="b">
        <v>0</v>
      </c>
      <c r="N3847" t="inlineStr">
        <is>
          <t>alt</t>
        </is>
      </c>
      <c r="O3847" t="n">
        <v>-90</v>
      </c>
      <c r="P3847" t="n">
        <v>0.008920000000000001</v>
      </c>
      <c r="Q3847" t="n">
        <v>15</v>
      </c>
      <c r="R3847" t="n">
        <v>0.014404</v>
      </c>
      <c r="S3847">
        <f>IMAGE("https://mitra.stanford.edu/kundaje/oak/projects/neuro-variants/variant_position/credible/roussos_2024/variant_figures/roussos_2024.adolescence.GLU/rs13267233_count_position.png",4,220,900)</f>
        <v/>
      </c>
      <c r="T3847">
        <f>IMAGE("https://mitra.stanford.edu/kundaje/oak/projects/neuro-variants/variant_position/credible/roussos_2024/variant_figures/roussos_2024.adolescence.GLU/rs13267233_profile_position.png",4,220,900)</f>
        <v/>
      </c>
    </row>
    <row r="3848">
      <c r="A3848" t="inlineStr">
        <is>
          <t>chr8</t>
        </is>
      </c>
      <c r="B3848" t="n">
        <v>13745057</v>
      </c>
      <c r="C3848" t="inlineStr">
        <is>
          <t>T</t>
        </is>
      </c>
      <c r="D3848" t="inlineStr">
        <is>
          <t>C</t>
        </is>
      </c>
      <c r="E3848" t="inlineStr">
        <is>
          <t>rs13267570</t>
        </is>
      </c>
      <c r="F3848" t="n">
        <v>0.0012418428999999</v>
      </c>
      <c r="G3848" t="n">
        <v>0.4033561053719824</v>
      </c>
      <c r="H3848" t="n">
        <v>0.0111858742487878</v>
      </c>
      <c r="I3848" t="n">
        <v>0.4243631198500574</v>
      </c>
      <c r="J3848" t="n">
        <v>0.0498503261389859</v>
      </c>
      <c r="K3848" t="n">
        <v>0.7057417563694255</v>
      </c>
      <c r="L3848" t="b">
        <v>0</v>
      </c>
      <c r="M3848" t="b">
        <v>0</v>
      </c>
      <c r="N3848" t="inlineStr">
        <is>
          <t>alt</t>
        </is>
      </c>
      <c r="O3848" t="n">
        <v>60</v>
      </c>
      <c r="P3848" t="n">
        <v>0.002766</v>
      </c>
      <c r="Q3848" t="n">
        <v>30</v>
      </c>
      <c r="R3848" t="n">
        <v>0.00842</v>
      </c>
      <c r="S3848">
        <f>IMAGE("https://mitra.stanford.edu/kundaje/oak/projects/neuro-variants/variant_position/credible/roussos_2024/variant_figures/roussos_2024.adolescence.GLU/rs13267570_count_position.png",4,220,900)</f>
        <v/>
      </c>
      <c r="T3848">
        <f>IMAGE("https://mitra.stanford.edu/kundaje/oak/projects/neuro-variants/variant_position/credible/roussos_2024/variant_figures/roussos_2024.adolescence.GLU/rs13267570_profile_position.png",4,220,900)</f>
        <v/>
      </c>
    </row>
    <row r="3849">
      <c r="A3849" t="inlineStr">
        <is>
          <t>chr8</t>
        </is>
      </c>
      <c r="B3849" t="n">
        <v>18565413</v>
      </c>
      <c r="C3849" t="inlineStr">
        <is>
          <t>C</t>
        </is>
      </c>
      <c r="D3849" t="inlineStr">
        <is>
          <t>T</t>
        </is>
      </c>
      <c r="E3849" t="inlineStr">
        <is>
          <t>rs13259407</t>
        </is>
      </c>
      <c r="F3849" t="n">
        <v>-0.0211215911599999</v>
      </c>
      <c r="G3849" t="n">
        <v>0.297413095291404</v>
      </c>
      <c r="H3849" t="n">
        <v>0.0138968457723681</v>
      </c>
      <c r="I3849" t="n">
        <v>0.2069784538989932</v>
      </c>
      <c r="J3849" t="n">
        <v>0.4592051210607911</v>
      </c>
      <c r="K3849" t="n">
        <v>0.1156226564477252</v>
      </c>
      <c r="L3849" t="b">
        <v>0</v>
      </c>
      <c r="M3849" t="b">
        <v>0</v>
      </c>
      <c r="N3849" t="inlineStr">
        <is>
          <t>ref</t>
        </is>
      </c>
      <c r="O3849" t="n">
        <v>-20</v>
      </c>
      <c r="P3849" t="n">
        <v>0.000641</v>
      </c>
      <c r="Q3849" t="n">
        <v>-85</v>
      </c>
      <c r="R3849" t="n">
        <v>0.1117</v>
      </c>
      <c r="S3849">
        <f>IMAGE("https://mitra.stanford.edu/kundaje/oak/projects/neuro-variants/variant_position/credible/roussos_2024/variant_figures/roussos_2024.adolescence.GLU/rs13259407_count_position.png",4,220,900)</f>
        <v/>
      </c>
      <c r="T3849">
        <f>IMAGE("https://mitra.stanford.edu/kundaje/oak/projects/neuro-variants/variant_position/credible/roussos_2024/variant_figures/roussos_2024.adolescence.GLU/rs13259407_profile_position.png",4,220,900)</f>
        <v/>
      </c>
    </row>
    <row r="3850">
      <c r="A3850" t="inlineStr">
        <is>
          <t>chr8</t>
        </is>
      </c>
      <c r="B3850" t="n">
        <v>18572066</v>
      </c>
      <c r="C3850" t="inlineStr">
        <is>
          <t>C</t>
        </is>
      </c>
      <c r="D3850" t="inlineStr">
        <is>
          <t>A</t>
        </is>
      </c>
      <c r="E3850" t="inlineStr">
        <is>
          <t>rs7018369</t>
        </is>
      </c>
      <c r="F3850" t="n">
        <v>-0.0163669342</v>
      </c>
      <c r="G3850" t="n">
        <v>0.3635415770631677</v>
      </c>
      <c r="H3850" t="n">
        <v>0.0095769904756493</v>
      </c>
      <c r="I3850" t="n">
        <v>0.5970514727474917</v>
      </c>
      <c r="J3850" t="n">
        <v>0.0850919118960355</v>
      </c>
      <c r="K3850" t="n">
        <v>0.6038586566823209</v>
      </c>
      <c r="L3850" t="b">
        <v>0</v>
      </c>
      <c r="M3850" t="b">
        <v>0</v>
      </c>
      <c r="N3850" t="inlineStr">
        <is>
          <t>ref</t>
        </is>
      </c>
      <c r="O3850" t="n">
        <v>65</v>
      </c>
      <c r="P3850" t="n">
        <v>0.01022</v>
      </c>
      <c r="Q3850" t="n">
        <v>45</v>
      </c>
      <c r="R3850" t="n">
        <v>0.05887</v>
      </c>
      <c r="S3850">
        <f>IMAGE("https://mitra.stanford.edu/kundaje/oak/projects/neuro-variants/variant_position/credible/roussos_2024/variant_figures/roussos_2024.adolescence.GLU/rs7018369_count_position.png",4,220,900)</f>
        <v/>
      </c>
      <c r="T3850">
        <f>IMAGE("https://mitra.stanford.edu/kundaje/oak/projects/neuro-variants/variant_position/credible/roussos_2024/variant_figures/roussos_2024.adolescence.GLU/rs7018369_profile_position.png",4,220,900)</f>
        <v/>
      </c>
    </row>
    <row r="3851">
      <c r="A3851" t="inlineStr">
        <is>
          <t>chr8</t>
        </is>
      </c>
      <c r="B3851" t="n">
        <v>26339117</v>
      </c>
      <c r="C3851" t="inlineStr">
        <is>
          <t>A</t>
        </is>
      </c>
      <c r="D3851" t="inlineStr">
        <is>
          <t>T</t>
        </is>
      </c>
      <c r="E3851" t="inlineStr">
        <is>
          <t>rs3808573</t>
        </is>
      </c>
      <c r="F3851" t="n">
        <v>0.0185584467799999</v>
      </c>
      <c r="G3851" t="n">
        <v>0.356609520173213</v>
      </c>
      <c r="H3851" t="n">
        <v>0.0109138932563552</v>
      </c>
      <c r="I3851" t="n">
        <v>0.4508240020836821</v>
      </c>
      <c r="J3851" t="n">
        <v>0.0457851983625179</v>
      </c>
      <c r="K3851" t="n">
        <v>0.712043813986359</v>
      </c>
      <c r="L3851" t="b">
        <v>0</v>
      </c>
      <c r="M3851" t="b">
        <v>0</v>
      </c>
      <c r="N3851" t="inlineStr">
        <is>
          <t>alt</t>
        </is>
      </c>
      <c r="O3851" t="n">
        <v>-35</v>
      </c>
      <c r="P3851" t="n">
        <v>0.001991</v>
      </c>
      <c r="Q3851" t="n">
        <v>85</v>
      </c>
      <c r="R3851" t="n">
        <v>0.03796</v>
      </c>
      <c r="S3851">
        <f>IMAGE("https://mitra.stanford.edu/kundaje/oak/projects/neuro-variants/variant_position/credible/roussos_2024/variant_figures/roussos_2024.adolescence.GLU/rs3808573_count_position.png",4,220,900)</f>
        <v/>
      </c>
      <c r="T3851">
        <f>IMAGE("https://mitra.stanford.edu/kundaje/oak/projects/neuro-variants/variant_position/credible/roussos_2024/variant_figures/roussos_2024.adolescence.GLU/rs3808573_profile_position.png",4,220,900)</f>
        <v/>
      </c>
    </row>
    <row r="3852">
      <c r="A3852" t="inlineStr">
        <is>
          <t>chr8</t>
        </is>
      </c>
      <c r="B3852" t="n">
        <v>26365942</v>
      </c>
      <c r="C3852" t="inlineStr">
        <is>
          <t>A</t>
        </is>
      </c>
      <c r="D3852" t="inlineStr">
        <is>
          <t>C</t>
        </is>
      </c>
      <c r="E3852" t="inlineStr">
        <is>
          <t>rs3808566</t>
        </is>
      </c>
      <c r="F3852" t="n">
        <v>0.0500687791999999</v>
      </c>
      <c r="G3852" t="n">
        <v>0.0576181293724201</v>
      </c>
      <c r="H3852" t="n">
        <v>0.0119772033727157</v>
      </c>
      <c r="I3852" t="n">
        <v>0.3276800578047234</v>
      </c>
      <c r="J3852" t="n">
        <v>0.0107536561144807</v>
      </c>
      <c r="K3852" t="n">
        <v>0.873076850023263</v>
      </c>
      <c r="L3852" t="b">
        <v>0</v>
      </c>
      <c r="M3852" t="b">
        <v>0</v>
      </c>
      <c r="N3852" t="inlineStr">
        <is>
          <t>alt</t>
        </is>
      </c>
      <c r="O3852" t="n">
        <v>-100</v>
      </c>
      <c r="P3852" t="n">
        <v>0.00389</v>
      </c>
      <c r="Q3852" t="n">
        <v>25</v>
      </c>
      <c r="R3852" t="n">
        <v>0.02429</v>
      </c>
      <c r="S3852">
        <f>IMAGE("https://mitra.stanford.edu/kundaje/oak/projects/neuro-variants/variant_position/credible/roussos_2024/variant_figures/roussos_2024.adolescence.GLU/rs3808566_count_position.png",4,220,900)</f>
        <v/>
      </c>
      <c r="T3852">
        <f>IMAGE("https://mitra.stanford.edu/kundaje/oak/projects/neuro-variants/variant_position/credible/roussos_2024/variant_figures/roussos_2024.adolescence.GLU/rs3808566_profile_position.png",4,220,900)</f>
        <v/>
      </c>
    </row>
    <row r="3853">
      <c r="A3853" t="inlineStr">
        <is>
          <t>chr8</t>
        </is>
      </c>
      <c r="B3853" t="n">
        <v>26370083</v>
      </c>
      <c r="C3853" t="inlineStr">
        <is>
          <t>A</t>
        </is>
      </c>
      <c r="D3853" t="inlineStr">
        <is>
          <t>C</t>
        </is>
      </c>
      <c r="E3853" t="inlineStr">
        <is>
          <t>rs3824232</t>
        </is>
      </c>
      <c r="F3853" t="n">
        <v>-0.0117117079999999</v>
      </c>
      <c r="G3853" t="n">
        <v>0.4747659614618834</v>
      </c>
      <c r="H3853" t="n">
        <v>0.028219418976306</v>
      </c>
      <c r="I3853" t="n">
        <v>0.0119152658751724</v>
      </c>
      <c r="J3853" t="n">
        <v>0.3441141379285709</v>
      </c>
      <c r="K3853" t="n">
        <v>0.2221617769083448</v>
      </c>
      <c r="L3853" t="b">
        <v>1</v>
      </c>
      <c r="M3853" t="b">
        <v>0</v>
      </c>
      <c r="N3853" t="inlineStr">
        <is>
          <t>ref</t>
        </is>
      </c>
      <c r="O3853" t="n">
        <v>75</v>
      </c>
      <c r="P3853" t="n">
        <v>0.00688</v>
      </c>
      <c r="Q3853" t="n">
        <v>65</v>
      </c>
      <c r="R3853" t="n">
        <v>0.1294</v>
      </c>
      <c r="S3853">
        <f>IMAGE("https://mitra.stanford.edu/kundaje/oak/projects/neuro-variants/variant_position/credible/roussos_2024/variant_figures/roussos_2024.adolescence.GLU/rs3824232_count_position.png",4,220,900)</f>
        <v/>
      </c>
      <c r="T3853">
        <f>IMAGE("https://mitra.stanford.edu/kundaje/oak/projects/neuro-variants/variant_position/credible/roussos_2024/variant_figures/roussos_2024.adolescence.GLU/rs3824232_profile_position.png",4,220,900)</f>
        <v/>
      </c>
    </row>
    <row r="3854">
      <c r="A3854" t="inlineStr">
        <is>
          <t>chr8</t>
        </is>
      </c>
      <c r="B3854" t="n">
        <v>27389331</v>
      </c>
      <c r="C3854" t="inlineStr">
        <is>
          <t>A</t>
        </is>
      </c>
      <c r="D3854" t="inlineStr">
        <is>
          <t>C</t>
        </is>
      </c>
      <c r="E3854" t="inlineStr">
        <is>
          <t>rs56085315</t>
        </is>
      </c>
      <c r="F3854" t="n">
        <v>0.0609609761999999</v>
      </c>
      <c r="G3854" t="n">
        <v>0.0395220372053712</v>
      </c>
      <c r="H3854" t="n">
        <v>0.0108136213650935</v>
      </c>
      <c r="I3854" t="n">
        <v>0.4156248666711188</v>
      </c>
      <c r="J3854" t="n">
        <v>0.3825349536689743</v>
      </c>
      <c r="K3854" t="n">
        <v>0.1834849287586984</v>
      </c>
      <c r="L3854" t="b">
        <v>0</v>
      </c>
      <c r="M3854" t="b">
        <v>0</v>
      </c>
      <c r="N3854" t="inlineStr">
        <is>
          <t>alt</t>
        </is>
      </c>
      <c r="O3854" t="n">
        <v>-75</v>
      </c>
      <c r="P3854" t="n">
        <v>0.006523</v>
      </c>
      <c r="Q3854" t="n">
        <v>-100</v>
      </c>
      <c r="R3854" t="n">
        <v>0.02905</v>
      </c>
      <c r="S3854">
        <f>IMAGE("https://mitra.stanford.edu/kundaje/oak/projects/neuro-variants/variant_position/credible/roussos_2024/variant_figures/roussos_2024.adolescence.GLU/rs56085315_count_position.png",4,220,900)</f>
        <v/>
      </c>
      <c r="T3854">
        <f>IMAGE("https://mitra.stanford.edu/kundaje/oak/projects/neuro-variants/variant_position/credible/roussos_2024/variant_figures/roussos_2024.adolescence.GLU/rs56085315_profile_position.png",4,220,900)</f>
        <v/>
      </c>
    </row>
    <row r="3855">
      <c r="A3855" t="inlineStr">
        <is>
          <t>chr8</t>
        </is>
      </c>
      <c r="B3855" t="n">
        <v>27411233</v>
      </c>
      <c r="C3855" t="inlineStr">
        <is>
          <t>T</t>
        </is>
      </c>
      <c r="D3855" t="inlineStr">
        <is>
          <t>C</t>
        </is>
      </c>
      <c r="E3855" t="inlineStr">
        <is>
          <t>rs3757908</t>
        </is>
      </c>
      <c r="F3855" t="n">
        <v>-0.01331407462</v>
      </c>
      <c r="G3855" t="n">
        <v>0.3836671825195179</v>
      </c>
      <c r="H3855" t="n">
        <v>0.0122728105616854</v>
      </c>
      <c r="I3855" t="n">
        <v>0.2963763673874082</v>
      </c>
      <c r="J3855" t="n">
        <v>0.184979745804488</v>
      </c>
      <c r="K3855" t="n">
        <v>0.4272337041180805</v>
      </c>
      <c r="L3855" t="b">
        <v>0</v>
      </c>
      <c r="M3855" t="b">
        <v>0</v>
      </c>
      <c r="N3855" t="inlineStr">
        <is>
          <t>ref</t>
        </is>
      </c>
      <c r="O3855" t="n">
        <v>-100</v>
      </c>
      <c r="P3855" t="n">
        <v>0.01326</v>
      </c>
      <c r="Q3855" t="n">
        <v>80</v>
      </c>
      <c r="R3855" t="n">
        <v>0.0568</v>
      </c>
      <c r="S3855">
        <f>IMAGE("https://mitra.stanford.edu/kundaje/oak/projects/neuro-variants/variant_position/credible/roussos_2024/variant_figures/roussos_2024.adolescence.GLU/rs3757908_count_position.png",4,220,900)</f>
        <v/>
      </c>
      <c r="T3855">
        <f>IMAGE("https://mitra.stanford.edu/kundaje/oak/projects/neuro-variants/variant_position/credible/roussos_2024/variant_figures/roussos_2024.adolescence.GLU/rs3757908_profile_position.png",4,220,900)</f>
        <v/>
      </c>
    </row>
    <row r="3856">
      <c r="A3856" t="inlineStr">
        <is>
          <t>chr8</t>
        </is>
      </c>
      <c r="B3856" t="n">
        <v>27436348</v>
      </c>
      <c r="C3856" t="inlineStr">
        <is>
          <t>C</t>
        </is>
      </c>
      <c r="D3856" t="inlineStr">
        <is>
          <t>T</t>
        </is>
      </c>
      <c r="E3856" t="inlineStr">
        <is>
          <t>rs7005936</t>
        </is>
      </c>
      <c r="F3856" t="n">
        <v>-0.0816903192</v>
      </c>
      <c r="G3856" t="n">
        <v>0.0143588271568885</v>
      </c>
      <c r="H3856" t="n">
        <v>0.0222420181645066</v>
      </c>
      <c r="I3856" t="n">
        <v>0.0367505393441871</v>
      </c>
      <c r="J3856" t="n">
        <v>0.3675561366283015</v>
      </c>
      <c r="K3856" t="n">
        <v>0.1979313635870941</v>
      </c>
      <c r="L3856" t="b">
        <v>1</v>
      </c>
      <c r="M3856" t="b">
        <v>0</v>
      </c>
      <c r="N3856" t="inlineStr">
        <is>
          <t>ref</t>
        </is>
      </c>
      <c r="O3856" t="n">
        <v>75</v>
      </c>
      <c r="P3856" t="n">
        <v>0.00241</v>
      </c>
      <c r="Q3856" t="n">
        <v>-55</v>
      </c>
      <c r="R3856" t="n">
        <v>0.05048</v>
      </c>
      <c r="S3856">
        <f>IMAGE("https://mitra.stanford.edu/kundaje/oak/projects/neuro-variants/variant_position/credible/roussos_2024/variant_figures/roussos_2024.adolescence.GLU/rs7005936_count_position.png",4,220,900)</f>
        <v/>
      </c>
      <c r="T3856">
        <f>IMAGE("https://mitra.stanford.edu/kundaje/oak/projects/neuro-variants/variant_position/credible/roussos_2024/variant_figures/roussos_2024.adolescence.GLU/rs7005936_profile_position.png",4,220,900)</f>
        <v/>
      </c>
    </row>
    <row r="3857">
      <c r="A3857" t="inlineStr">
        <is>
          <t>chr8</t>
        </is>
      </c>
      <c r="B3857" t="n">
        <v>27451822</v>
      </c>
      <c r="C3857" t="inlineStr">
        <is>
          <t>T</t>
        </is>
      </c>
      <c r="D3857" t="inlineStr">
        <is>
          <t>C</t>
        </is>
      </c>
      <c r="E3857" t="inlineStr">
        <is>
          <t>rs1106359</t>
        </is>
      </c>
      <c r="F3857" t="n">
        <v>0.07950577559999999</v>
      </c>
      <c r="G3857" t="n">
        <v>0.0204392576095422</v>
      </c>
      <c r="H3857" t="n">
        <v>0.015514261771184</v>
      </c>
      <c r="I3857" t="n">
        <v>0.1630077184892317</v>
      </c>
      <c r="J3857" t="n">
        <v>0.5257446185281236</v>
      </c>
      <c r="K3857" t="n">
        <v>0.07364943318223049</v>
      </c>
      <c r="L3857" t="b">
        <v>0</v>
      </c>
      <c r="M3857" t="b">
        <v>0</v>
      </c>
      <c r="N3857" t="inlineStr">
        <is>
          <t>alt</t>
        </is>
      </c>
      <c r="O3857" t="n">
        <v>-95</v>
      </c>
      <c r="P3857" t="n">
        <v>0.006866</v>
      </c>
      <c r="Q3857" t="n">
        <v>-95</v>
      </c>
      <c r="R3857" t="n">
        <v>0.10156</v>
      </c>
      <c r="S3857">
        <f>IMAGE("https://mitra.stanford.edu/kundaje/oak/projects/neuro-variants/variant_position/credible/roussos_2024/variant_figures/roussos_2024.adolescence.GLU/rs1106359_count_position.png",4,220,900)</f>
        <v/>
      </c>
      <c r="T3857">
        <f>IMAGE("https://mitra.stanford.edu/kundaje/oak/projects/neuro-variants/variant_position/credible/roussos_2024/variant_figures/roussos_2024.adolescence.GLU/rs1106359_profile_position.png",4,220,900)</f>
        <v/>
      </c>
    </row>
    <row r="3858">
      <c r="A3858" t="inlineStr">
        <is>
          <t>chr8</t>
        </is>
      </c>
      <c r="B3858" t="n">
        <v>27470504</v>
      </c>
      <c r="C3858" t="inlineStr">
        <is>
          <t>A</t>
        </is>
      </c>
      <c r="D3858" t="inlineStr">
        <is>
          <t>G</t>
        </is>
      </c>
      <c r="E3858" t="inlineStr">
        <is>
          <t>rs2565065</t>
        </is>
      </c>
      <c r="F3858" t="n">
        <v>0.0301813484</v>
      </c>
      <c r="G3858" t="n">
        <v>0.1607001463873274</v>
      </c>
      <c r="H3858" t="n">
        <v>0.0199325125723315</v>
      </c>
      <c r="I3858" t="n">
        <v>0.0576816260704878</v>
      </c>
      <c r="J3858" t="n">
        <v>0.5386201427438542</v>
      </c>
      <c r="K3858" t="n">
        <v>0.0660172551276579</v>
      </c>
      <c r="L3858" t="b">
        <v>0</v>
      </c>
      <c r="M3858" t="b">
        <v>0</v>
      </c>
      <c r="N3858" t="inlineStr">
        <is>
          <t>alt</t>
        </is>
      </c>
      <c r="O3858" t="n">
        <v>70</v>
      </c>
      <c r="P3858" t="n">
        <v>0.0008087</v>
      </c>
      <c r="Q3858" t="n">
        <v>20</v>
      </c>
      <c r="R3858" t="n">
        <v>0.01758</v>
      </c>
      <c r="S3858">
        <f>IMAGE("https://mitra.stanford.edu/kundaje/oak/projects/neuro-variants/variant_position/credible/roussos_2024/variant_figures/roussos_2024.adolescence.GLU/rs2565065_count_position.png",4,220,900)</f>
        <v/>
      </c>
      <c r="T3858">
        <f>IMAGE("https://mitra.stanford.edu/kundaje/oak/projects/neuro-variants/variant_position/credible/roussos_2024/variant_figures/roussos_2024.adolescence.GLU/rs2565065_profile_position.png",4,220,900)</f>
        <v/>
      </c>
    </row>
    <row r="3859">
      <c r="A3859" t="inlineStr">
        <is>
          <t>chr8</t>
        </is>
      </c>
      <c r="B3859" t="n">
        <v>27609666</v>
      </c>
      <c r="C3859" t="inlineStr">
        <is>
          <t>A</t>
        </is>
      </c>
      <c r="D3859" t="inlineStr">
        <is>
          <t>G</t>
        </is>
      </c>
      <c r="E3859" t="inlineStr">
        <is>
          <t>rs867232</t>
        </is>
      </c>
      <c r="F3859" t="n">
        <v>0.113417638</v>
      </c>
      <c r="G3859" t="n">
        <v>0.0047761062668611</v>
      </c>
      <c r="H3859" t="n">
        <v>0.0164650143444699</v>
      </c>
      <c r="I3859" t="n">
        <v>0.1184283161868086</v>
      </c>
      <c r="J3859" t="n">
        <v>0.4423216237649227</v>
      </c>
      <c r="K3859" t="n">
        <v>0.131719272676115</v>
      </c>
      <c r="L3859" t="b">
        <v>1</v>
      </c>
      <c r="M3859" t="b">
        <v>1</v>
      </c>
      <c r="N3859" t="inlineStr">
        <is>
          <t>alt</t>
        </is>
      </c>
      <c r="O3859" t="n">
        <v>-100</v>
      </c>
      <c r="P3859" t="n">
        <v>0.01452</v>
      </c>
      <c r="Q3859" t="n">
        <v>-75</v>
      </c>
      <c r="R3859" t="n">
        <v>0.08044</v>
      </c>
      <c r="S3859">
        <f>IMAGE("https://mitra.stanford.edu/kundaje/oak/projects/neuro-variants/variant_position/credible/roussos_2024/variant_figures/roussos_2024.adolescence.GLU/rs867232_count_position.png",4,220,900)</f>
        <v/>
      </c>
      <c r="T3859">
        <f>IMAGE("https://mitra.stanford.edu/kundaje/oak/projects/neuro-variants/variant_position/credible/roussos_2024/variant_figures/roussos_2024.adolescence.GLU/rs867232_profile_position.png",4,220,900)</f>
        <v/>
      </c>
    </row>
    <row r="3860">
      <c r="A3860" t="inlineStr">
        <is>
          <t>chr8</t>
        </is>
      </c>
      <c r="B3860" t="n">
        <v>31309506</v>
      </c>
      <c r="C3860" t="inlineStr">
        <is>
          <t>C</t>
        </is>
      </c>
      <c r="D3860" t="inlineStr">
        <is>
          <t>A</t>
        </is>
      </c>
      <c r="E3860" t="inlineStr">
        <is>
          <t>rs2881131</t>
        </is>
      </c>
      <c r="F3860" t="n">
        <v>0.0101190076</v>
      </c>
      <c r="G3860" t="n">
        <v>0.504374622666367</v>
      </c>
      <c r="H3860" t="n">
        <v>0.0193427292080295</v>
      </c>
      <c r="I3860" t="n">
        <v>0.0629000347610294</v>
      </c>
      <c r="J3860" t="n">
        <v>0.008671796300662201</v>
      </c>
      <c r="K3860" t="n">
        <v>0.8880087234145219</v>
      </c>
      <c r="L3860" t="b">
        <v>0</v>
      </c>
      <c r="M3860" t="b">
        <v>0</v>
      </c>
      <c r="N3860" t="inlineStr">
        <is>
          <t>alt</t>
        </is>
      </c>
      <c r="O3860" t="n">
        <v>90</v>
      </c>
      <c r="P3860" t="n">
        <v>0.007423</v>
      </c>
      <c r="Q3860" t="n">
        <v>-75</v>
      </c>
      <c r="R3860" t="n">
        <v>0.02698</v>
      </c>
      <c r="S3860">
        <f>IMAGE("https://mitra.stanford.edu/kundaje/oak/projects/neuro-variants/variant_position/credible/roussos_2024/variant_figures/roussos_2024.adolescence.GLU/rs2881131_count_position.png",4,220,900)</f>
        <v/>
      </c>
      <c r="T3860">
        <f>IMAGE("https://mitra.stanford.edu/kundaje/oak/projects/neuro-variants/variant_position/credible/roussos_2024/variant_figures/roussos_2024.adolescence.GLU/rs2881131_profile_position.png",4,220,900)</f>
        <v/>
      </c>
    </row>
    <row r="3861">
      <c r="A3861" t="inlineStr">
        <is>
          <t>chr8</t>
        </is>
      </c>
      <c r="B3861" t="n">
        <v>31323887</v>
      </c>
      <c r="C3861" t="inlineStr">
        <is>
          <t>C</t>
        </is>
      </c>
      <c r="D3861" t="inlineStr">
        <is>
          <t>T</t>
        </is>
      </c>
      <c r="E3861" t="inlineStr">
        <is>
          <t>rs2575065</t>
        </is>
      </c>
      <c r="F3861" t="n">
        <v>-0.001338571312</v>
      </c>
      <c r="G3861" t="n">
        <v>0.6570372472792935</v>
      </c>
      <c r="H3861" t="n">
        <v>0.0085123275657891</v>
      </c>
      <c r="I3861" t="n">
        <v>0.7301821595331477</v>
      </c>
      <c r="J3861" t="n">
        <v>0.06604653821148659</v>
      </c>
      <c r="K3861" t="n">
        <v>0.6515427246265504</v>
      </c>
      <c r="L3861" t="b">
        <v>0</v>
      </c>
      <c r="M3861" t="b">
        <v>0</v>
      </c>
      <c r="N3861" t="inlineStr">
        <is>
          <t>ref</t>
        </is>
      </c>
      <c r="O3861" t="n">
        <v>95</v>
      </c>
      <c r="P3861" t="n">
        <v>0.011246</v>
      </c>
      <c r="Q3861" t="n">
        <v>-15</v>
      </c>
      <c r="R3861" t="n">
        <v>0.0003662</v>
      </c>
      <c r="S3861">
        <f>IMAGE("https://mitra.stanford.edu/kundaje/oak/projects/neuro-variants/variant_position/credible/roussos_2024/variant_figures/roussos_2024.adolescence.GLU/rs2575065_count_position.png",4,220,900)</f>
        <v/>
      </c>
      <c r="T3861">
        <f>IMAGE("https://mitra.stanford.edu/kundaje/oak/projects/neuro-variants/variant_position/credible/roussos_2024/variant_figures/roussos_2024.adolescence.GLU/rs2575065_profile_position.png",4,220,900)</f>
        <v/>
      </c>
    </row>
    <row r="3862">
      <c r="A3862" t="inlineStr">
        <is>
          <t>chr8</t>
        </is>
      </c>
      <c r="B3862" t="n">
        <v>31486293</v>
      </c>
      <c r="C3862" t="inlineStr">
        <is>
          <t>A</t>
        </is>
      </c>
      <c r="D3862" t="inlineStr">
        <is>
          <t>G</t>
        </is>
      </c>
      <c r="E3862" t="inlineStr">
        <is>
          <t>rs77184019</t>
        </is>
      </c>
      <c r="F3862" t="n">
        <v>0.0081678253199999</v>
      </c>
      <c r="G3862" t="n">
        <v>0.575133248634216</v>
      </c>
      <c r="H3862" t="n">
        <v>0.0199234403626313</v>
      </c>
      <c r="I3862" t="n">
        <v>0.0567800883726757</v>
      </c>
      <c r="J3862" t="n">
        <v>0.0242207314372262</v>
      </c>
      <c r="K3862" t="n">
        <v>0.8014067101935013</v>
      </c>
      <c r="L3862" t="b">
        <v>0</v>
      </c>
      <c r="M3862" t="b">
        <v>0</v>
      </c>
      <c r="N3862" t="inlineStr">
        <is>
          <t>alt</t>
        </is>
      </c>
      <c r="O3862" t="n">
        <v>-90</v>
      </c>
      <c r="P3862" t="n">
        <v>0.001789</v>
      </c>
      <c r="Q3862" t="n">
        <v>-35</v>
      </c>
      <c r="R3862" t="n">
        <v>0.02493</v>
      </c>
      <c r="S3862">
        <f>IMAGE("https://mitra.stanford.edu/kundaje/oak/projects/neuro-variants/variant_position/credible/roussos_2024/variant_figures/roussos_2024.adolescence.GLU/rs77184019_count_position.png",4,220,900)</f>
        <v/>
      </c>
      <c r="T3862">
        <f>IMAGE("https://mitra.stanford.edu/kundaje/oak/projects/neuro-variants/variant_position/credible/roussos_2024/variant_figures/roussos_2024.adolescence.GLU/rs77184019_profile_position.png",4,220,900)</f>
        <v/>
      </c>
    </row>
    <row r="3863">
      <c r="A3863" t="inlineStr">
        <is>
          <t>chr8</t>
        </is>
      </c>
      <c r="B3863" t="n">
        <v>31495971</v>
      </c>
      <c r="C3863" t="inlineStr">
        <is>
          <t>C</t>
        </is>
      </c>
      <c r="D3863" t="inlineStr">
        <is>
          <t>T</t>
        </is>
      </c>
      <c r="E3863" t="inlineStr">
        <is>
          <t>rs2716947</t>
        </is>
      </c>
      <c r="F3863" t="n">
        <v>-0.04399608806</v>
      </c>
      <c r="G3863" t="n">
        <v>0.0980384347595291</v>
      </c>
      <c r="H3863" t="n">
        <v>0.0146863934744393</v>
      </c>
      <c r="I3863" t="n">
        <v>0.1882734829402801</v>
      </c>
      <c r="J3863" t="n">
        <v>0.0335169427952932</v>
      </c>
      <c r="K3863" t="n">
        <v>0.7551240003391668</v>
      </c>
      <c r="L3863" t="b">
        <v>0</v>
      </c>
      <c r="M3863" t="b">
        <v>0</v>
      </c>
      <c r="N3863" t="inlineStr">
        <is>
          <t>ref</t>
        </is>
      </c>
      <c r="O3863" t="n">
        <v>80</v>
      </c>
      <c r="P3863" t="n">
        <v>0.00893</v>
      </c>
      <c r="Q3863" t="n">
        <v>-100</v>
      </c>
      <c r="R3863" t="n">
        <v>0.01971</v>
      </c>
      <c r="S3863">
        <f>IMAGE("https://mitra.stanford.edu/kundaje/oak/projects/neuro-variants/variant_position/credible/roussos_2024/variant_figures/roussos_2024.adolescence.GLU/rs2716947_count_position.png",4,220,900)</f>
        <v/>
      </c>
      <c r="T3863">
        <f>IMAGE("https://mitra.stanford.edu/kundaje/oak/projects/neuro-variants/variant_position/credible/roussos_2024/variant_figures/roussos_2024.adolescence.GLU/rs2716947_profile_position.png",4,220,900)</f>
        <v/>
      </c>
    </row>
    <row r="3864">
      <c r="A3864" t="inlineStr">
        <is>
          <t>chr8</t>
        </is>
      </c>
      <c r="B3864" t="n">
        <v>31496226</v>
      </c>
      <c r="C3864" t="inlineStr">
        <is>
          <t>C</t>
        </is>
      </c>
      <c r="D3864" t="inlineStr">
        <is>
          <t>T</t>
        </is>
      </c>
      <c r="E3864" t="inlineStr">
        <is>
          <t>rs2681614</t>
        </is>
      </c>
      <c r="F3864" t="n">
        <v>-0.008284724754</v>
      </c>
      <c r="G3864" t="n">
        <v>0.5896314173378981</v>
      </c>
      <c r="H3864" t="n">
        <v>0.0189559998635593</v>
      </c>
      <c r="I3864" t="n">
        <v>0.07015568229939639</v>
      </c>
      <c r="J3864" t="n">
        <v>0.0318008730379863</v>
      </c>
      <c r="K3864" t="n">
        <v>0.7624784770468843</v>
      </c>
      <c r="L3864" t="b">
        <v>0</v>
      </c>
      <c r="M3864" t="b">
        <v>0</v>
      </c>
      <c r="N3864" t="inlineStr">
        <is>
          <t>ref</t>
        </is>
      </c>
      <c r="O3864" t="n">
        <v>25</v>
      </c>
      <c r="P3864" t="n">
        <v>0.001514</v>
      </c>
      <c r="Q3864" t="n">
        <v>100</v>
      </c>
      <c r="R3864" t="n">
        <v>0.1001</v>
      </c>
      <c r="S3864">
        <f>IMAGE("https://mitra.stanford.edu/kundaje/oak/projects/neuro-variants/variant_position/credible/roussos_2024/variant_figures/roussos_2024.adolescence.GLU/rs2681614_count_position.png",4,220,900)</f>
        <v/>
      </c>
      <c r="T3864">
        <f>IMAGE("https://mitra.stanford.edu/kundaje/oak/projects/neuro-variants/variant_position/credible/roussos_2024/variant_figures/roussos_2024.adolescence.GLU/rs2681614_profile_position.png",4,220,900)</f>
        <v/>
      </c>
    </row>
    <row r="3865">
      <c r="A3865" t="inlineStr">
        <is>
          <t>chr8</t>
        </is>
      </c>
      <c r="B3865" t="n">
        <v>31498581</v>
      </c>
      <c r="C3865" t="inlineStr">
        <is>
          <t>A</t>
        </is>
      </c>
      <c r="D3865" t="inlineStr">
        <is>
          <t>T</t>
        </is>
      </c>
      <c r="E3865" t="inlineStr">
        <is>
          <t>rs2716966</t>
        </is>
      </c>
      <c r="F3865" t="n">
        <v>-0.0103021197999999</v>
      </c>
      <c r="G3865" t="n">
        <v>0.5244639810991129</v>
      </c>
      <c r="H3865" t="n">
        <v>0.0281000398757627</v>
      </c>
      <c r="I3865" t="n">
        <v>0.011214740740894</v>
      </c>
      <c r="J3865" t="n">
        <v>0.0001928971001135</v>
      </c>
      <c r="K3865" t="n">
        <v>0.9909431978640372</v>
      </c>
      <c r="L3865" t="b">
        <v>0</v>
      </c>
      <c r="M3865" t="b">
        <v>0</v>
      </c>
      <c r="N3865" t="inlineStr">
        <is>
          <t>ref</t>
        </is>
      </c>
      <c r="O3865" t="n">
        <v>90</v>
      </c>
      <c r="P3865" t="n">
        <v>0.003168</v>
      </c>
      <c r="Q3865" t="n">
        <v>-100</v>
      </c>
      <c r="R3865" t="n">
        <v>0.014984</v>
      </c>
      <c r="S3865">
        <f>IMAGE("https://mitra.stanford.edu/kundaje/oak/projects/neuro-variants/variant_position/credible/roussos_2024/variant_figures/roussos_2024.adolescence.GLU/rs2716966_count_position.png",4,220,900)</f>
        <v/>
      </c>
      <c r="T3865">
        <f>IMAGE("https://mitra.stanford.edu/kundaje/oak/projects/neuro-variants/variant_position/credible/roussos_2024/variant_figures/roussos_2024.adolescence.GLU/rs2716966_profile_position.png",4,220,900)</f>
        <v/>
      </c>
    </row>
    <row r="3866">
      <c r="A3866" t="inlineStr">
        <is>
          <t>chr8</t>
        </is>
      </c>
      <c r="B3866" t="n">
        <v>31502298</v>
      </c>
      <c r="C3866" t="inlineStr">
        <is>
          <t>T</t>
        </is>
      </c>
      <c r="D3866" t="inlineStr">
        <is>
          <t>G</t>
        </is>
      </c>
      <c r="E3866" t="inlineStr">
        <is>
          <t>rs4376462</t>
        </is>
      </c>
      <c r="F3866" t="n">
        <v>0.00410798426</v>
      </c>
      <c r="G3866" t="n">
        <v>0.5004502841739094</v>
      </c>
      <c r="H3866" t="n">
        <v>0.020483020507831</v>
      </c>
      <c r="I3866" t="n">
        <v>0.0510541921689371</v>
      </c>
      <c r="J3866" t="n">
        <v>0.0100120739295996</v>
      </c>
      <c r="K3866" t="n">
        <v>0.8794802617148701</v>
      </c>
      <c r="L3866" t="b">
        <v>0</v>
      </c>
      <c r="M3866" t="b">
        <v>0</v>
      </c>
      <c r="N3866" t="inlineStr">
        <is>
          <t>alt</t>
        </is>
      </c>
      <c r="O3866" t="n">
        <v>-75</v>
      </c>
      <c r="P3866" t="n">
        <v>0.01186</v>
      </c>
      <c r="Q3866" t="n">
        <v>15</v>
      </c>
      <c r="R3866" t="n">
        <v>0.001968</v>
      </c>
      <c r="S3866">
        <f>IMAGE("https://mitra.stanford.edu/kundaje/oak/projects/neuro-variants/variant_position/credible/roussos_2024/variant_figures/roussos_2024.adolescence.GLU/rs4376462_count_position.png",4,220,900)</f>
        <v/>
      </c>
      <c r="T3866">
        <f>IMAGE("https://mitra.stanford.edu/kundaje/oak/projects/neuro-variants/variant_position/credible/roussos_2024/variant_figures/roussos_2024.adolescence.GLU/rs4376462_profile_position.png",4,220,900)</f>
        <v/>
      </c>
    </row>
    <row r="3867">
      <c r="A3867" t="inlineStr">
        <is>
          <t>chr8</t>
        </is>
      </c>
      <c r="B3867" t="n">
        <v>31512712</v>
      </c>
      <c r="C3867" t="inlineStr">
        <is>
          <t>G</t>
        </is>
      </c>
      <c r="D3867" t="inlineStr">
        <is>
          <t>T</t>
        </is>
      </c>
      <c r="E3867" t="inlineStr">
        <is>
          <t>rs13251167</t>
        </is>
      </c>
      <c r="F3867" t="n">
        <v>-0.036046915</v>
      </c>
      <c r="G3867" t="n">
        <v>0.1385218198227068</v>
      </c>
      <c r="H3867" t="n">
        <v>0.021174239869421</v>
      </c>
      <c r="I3867" t="n">
        <v>0.0451457551618979</v>
      </c>
      <c r="J3867" t="n">
        <v>0.0119367583285108</v>
      </c>
      <c r="K3867" t="n">
        <v>0.8661256719571675</v>
      </c>
      <c r="L3867" t="b">
        <v>0</v>
      </c>
      <c r="M3867" t="b">
        <v>0</v>
      </c>
      <c r="N3867" t="inlineStr">
        <is>
          <t>ref</t>
        </is>
      </c>
      <c r="O3867" t="n">
        <v>50</v>
      </c>
      <c r="P3867" t="n">
        <v>0.00711</v>
      </c>
      <c r="Q3867" t="n">
        <v>100</v>
      </c>
      <c r="R3867" t="n">
        <v>0.02698</v>
      </c>
      <c r="S3867">
        <f>IMAGE("https://mitra.stanford.edu/kundaje/oak/projects/neuro-variants/variant_position/credible/roussos_2024/variant_figures/roussos_2024.adolescence.GLU/rs13251167_count_position.png",4,220,900)</f>
        <v/>
      </c>
      <c r="T3867">
        <f>IMAGE("https://mitra.stanford.edu/kundaje/oak/projects/neuro-variants/variant_position/credible/roussos_2024/variant_figures/roussos_2024.adolescence.GLU/rs13251167_profile_position.png",4,220,900)</f>
        <v/>
      </c>
    </row>
    <row r="3868">
      <c r="A3868" t="inlineStr">
        <is>
          <t>chr8</t>
        </is>
      </c>
      <c r="B3868" t="n">
        <v>34277580</v>
      </c>
      <c r="C3868" t="inlineStr">
        <is>
          <t>G</t>
        </is>
      </c>
      <c r="D3868" t="inlineStr">
        <is>
          <t>A</t>
        </is>
      </c>
      <c r="E3868" t="inlineStr">
        <is>
          <t>rs4739486</t>
        </is>
      </c>
      <c r="F3868" t="n">
        <v>-0.0052487967599999</v>
      </c>
      <c r="G3868" t="n">
        <v>0.7255812306073645</v>
      </c>
      <c r="H3868" t="n">
        <v>0.0065881043878873</v>
      </c>
      <c r="I3868" t="n">
        <v>0.914127954311282</v>
      </c>
      <c r="J3868" t="n">
        <v>0.0005715469632994</v>
      </c>
      <c r="K3868" t="n">
        <v>0.9806009181499236</v>
      </c>
      <c r="L3868" t="b">
        <v>0</v>
      </c>
      <c r="M3868" t="b">
        <v>0</v>
      </c>
      <c r="N3868" t="inlineStr">
        <is>
          <t>ref</t>
        </is>
      </c>
      <c r="O3868" t="n">
        <v>100</v>
      </c>
      <c r="P3868" t="n">
        <v>0.007717</v>
      </c>
      <c r="Q3868" t="n">
        <v>-90</v>
      </c>
      <c r="R3868" t="n">
        <v>0.0378</v>
      </c>
      <c r="S3868">
        <f>IMAGE("https://mitra.stanford.edu/kundaje/oak/projects/neuro-variants/variant_position/credible/roussos_2024/variant_figures/roussos_2024.adolescence.GLU/rs4739486_count_position.png",4,220,900)</f>
        <v/>
      </c>
      <c r="T3868">
        <f>IMAGE("https://mitra.stanford.edu/kundaje/oak/projects/neuro-variants/variant_position/credible/roussos_2024/variant_figures/roussos_2024.adolescence.GLU/rs4739486_profile_position.png",4,220,900)</f>
        <v/>
      </c>
    </row>
    <row r="3869">
      <c r="A3869" t="inlineStr">
        <is>
          <t>chr8</t>
        </is>
      </c>
      <c r="B3869" t="n">
        <v>34283979</v>
      </c>
      <c r="C3869" t="inlineStr">
        <is>
          <t>T</t>
        </is>
      </c>
      <c r="D3869" t="inlineStr">
        <is>
          <t>C</t>
        </is>
      </c>
      <c r="E3869" t="inlineStr">
        <is>
          <t>rs4483152</t>
        </is>
      </c>
      <c r="F3869" t="n">
        <v>0.0387097367</v>
      </c>
      <c r="G3869" t="n">
        <v>0.1151941414436613</v>
      </c>
      <c r="H3869" t="n">
        <v>0.013825198634212</v>
      </c>
      <c r="I3869" t="n">
        <v>0.2545011798655313</v>
      </c>
      <c r="J3869" t="n">
        <v>0.0414457280436661</v>
      </c>
      <c r="K3869" t="n">
        <v>0.7272987778226342</v>
      </c>
      <c r="L3869" t="b">
        <v>0</v>
      </c>
      <c r="M3869" t="b">
        <v>0</v>
      </c>
      <c r="N3869" t="inlineStr">
        <is>
          <t>alt</t>
        </is>
      </c>
      <c r="O3869" t="n">
        <v>-55</v>
      </c>
      <c r="P3869" t="n">
        <v>0.00354</v>
      </c>
      <c r="Q3869" t="n">
        <v>-60</v>
      </c>
      <c r="R3869" t="n">
        <v>0.0459</v>
      </c>
      <c r="S3869">
        <f>IMAGE("https://mitra.stanford.edu/kundaje/oak/projects/neuro-variants/variant_position/credible/roussos_2024/variant_figures/roussos_2024.adolescence.GLU/rs4483152_count_position.png",4,220,900)</f>
        <v/>
      </c>
      <c r="T3869">
        <f>IMAGE("https://mitra.stanford.edu/kundaje/oak/projects/neuro-variants/variant_position/credible/roussos_2024/variant_figures/roussos_2024.adolescence.GLU/rs4483152_profile_position.png",4,220,900)</f>
        <v/>
      </c>
    </row>
    <row r="3870">
      <c r="A3870" t="inlineStr">
        <is>
          <t>chr8</t>
        </is>
      </c>
      <c r="B3870" t="n">
        <v>34287962</v>
      </c>
      <c r="C3870" t="inlineStr">
        <is>
          <t>T</t>
        </is>
      </c>
      <c r="D3870" t="inlineStr">
        <is>
          <t>C</t>
        </is>
      </c>
      <c r="E3870" t="inlineStr">
        <is>
          <t>rs2953935</t>
        </is>
      </c>
      <c r="F3870" t="n">
        <v>0.01026701</v>
      </c>
      <c r="G3870" t="n">
        <v>0.5049339556049411</v>
      </c>
      <c r="H3870" t="n">
        <v>0.008697994815615701</v>
      </c>
      <c r="I3870" t="n">
        <v>0.6847021172408082</v>
      </c>
      <c r="J3870" t="n">
        <v>0.0282029849040157</v>
      </c>
      <c r="K3870" t="n">
        <v>0.7805696158998917</v>
      </c>
      <c r="L3870" t="b">
        <v>0</v>
      </c>
      <c r="M3870" t="b">
        <v>0</v>
      </c>
      <c r="N3870" t="inlineStr">
        <is>
          <t>alt</t>
        </is>
      </c>
      <c r="O3870" t="n">
        <v>-100</v>
      </c>
      <c r="P3870" t="n">
        <v>0.01076</v>
      </c>
      <c r="Q3870" t="n">
        <v>80</v>
      </c>
      <c r="R3870" t="n">
        <v>0.0112</v>
      </c>
      <c r="S3870">
        <f>IMAGE("https://mitra.stanford.edu/kundaje/oak/projects/neuro-variants/variant_position/credible/roussos_2024/variant_figures/roussos_2024.adolescence.GLU/rs2953935_count_position.png",4,220,900)</f>
        <v/>
      </c>
      <c r="T3870">
        <f>IMAGE("https://mitra.stanford.edu/kundaje/oak/projects/neuro-variants/variant_position/credible/roussos_2024/variant_figures/roussos_2024.adolescence.GLU/rs2953935_profile_position.png",4,220,900)</f>
        <v/>
      </c>
    </row>
    <row r="3871">
      <c r="A3871" t="inlineStr">
        <is>
          <t>chr8</t>
        </is>
      </c>
      <c r="B3871" t="n">
        <v>34292544</v>
      </c>
      <c r="C3871" t="inlineStr">
        <is>
          <t>C</t>
        </is>
      </c>
      <c r="D3871" t="inlineStr">
        <is>
          <t>A</t>
        </is>
      </c>
      <c r="E3871" t="inlineStr">
        <is>
          <t>rs79845297</t>
        </is>
      </c>
      <c r="F3871" t="n">
        <v>-0.0115797822999999</v>
      </c>
      <c r="G3871" t="n">
        <v>0.4833304021634032</v>
      </c>
      <c r="H3871" t="n">
        <v>0.009519451276388501</v>
      </c>
      <c r="I3871" t="n">
        <v>0.6055171451829983</v>
      </c>
      <c r="J3871" t="n">
        <v>0.0789792171235469</v>
      </c>
      <c r="K3871" t="n">
        <v>0.6155656191655029</v>
      </c>
      <c r="L3871" t="b">
        <v>0</v>
      </c>
      <c r="M3871" t="b">
        <v>0</v>
      </c>
      <c r="N3871" t="inlineStr">
        <is>
          <t>ref</t>
        </is>
      </c>
      <c r="O3871" t="n">
        <v>100</v>
      </c>
      <c r="P3871" t="n">
        <v>0.00461</v>
      </c>
      <c r="Q3871" t="n">
        <v>0</v>
      </c>
      <c r="R3871" t="n">
        <v>0</v>
      </c>
      <c r="S3871">
        <f>IMAGE("https://mitra.stanford.edu/kundaje/oak/projects/neuro-variants/variant_position/credible/roussos_2024/variant_figures/roussos_2024.adolescence.GLU/rs79845297_count_position.png",4,220,900)</f>
        <v/>
      </c>
      <c r="T3871">
        <f>IMAGE("https://mitra.stanford.edu/kundaje/oak/projects/neuro-variants/variant_position/credible/roussos_2024/variant_figures/roussos_2024.adolescence.GLU/rs79845297_profile_position.png",4,220,900)</f>
        <v/>
      </c>
    </row>
    <row r="3872">
      <c r="A3872" t="inlineStr">
        <is>
          <t>chr8</t>
        </is>
      </c>
      <c r="B3872" t="n">
        <v>34313594</v>
      </c>
      <c r="C3872" t="inlineStr">
        <is>
          <t>C</t>
        </is>
      </c>
      <c r="D3872" t="inlineStr">
        <is>
          <t>T</t>
        </is>
      </c>
      <c r="E3872" t="inlineStr">
        <is>
          <t>rs2609620</t>
        </is>
      </c>
      <c r="F3872" t="n">
        <v>-0.032745659312</v>
      </c>
      <c r="G3872" t="n">
        <v>0.1992935271676015</v>
      </c>
      <c r="H3872" t="n">
        <v>0.0171816876110186</v>
      </c>
      <c r="I3872" t="n">
        <v>0.1506190038356208</v>
      </c>
      <c r="J3872" t="n">
        <v>0.0116509848468611</v>
      </c>
      <c r="K3872" t="n">
        <v>0.8726389460645565</v>
      </c>
      <c r="L3872" t="b">
        <v>0</v>
      </c>
      <c r="M3872" t="b">
        <v>0</v>
      </c>
      <c r="N3872" t="inlineStr">
        <is>
          <t>ref</t>
        </is>
      </c>
      <c r="O3872" t="n">
        <v>-15</v>
      </c>
      <c r="P3872" t="n">
        <v>0.0005856</v>
      </c>
      <c r="Q3872" t="n">
        <v>-15</v>
      </c>
      <c r="R3872" t="n">
        <v>0.01758</v>
      </c>
      <c r="S3872">
        <f>IMAGE("https://mitra.stanford.edu/kundaje/oak/projects/neuro-variants/variant_position/credible/roussos_2024/variant_figures/roussos_2024.adolescence.GLU/rs2609620_count_position.png",4,220,900)</f>
        <v/>
      </c>
      <c r="T3872">
        <f>IMAGE("https://mitra.stanford.edu/kundaje/oak/projects/neuro-variants/variant_position/credible/roussos_2024/variant_figures/roussos_2024.adolescence.GLU/rs2609620_profile_position.png",4,220,900)</f>
        <v/>
      </c>
    </row>
    <row r="3873">
      <c r="A3873" t="inlineStr">
        <is>
          <t>chr8</t>
        </is>
      </c>
      <c r="B3873" t="n">
        <v>34318913</v>
      </c>
      <c r="C3873" t="inlineStr">
        <is>
          <t>G</t>
        </is>
      </c>
      <c r="D3873" t="inlineStr">
        <is>
          <t>A</t>
        </is>
      </c>
      <c r="E3873" t="inlineStr">
        <is>
          <t>rs2609622</t>
        </is>
      </c>
      <c r="F3873" t="n">
        <v>0.00128824196</v>
      </c>
      <c r="G3873" t="n">
        <v>0.455643456741245</v>
      </c>
      <c r="H3873" t="n">
        <v>0.0092972144054077</v>
      </c>
      <c r="I3873" t="n">
        <v>0.6364396535443325</v>
      </c>
      <c r="J3873" t="n">
        <v>0.0366418758171335</v>
      </c>
      <c r="K3873" t="n">
        <v>0.7448403106794738</v>
      </c>
      <c r="L3873" t="b">
        <v>0</v>
      </c>
      <c r="M3873" t="b">
        <v>0</v>
      </c>
      <c r="N3873" t="inlineStr">
        <is>
          <t>alt</t>
        </is>
      </c>
      <c r="O3873" t="n">
        <v>-100</v>
      </c>
      <c r="P3873" t="n">
        <v>0.03687</v>
      </c>
      <c r="Q3873" t="n">
        <v>20</v>
      </c>
      <c r="R3873" t="n">
        <v>0.01868</v>
      </c>
      <c r="S3873">
        <f>IMAGE("https://mitra.stanford.edu/kundaje/oak/projects/neuro-variants/variant_position/credible/roussos_2024/variant_figures/roussos_2024.adolescence.GLU/rs2609622_count_position.png",4,220,900)</f>
        <v/>
      </c>
      <c r="T3873">
        <f>IMAGE("https://mitra.stanford.edu/kundaje/oak/projects/neuro-variants/variant_position/credible/roussos_2024/variant_figures/roussos_2024.adolescence.GLU/rs2609622_profile_position.png",4,220,900)</f>
        <v/>
      </c>
    </row>
    <row r="3874">
      <c r="A3874" t="inlineStr">
        <is>
          <t>chr8</t>
        </is>
      </c>
      <c r="B3874" t="n">
        <v>34328025</v>
      </c>
      <c r="C3874" t="inlineStr">
        <is>
          <t>G</t>
        </is>
      </c>
      <c r="D3874" t="inlineStr">
        <is>
          <t>T</t>
        </is>
      </c>
      <c r="E3874" t="inlineStr">
        <is>
          <t>rs2719322</t>
        </is>
      </c>
      <c r="F3874" t="n">
        <v>-0.040413727</v>
      </c>
      <c r="G3874" t="n">
        <v>0.1047480584390725</v>
      </c>
      <c r="H3874" t="n">
        <v>0.009744287785445</v>
      </c>
      <c r="I3874" t="n">
        <v>0.5702608415802293</v>
      </c>
      <c r="J3874" t="n">
        <v>0.0777703952961684</v>
      </c>
      <c r="K3874" t="n">
        <v>0.6247450122234405</v>
      </c>
      <c r="L3874" t="b">
        <v>0</v>
      </c>
      <c r="M3874" t="b">
        <v>0</v>
      </c>
      <c r="N3874" t="inlineStr">
        <is>
          <t>ref</t>
        </is>
      </c>
      <c r="O3874" t="n">
        <v>-95</v>
      </c>
      <c r="P3874" t="n">
        <v>0.01512</v>
      </c>
      <c r="Q3874" t="n">
        <v>-40</v>
      </c>
      <c r="R3874" t="n">
        <v>0.06714000000000001</v>
      </c>
      <c r="S3874">
        <f>IMAGE("https://mitra.stanford.edu/kundaje/oak/projects/neuro-variants/variant_position/credible/roussos_2024/variant_figures/roussos_2024.adolescence.GLU/rs2719322_count_position.png",4,220,900)</f>
        <v/>
      </c>
      <c r="T3874">
        <f>IMAGE("https://mitra.stanford.edu/kundaje/oak/projects/neuro-variants/variant_position/credible/roussos_2024/variant_figures/roussos_2024.adolescence.GLU/rs2719322_profile_position.png",4,220,900)</f>
        <v/>
      </c>
    </row>
    <row r="3875">
      <c r="A3875" t="inlineStr">
        <is>
          <t>chr8</t>
        </is>
      </c>
      <c r="B3875" t="n">
        <v>34336194</v>
      </c>
      <c r="C3875" t="inlineStr">
        <is>
          <t>G</t>
        </is>
      </c>
      <c r="D3875" t="inlineStr">
        <is>
          <t>A</t>
        </is>
      </c>
      <c r="E3875" t="inlineStr">
        <is>
          <t>rs75428749</t>
        </is>
      </c>
      <c r="F3875" t="n">
        <v>-0.01257273286</v>
      </c>
      <c r="G3875" t="n">
        <v>0.4704137824967577</v>
      </c>
      <c r="H3875" t="n">
        <v>0.0193986295300955</v>
      </c>
      <c r="I3875" t="n">
        <v>0.0639630370756039</v>
      </c>
      <c r="J3875" t="n">
        <v>0.2363461002636259</v>
      </c>
      <c r="K3875" t="n">
        <v>0.3538217378707179</v>
      </c>
      <c r="L3875" t="b">
        <v>0</v>
      </c>
      <c r="M3875" t="b">
        <v>0</v>
      </c>
      <c r="N3875" t="inlineStr">
        <is>
          <t>ref</t>
        </is>
      </c>
      <c r="O3875" t="n">
        <v>55</v>
      </c>
      <c r="P3875" t="n">
        <v>0.002731</v>
      </c>
      <c r="Q3875" t="n">
        <v>-95</v>
      </c>
      <c r="R3875" t="n">
        <v>0.0847</v>
      </c>
      <c r="S3875">
        <f>IMAGE("https://mitra.stanford.edu/kundaje/oak/projects/neuro-variants/variant_position/credible/roussos_2024/variant_figures/roussos_2024.adolescence.GLU/rs75428749_count_position.png",4,220,900)</f>
        <v/>
      </c>
      <c r="T3875">
        <f>IMAGE("https://mitra.stanford.edu/kundaje/oak/projects/neuro-variants/variant_position/credible/roussos_2024/variant_figures/roussos_2024.adolescence.GLU/rs75428749_profile_position.png",4,220,900)</f>
        <v/>
      </c>
    </row>
    <row r="3876">
      <c r="A3876" t="inlineStr">
        <is>
          <t>chr8</t>
        </is>
      </c>
      <c r="B3876" t="n">
        <v>34336809</v>
      </c>
      <c r="C3876" t="inlineStr">
        <is>
          <t>G</t>
        </is>
      </c>
      <c r="D3876" t="inlineStr">
        <is>
          <t>A</t>
        </is>
      </c>
      <c r="E3876" t="inlineStr">
        <is>
          <t>rs73674310</t>
        </is>
      </c>
      <c r="F3876" t="n">
        <v>-0.0644049278</v>
      </c>
      <c r="G3876" t="n">
        <v>0.0329743997591809</v>
      </c>
      <c r="H3876" t="n">
        <v>0.0145253741779415</v>
      </c>
      <c r="I3876" t="n">
        <v>0.1778303288442268</v>
      </c>
      <c r="J3876" t="n">
        <v>0.0645190789520686</v>
      </c>
      <c r="K3876" t="n">
        <v>0.6596231928052338</v>
      </c>
      <c r="L3876" t="b">
        <v>0</v>
      </c>
      <c r="M3876" t="b">
        <v>0</v>
      </c>
      <c r="N3876" t="inlineStr">
        <is>
          <t>ref</t>
        </is>
      </c>
      <c r="O3876" t="n">
        <v>-20</v>
      </c>
      <c r="P3876" t="n">
        <v>0.002562</v>
      </c>
      <c r="Q3876" t="n">
        <v>-75</v>
      </c>
      <c r="R3876" t="n">
        <v>0.012665</v>
      </c>
      <c r="S3876">
        <f>IMAGE("https://mitra.stanford.edu/kundaje/oak/projects/neuro-variants/variant_position/credible/roussos_2024/variant_figures/roussos_2024.adolescence.GLU/rs73674310_count_position.png",4,220,900)</f>
        <v/>
      </c>
      <c r="T3876">
        <f>IMAGE("https://mitra.stanford.edu/kundaje/oak/projects/neuro-variants/variant_position/credible/roussos_2024/variant_figures/roussos_2024.adolescence.GLU/rs73674310_profile_position.png",4,220,900)</f>
        <v/>
      </c>
    </row>
    <row r="3877">
      <c r="A3877" t="inlineStr">
        <is>
          <t>chr8</t>
        </is>
      </c>
      <c r="B3877" t="n">
        <v>34341492</v>
      </c>
      <c r="C3877" t="inlineStr">
        <is>
          <t>G</t>
        </is>
      </c>
      <c r="D3877" t="inlineStr">
        <is>
          <t>A</t>
        </is>
      </c>
      <c r="E3877" t="inlineStr">
        <is>
          <t>rs1458903</t>
        </is>
      </c>
      <c r="F3877" t="n">
        <v>-0.00914668924</v>
      </c>
      <c r="G3877" t="n">
        <v>0.5500910771846652</v>
      </c>
      <c r="H3877" t="n">
        <v>0.0123755004636297</v>
      </c>
      <c r="I3877" t="n">
        <v>0.3003532854751611</v>
      </c>
      <c r="J3877" t="n">
        <v>0.0264026119696222</v>
      </c>
      <c r="K3877" t="n">
        <v>0.7901272221879605</v>
      </c>
      <c r="L3877" t="b">
        <v>0</v>
      </c>
      <c r="M3877" t="b">
        <v>0</v>
      </c>
      <c r="N3877" t="inlineStr">
        <is>
          <t>ref</t>
        </is>
      </c>
      <c r="O3877" t="n">
        <v>15</v>
      </c>
      <c r="P3877" t="n">
        <v>0.004906</v>
      </c>
      <c r="Q3877" t="n">
        <v>95</v>
      </c>
      <c r="R3877" t="n">
        <v>0.0419</v>
      </c>
      <c r="S3877">
        <f>IMAGE("https://mitra.stanford.edu/kundaje/oak/projects/neuro-variants/variant_position/credible/roussos_2024/variant_figures/roussos_2024.adolescence.GLU/rs1458903_count_position.png",4,220,900)</f>
        <v/>
      </c>
      <c r="T3877">
        <f>IMAGE("https://mitra.stanford.edu/kundaje/oak/projects/neuro-variants/variant_position/credible/roussos_2024/variant_figures/roussos_2024.adolescence.GLU/rs1458903_profile_position.png",4,220,900)</f>
        <v/>
      </c>
    </row>
    <row r="3878">
      <c r="A3878" t="inlineStr">
        <is>
          <t>chr8</t>
        </is>
      </c>
      <c r="B3878" t="n">
        <v>34367509</v>
      </c>
      <c r="C3878" t="inlineStr">
        <is>
          <t>C</t>
        </is>
      </c>
      <c r="D3878" t="inlineStr">
        <is>
          <t>T</t>
        </is>
      </c>
      <c r="E3878" t="inlineStr">
        <is>
          <t>rs73674323</t>
        </is>
      </c>
      <c r="F3878" t="n">
        <v>-0.0117076483</v>
      </c>
      <c r="G3878" t="n">
        <v>0.4753111298168313</v>
      </c>
      <c r="H3878" t="n">
        <v>0.0110790589652878</v>
      </c>
      <c r="I3878" t="n">
        <v>0.417971170195422</v>
      </c>
      <c r="J3878" t="n">
        <v>0.083877374599024</v>
      </c>
      <c r="K3878" t="n">
        <v>0.6097472695240732</v>
      </c>
      <c r="L3878" t="b">
        <v>0</v>
      </c>
      <c r="M3878" t="b">
        <v>0</v>
      </c>
      <c r="N3878" t="inlineStr">
        <is>
          <t>ref</t>
        </is>
      </c>
      <c r="O3878" t="n">
        <v>45</v>
      </c>
      <c r="P3878" t="n">
        <v>0.004295</v>
      </c>
      <c r="Q3878" t="n">
        <v>50</v>
      </c>
      <c r="R3878" t="n">
        <v>0.1034</v>
      </c>
      <c r="S3878">
        <f>IMAGE("https://mitra.stanford.edu/kundaje/oak/projects/neuro-variants/variant_position/credible/roussos_2024/variant_figures/roussos_2024.adolescence.GLU/rs73674323_count_position.png",4,220,900)</f>
        <v/>
      </c>
      <c r="T3878">
        <f>IMAGE("https://mitra.stanford.edu/kundaje/oak/projects/neuro-variants/variant_position/credible/roussos_2024/variant_figures/roussos_2024.adolescence.GLU/rs73674323_profile_position.png",4,220,900)</f>
        <v/>
      </c>
    </row>
    <row r="3879">
      <c r="A3879" t="inlineStr">
        <is>
          <t>chr8</t>
        </is>
      </c>
      <c r="B3879" t="n">
        <v>34368805</v>
      </c>
      <c r="C3879" t="inlineStr">
        <is>
          <t>A</t>
        </is>
      </c>
      <c r="D3879" t="inlineStr">
        <is>
          <t>G</t>
        </is>
      </c>
      <c r="E3879" t="inlineStr">
        <is>
          <t>rs74931817</t>
        </is>
      </c>
      <c r="F3879" t="n">
        <v>-0.008644068459999901</v>
      </c>
      <c r="G3879" t="n">
        <v>0.4851576133638214</v>
      </c>
      <c r="H3879" t="n">
        <v>0.0126035336605789</v>
      </c>
      <c r="I3879" t="n">
        <v>0.2786694773079762</v>
      </c>
      <c r="J3879" t="n">
        <v>0.0339913267748318</v>
      </c>
      <c r="K3879" t="n">
        <v>0.7582783275010906</v>
      </c>
      <c r="L3879" t="b">
        <v>0</v>
      </c>
      <c r="M3879" t="b">
        <v>0</v>
      </c>
      <c r="N3879" t="inlineStr">
        <is>
          <t>ref</t>
        </is>
      </c>
      <c r="O3879" t="n">
        <v>100</v>
      </c>
      <c r="P3879" t="n">
        <v>0.01666</v>
      </c>
      <c r="Q3879" t="n">
        <v>30</v>
      </c>
      <c r="R3879" t="n">
        <v>0.01428</v>
      </c>
      <c r="S3879">
        <f>IMAGE("https://mitra.stanford.edu/kundaje/oak/projects/neuro-variants/variant_position/credible/roussos_2024/variant_figures/roussos_2024.adolescence.GLU/rs74931817_count_position.png",4,220,900)</f>
        <v/>
      </c>
      <c r="T3879">
        <f>IMAGE("https://mitra.stanford.edu/kundaje/oak/projects/neuro-variants/variant_position/credible/roussos_2024/variant_figures/roussos_2024.adolescence.GLU/rs74931817_profile_position.png",4,220,900)</f>
        <v/>
      </c>
    </row>
    <row r="3880">
      <c r="A3880" t="inlineStr">
        <is>
          <t>chr8</t>
        </is>
      </c>
      <c r="B3880" t="n">
        <v>34372979</v>
      </c>
      <c r="C3880" t="inlineStr">
        <is>
          <t>A</t>
        </is>
      </c>
      <c r="D3880" t="inlineStr">
        <is>
          <t>G</t>
        </is>
      </c>
      <c r="E3880" t="inlineStr">
        <is>
          <t>rs1562183</t>
        </is>
      </c>
      <c r="F3880" t="n">
        <v>0.0121800204</v>
      </c>
      <c r="G3880" t="n">
        <v>0.4327036860788894</v>
      </c>
      <c r="H3880" t="n">
        <v>0.0094404834738988</v>
      </c>
      <c r="I3880" t="n">
        <v>0.5887338628198872</v>
      </c>
      <c r="J3880" t="n">
        <v>0.0681969836609011</v>
      </c>
      <c r="K3880" t="n">
        <v>0.6474943280310941</v>
      </c>
      <c r="L3880" t="b">
        <v>0</v>
      </c>
      <c r="M3880" t="b">
        <v>0</v>
      </c>
      <c r="N3880" t="inlineStr">
        <is>
          <t>alt</t>
        </is>
      </c>
      <c r="O3880" t="n">
        <v>55</v>
      </c>
      <c r="P3880" t="n">
        <v>0.003145</v>
      </c>
      <c r="Q3880" t="n">
        <v>40</v>
      </c>
      <c r="R3880" t="n">
        <v>0.03223</v>
      </c>
      <c r="S3880">
        <f>IMAGE("https://mitra.stanford.edu/kundaje/oak/projects/neuro-variants/variant_position/credible/roussos_2024/variant_figures/roussos_2024.adolescence.GLU/rs1562183_count_position.png",4,220,900)</f>
        <v/>
      </c>
      <c r="T3880">
        <f>IMAGE("https://mitra.stanford.edu/kundaje/oak/projects/neuro-variants/variant_position/credible/roussos_2024/variant_figures/roussos_2024.adolescence.GLU/rs1562183_profile_position.png",4,220,900)</f>
        <v/>
      </c>
    </row>
    <row r="3881">
      <c r="A3881" t="inlineStr">
        <is>
          <t>chr8</t>
        </is>
      </c>
      <c r="B3881" t="n">
        <v>34377962</v>
      </c>
      <c r="C3881" t="inlineStr">
        <is>
          <t>A</t>
        </is>
      </c>
      <c r="D3881" t="inlineStr">
        <is>
          <t>T</t>
        </is>
      </c>
      <c r="E3881" t="inlineStr">
        <is>
          <t>rs78759621</t>
        </is>
      </c>
      <c r="F3881" t="n">
        <v>-0.00701825252</v>
      </c>
      <c r="G3881" t="n">
        <v>0.6440448614535351</v>
      </c>
      <c r="H3881" t="n">
        <v>0.0216604586746657</v>
      </c>
      <c r="I3881" t="n">
        <v>0.038527511562777</v>
      </c>
      <c r="J3881" t="n">
        <v>0.0095419765522857</v>
      </c>
      <c r="K3881" t="n">
        <v>0.8840060447067649</v>
      </c>
      <c r="L3881" t="b">
        <v>0</v>
      </c>
      <c r="M3881" t="b">
        <v>0</v>
      </c>
      <c r="N3881" t="inlineStr">
        <is>
          <t>ref</t>
        </is>
      </c>
      <c r="O3881" t="n">
        <v>-95</v>
      </c>
      <c r="P3881" t="n">
        <v>0.2598</v>
      </c>
      <c r="Q3881" t="n">
        <v>-100</v>
      </c>
      <c r="R3881" t="n">
        <v>0.05432</v>
      </c>
      <c r="S3881">
        <f>IMAGE("https://mitra.stanford.edu/kundaje/oak/projects/neuro-variants/variant_position/credible/roussos_2024/variant_figures/roussos_2024.adolescence.GLU/rs78759621_count_position.png",4,220,900)</f>
        <v/>
      </c>
      <c r="T3881">
        <f>IMAGE("https://mitra.stanford.edu/kundaje/oak/projects/neuro-variants/variant_position/credible/roussos_2024/variant_figures/roussos_2024.adolescence.GLU/rs78759621_profile_position.png",4,220,900)</f>
        <v/>
      </c>
    </row>
    <row r="3882">
      <c r="A3882" t="inlineStr">
        <is>
          <t>chr8</t>
        </is>
      </c>
      <c r="B3882" t="n">
        <v>34384091</v>
      </c>
      <c r="C3882" t="inlineStr">
        <is>
          <t>T</t>
        </is>
      </c>
      <c r="D3882" t="inlineStr">
        <is>
          <t>C</t>
        </is>
      </c>
      <c r="E3882" t="inlineStr">
        <is>
          <t>rs16882072</t>
        </is>
      </c>
      <c r="F3882" t="n">
        <v>-0.0006223828919999</v>
      </c>
      <c r="G3882" t="n">
        <v>0.8524835636670811</v>
      </c>
      <c r="H3882" t="n">
        <v>0.0145558815737091</v>
      </c>
      <c r="I3882" t="n">
        <v>0.1912592510820925</v>
      </c>
      <c r="J3882" t="n">
        <v>0.0511820305634738</v>
      </c>
      <c r="K3882" t="n">
        <v>0.6990537101775661</v>
      </c>
      <c r="L3882" t="b">
        <v>0</v>
      </c>
      <c r="M3882" t="b">
        <v>0</v>
      </c>
      <c r="N3882" t="inlineStr">
        <is>
          <t>ref</t>
        </is>
      </c>
      <c r="O3882" t="n">
        <v>25</v>
      </c>
      <c r="P3882" t="n">
        <v>0.001829</v>
      </c>
      <c r="Q3882" t="n">
        <v>-65</v>
      </c>
      <c r="R3882" t="n">
        <v>0.04263</v>
      </c>
      <c r="S3882">
        <f>IMAGE("https://mitra.stanford.edu/kundaje/oak/projects/neuro-variants/variant_position/credible/roussos_2024/variant_figures/roussos_2024.adolescence.GLU/rs16882072_count_position.png",4,220,900)</f>
        <v/>
      </c>
      <c r="T3882">
        <f>IMAGE("https://mitra.stanford.edu/kundaje/oak/projects/neuro-variants/variant_position/credible/roussos_2024/variant_figures/roussos_2024.adolescence.GLU/rs16882072_profile_position.png",4,220,900)</f>
        <v/>
      </c>
    </row>
    <row r="3883">
      <c r="A3883" t="inlineStr">
        <is>
          <t>chr8</t>
        </is>
      </c>
      <c r="B3883" t="n">
        <v>38181915</v>
      </c>
      <c r="C3883" t="inlineStr">
        <is>
          <t>A</t>
        </is>
      </c>
      <c r="D3883" t="inlineStr">
        <is>
          <t>G</t>
        </is>
      </c>
      <c r="E3883" t="inlineStr">
        <is>
          <t>rs11779986</t>
        </is>
      </c>
      <c r="F3883" t="n">
        <v>0.008779628859999999</v>
      </c>
      <c r="G3883" t="n">
        <v>0.5433896153385069</v>
      </c>
      <c r="H3883" t="n">
        <v>0.0256533624680422</v>
      </c>
      <c r="I3883" t="n">
        <v>0.0205684304175247</v>
      </c>
      <c r="J3883" t="n">
        <v>0.148903701481021</v>
      </c>
      <c r="K3883" t="n">
        <v>0.4842076284830156</v>
      </c>
      <c r="L3883" t="b">
        <v>0</v>
      </c>
      <c r="M3883" t="b">
        <v>0</v>
      </c>
      <c r="N3883" t="inlineStr">
        <is>
          <t>alt</t>
        </is>
      </c>
      <c r="O3883" t="n">
        <v>-45</v>
      </c>
      <c r="P3883" t="n">
        <v>0.009639999999999999</v>
      </c>
      <c r="Q3883" t="n">
        <v>-20</v>
      </c>
      <c r="R3883" t="n">
        <v>0.0702</v>
      </c>
      <c r="S3883">
        <f>IMAGE("https://mitra.stanford.edu/kundaje/oak/projects/neuro-variants/variant_position/credible/roussos_2024/variant_figures/roussos_2024.adolescence.GLU/rs11779986_count_position.png",4,220,900)</f>
        <v/>
      </c>
      <c r="T3883">
        <f>IMAGE("https://mitra.stanford.edu/kundaje/oak/projects/neuro-variants/variant_position/credible/roussos_2024/variant_figures/roussos_2024.adolescence.GLU/rs11779986_profile_position.png",4,220,900)</f>
        <v/>
      </c>
    </row>
    <row r="3884">
      <c r="A3884" t="inlineStr">
        <is>
          <t>chr8</t>
        </is>
      </c>
      <c r="B3884" t="n">
        <v>38182985</v>
      </c>
      <c r="C3884" t="inlineStr">
        <is>
          <t>A</t>
        </is>
      </c>
      <c r="D3884" t="inlineStr">
        <is>
          <t>G</t>
        </is>
      </c>
      <c r="E3884" t="inlineStr">
        <is>
          <t>rs4537271</t>
        </is>
      </c>
      <c r="F3884" t="n">
        <v>0.0695970351</v>
      </c>
      <c r="G3884" t="n">
        <v>0.0235167775920463</v>
      </c>
      <c r="H3884" t="n">
        <v>0.0163717698507774</v>
      </c>
      <c r="I3884" t="n">
        <v>0.1250574038232629</v>
      </c>
      <c r="J3884" t="n">
        <v>0.116588436176065</v>
      </c>
      <c r="K3884" t="n">
        <v>0.533187069634812</v>
      </c>
      <c r="L3884" t="b">
        <v>0</v>
      </c>
      <c r="M3884" t="b">
        <v>0</v>
      </c>
      <c r="N3884" t="inlineStr">
        <is>
          <t>alt</t>
        </is>
      </c>
      <c r="O3884" t="n">
        <v>35</v>
      </c>
      <c r="P3884" t="n">
        <v>0.005432</v>
      </c>
      <c r="Q3884" t="n">
        <v>100</v>
      </c>
      <c r="R3884" t="n">
        <v>0.1475</v>
      </c>
      <c r="S3884">
        <f>IMAGE("https://mitra.stanford.edu/kundaje/oak/projects/neuro-variants/variant_position/credible/roussos_2024/variant_figures/roussos_2024.adolescence.GLU/rs4537271_count_position.png",4,220,900)</f>
        <v/>
      </c>
      <c r="T3884">
        <f>IMAGE("https://mitra.stanford.edu/kundaje/oak/projects/neuro-variants/variant_position/credible/roussos_2024/variant_figures/roussos_2024.adolescence.GLU/rs4537271_profile_position.png",4,220,900)</f>
        <v/>
      </c>
    </row>
    <row r="3885">
      <c r="A3885" t="inlineStr">
        <is>
          <t>chr8</t>
        </is>
      </c>
      <c r="B3885" t="n">
        <v>38194867</v>
      </c>
      <c r="C3885" t="inlineStr">
        <is>
          <t>T</t>
        </is>
      </c>
      <c r="D3885" t="inlineStr">
        <is>
          <t>G</t>
        </is>
      </c>
      <c r="E3885" t="inlineStr">
        <is>
          <t>rs111373244</t>
        </is>
      </c>
      <c r="F3885" t="n">
        <v>-0.00429155</v>
      </c>
      <c r="G3885" t="n">
        <v>0.7084882680656677</v>
      </c>
      <c r="H3885" t="n">
        <v>0.0363576792298605</v>
      </c>
      <c r="I3885" t="n">
        <v>0.004027382700112</v>
      </c>
      <c r="J3885" t="n">
        <v>0.07180201613191289</v>
      </c>
      <c r="K3885" t="n">
        <v>0.6465105199002138</v>
      </c>
      <c r="L3885" t="b">
        <v>1</v>
      </c>
      <c r="M3885" t="b">
        <v>1</v>
      </c>
      <c r="N3885" t="inlineStr">
        <is>
          <t>ref</t>
        </is>
      </c>
      <c r="O3885" t="n">
        <v>60</v>
      </c>
      <c r="P3885" t="n">
        <v>0.001892</v>
      </c>
      <c r="Q3885" t="n">
        <v>60</v>
      </c>
      <c r="R3885" t="n">
        <v>0.0478</v>
      </c>
      <c r="S3885">
        <f>IMAGE("https://mitra.stanford.edu/kundaje/oak/projects/neuro-variants/variant_position/credible/roussos_2024/variant_figures/roussos_2024.adolescence.GLU/rs111373244_count_position.png",4,220,900)</f>
        <v/>
      </c>
      <c r="T3885">
        <f>IMAGE("https://mitra.stanford.edu/kundaje/oak/projects/neuro-variants/variant_position/credible/roussos_2024/variant_figures/roussos_2024.adolescence.GLU/rs111373244_profile_position.png",4,220,900)</f>
        <v/>
      </c>
    </row>
    <row r="3886">
      <c r="A3886" t="inlineStr">
        <is>
          <t>chr8</t>
        </is>
      </c>
      <c r="B3886" t="n">
        <v>38217860</v>
      </c>
      <c r="C3886" t="inlineStr">
        <is>
          <t>T</t>
        </is>
      </c>
      <c r="D3886" t="inlineStr">
        <is>
          <t>G</t>
        </is>
      </c>
      <c r="E3886" t="inlineStr">
        <is>
          <t>rs150171772</t>
        </is>
      </c>
      <c r="F3886" t="n">
        <v>-0.00559828912</v>
      </c>
      <c r="G3886" t="n">
        <v>0.6373540103558504</v>
      </c>
      <c r="H3886" t="n">
        <v>0.0518012804506256</v>
      </c>
      <c r="I3886" t="n">
        <v>0.001381336441278</v>
      </c>
      <c r="J3886" t="n">
        <v>0.09763593887305221</v>
      </c>
      <c r="K3886" t="n">
        <v>0.5862341679821087</v>
      </c>
      <c r="L3886" t="b">
        <v>1</v>
      </c>
      <c r="M3886" t="b">
        <v>1</v>
      </c>
      <c r="N3886" t="inlineStr">
        <is>
          <t>ref</t>
        </is>
      </c>
      <c r="O3886" t="n">
        <v>-90</v>
      </c>
      <c r="P3886" t="n">
        <v>0.001648</v>
      </c>
      <c r="Q3886" t="n">
        <v>85</v>
      </c>
      <c r="R3886" t="n">
        <v>0.04285</v>
      </c>
      <c r="S3886">
        <f>IMAGE("https://mitra.stanford.edu/kundaje/oak/projects/neuro-variants/variant_position/credible/roussos_2024/variant_figures/roussos_2024.adolescence.GLU/rs150171772_count_position.png",4,220,900)</f>
        <v/>
      </c>
      <c r="T3886">
        <f>IMAGE("https://mitra.stanford.edu/kundaje/oak/projects/neuro-variants/variant_position/credible/roussos_2024/variant_figures/roussos_2024.adolescence.GLU/rs150171772_profile_position.png",4,220,900)</f>
        <v/>
      </c>
    </row>
    <row r="3887">
      <c r="A3887" t="inlineStr">
        <is>
          <t>chr8</t>
        </is>
      </c>
      <c r="B3887" t="n">
        <v>38239069</v>
      </c>
      <c r="C3887" t="inlineStr">
        <is>
          <t>G</t>
        </is>
      </c>
      <c r="D3887" t="inlineStr">
        <is>
          <t>A</t>
        </is>
      </c>
      <c r="E3887" t="inlineStr">
        <is>
          <t>rs10103315</t>
        </is>
      </c>
      <c r="F3887" t="n">
        <v>-0.00104539134</v>
      </c>
      <c r="G3887" t="n">
        <v>0.8433354618713984</v>
      </c>
      <c r="H3887" t="n">
        <v>0.0201863116639221</v>
      </c>
      <c r="I3887" t="n">
        <v>0.059364279016738</v>
      </c>
      <c r="J3887" t="n">
        <v>0.0321195104700258</v>
      </c>
      <c r="K3887" t="n">
        <v>0.7613824896889076</v>
      </c>
      <c r="L3887" t="b">
        <v>0</v>
      </c>
      <c r="M3887" t="b">
        <v>0</v>
      </c>
      <c r="N3887" t="inlineStr">
        <is>
          <t>ref</t>
        </is>
      </c>
      <c r="O3887" t="n">
        <v>-90</v>
      </c>
      <c r="P3887" t="n">
        <v>0.01021</v>
      </c>
      <c r="Q3887" t="n">
        <v>-65</v>
      </c>
      <c r="R3887" t="n">
        <v>0.01639</v>
      </c>
      <c r="S3887">
        <f>IMAGE("https://mitra.stanford.edu/kundaje/oak/projects/neuro-variants/variant_position/credible/roussos_2024/variant_figures/roussos_2024.adolescence.GLU/rs10103315_count_position.png",4,220,900)</f>
        <v/>
      </c>
      <c r="T3887">
        <f>IMAGE("https://mitra.stanford.edu/kundaje/oak/projects/neuro-variants/variant_position/credible/roussos_2024/variant_figures/roussos_2024.adolescence.GLU/rs10103315_profile_position.png",4,220,900)</f>
        <v/>
      </c>
    </row>
    <row r="3888">
      <c r="A3888" t="inlineStr">
        <is>
          <t>chr8</t>
        </is>
      </c>
      <c r="B3888" t="n">
        <v>38244605</v>
      </c>
      <c r="C3888" t="inlineStr">
        <is>
          <t>G</t>
        </is>
      </c>
      <c r="D3888" t="inlineStr">
        <is>
          <t>A</t>
        </is>
      </c>
      <c r="E3888" t="inlineStr">
        <is>
          <t>rs56058270</t>
        </is>
      </c>
      <c r="F3888" t="n">
        <v>-0.028703025</v>
      </c>
      <c r="G3888" t="n">
        <v>0.1909305828928723</v>
      </c>
      <c r="H3888" t="n">
        <v>0.0231825963104378</v>
      </c>
      <c r="I3888" t="n">
        <v>0.0309518167689013</v>
      </c>
      <c r="J3888" t="n">
        <v>0.043989112030349</v>
      </c>
      <c r="K3888" t="n">
        <v>0.7290345698020789</v>
      </c>
      <c r="L3888" t="b">
        <v>0</v>
      </c>
      <c r="M3888" t="b">
        <v>0</v>
      </c>
      <c r="N3888" t="inlineStr">
        <is>
          <t>ref</t>
        </is>
      </c>
      <c r="O3888" t="n">
        <v>65</v>
      </c>
      <c r="P3888" t="n">
        <v>0.007797</v>
      </c>
      <c r="Q3888" t="n">
        <v>75</v>
      </c>
      <c r="R3888" t="n">
        <v>0.04984</v>
      </c>
      <c r="S3888">
        <f>IMAGE("https://mitra.stanford.edu/kundaje/oak/projects/neuro-variants/variant_position/credible/roussos_2024/variant_figures/roussos_2024.adolescence.GLU/rs56058270_count_position.png",4,220,900)</f>
        <v/>
      </c>
      <c r="T3888">
        <f>IMAGE("https://mitra.stanford.edu/kundaje/oak/projects/neuro-variants/variant_position/credible/roussos_2024/variant_figures/roussos_2024.adolescence.GLU/rs56058270_profile_position.png",4,220,900)</f>
        <v/>
      </c>
    </row>
    <row r="3889">
      <c r="A3889" t="inlineStr">
        <is>
          <t>chr8</t>
        </is>
      </c>
      <c r="B3889" t="n">
        <v>38271610</v>
      </c>
      <c r="C3889" t="inlineStr">
        <is>
          <t>T</t>
        </is>
      </c>
      <c r="D3889" t="inlineStr">
        <is>
          <t>C</t>
        </is>
      </c>
      <c r="E3889" t="inlineStr">
        <is>
          <t>rs57984710</t>
        </is>
      </c>
      <c r="F3889" t="n">
        <v>0.121910065</v>
      </c>
      <c r="G3889" t="n">
        <v>0.009390063565861501</v>
      </c>
      <c r="H3889" t="n">
        <v>0.0528254653875314</v>
      </c>
      <c r="I3889" t="n">
        <v>0.0033980387563879</v>
      </c>
      <c r="J3889" t="n">
        <v>0.138062884454637</v>
      </c>
      <c r="K3889" t="n">
        <v>0.4994603094716277</v>
      </c>
      <c r="L3889" t="b">
        <v>1</v>
      </c>
      <c r="M3889" t="b">
        <v>1</v>
      </c>
      <c r="N3889" t="inlineStr">
        <is>
          <t>alt</t>
        </is>
      </c>
      <c r="O3889" t="n">
        <v>-5</v>
      </c>
      <c r="P3889" t="n">
        <v>0.000206</v>
      </c>
      <c r="Q3889" t="n">
        <v>80</v>
      </c>
      <c r="R3889" t="n">
        <v>0.03662</v>
      </c>
      <c r="S3889">
        <f>IMAGE("https://mitra.stanford.edu/kundaje/oak/projects/neuro-variants/variant_position/credible/roussos_2024/variant_figures/roussos_2024.adolescence.GLU/rs57984710_count_position.png",4,220,900)</f>
        <v/>
      </c>
      <c r="T3889">
        <f>IMAGE("https://mitra.stanford.edu/kundaje/oak/projects/neuro-variants/variant_position/credible/roussos_2024/variant_figures/roussos_2024.adolescence.GLU/rs57984710_profile_position.png",4,220,900)</f>
        <v/>
      </c>
    </row>
    <row r="3890">
      <c r="A3890" t="inlineStr">
        <is>
          <t>chr8</t>
        </is>
      </c>
      <c r="B3890" t="n">
        <v>38276094</v>
      </c>
      <c r="C3890" t="inlineStr">
        <is>
          <t>C</t>
        </is>
      </c>
      <c r="D3890" t="inlineStr">
        <is>
          <t>T</t>
        </is>
      </c>
      <c r="E3890" t="inlineStr">
        <is>
          <t>rs1488934</t>
        </is>
      </c>
      <c r="F3890" t="n">
        <v>-0.0472032738</v>
      </c>
      <c r="G3890" t="n">
        <v>0.08082156333451281</v>
      </c>
      <c r="H3890" t="n">
        <v>0.0107568828585012</v>
      </c>
      <c r="I3890" t="n">
        <v>0.4546403429901293</v>
      </c>
      <c r="J3890" t="n">
        <v>0.2775889291353208</v>
      </c>
      <c r="K3890" t="n">
        <v>0.2987246104263532</v>
      </c>
      <c r="L3890" t="b">
        <v>0</v>
      </c>
      <c r="M3890" t="b">
        <v>0</v>
      </c>
      <c r="N3890" t="inlineStr">
        <is>
          <t>ref</t>
        </is>
      </c>
      <c r="O3890" t="n">
        <v>15</v>
      </c>
      <c r="P3890" t="n">
        <v>0.0006866</v>
      </c>
      <c r="Q3890" t="n">
        <v>-100</v>
      </c>
      <c r="R3890" t="n">
        <v>0.03357</v>
      </c>
      <c r="S3890">
        <f>IMAGE("https://mitra.stanford.edu/kundaje/oak/projects/neuro-variants/variant_position/credible/roussos_2024/variant_figures/roussos_2024.adolescence.GLU/rs1488934_count_position.png",4,220,900)</f>
        <v/>
      </c>
      <c r="T3890">
        <f>IMAGE("https://mitra.stanford.edu/kundaje/oak/projects/neuro-variants/variant_position/credible/roussos_2024/variant_figures/roussos_2024.adolescence.GLU/rs1488934_profile_position.png",4,220,900)</f>
        <v/>
      </c>
    </row>
    <row r="3891">
      <c r="A3891" t="inlineStr">
        <is>
          <t>chr8</t>
        </is>
      </c>
      <c r="B3891" t="n">
        <v>38276275</v>
      </c>
      <c r="C3891" t="inlineStr">
        <is>
          <t>G</t>
        </is>
      </c>
      <c r="D3891" t="inlineStr">
        <is>
          <t>A</t>
        </is>
      </c>
      <c r="E3891" t="inlineStr">
        <is>
          <t>rs1488935</t>
        </is>
      </c>
      <c r="F3891" t="n">
        <v>0.0155027232</v>
      </c>
      <c r="G3891" t="n">
        <v>0.3823093580160993</v>
      </c>
      <c r="H3891" t="n">
        <v>0.0140411811309683</v>
      </c>
      <c r="I3891" t="n">
        <v>0.2303815653039198</v>
      </c>
      <c r="J3891" t="n">
        <v>0.2544541369283637</v>
      </c>
      <c r="K3891" t="n">
        <v>0.3284065191855224</v>
      </c>
      <c r="L3891" t="b">
        <v>0</v>
      </c>
      <c r="M3891" t="b">
        <v>0</v>
      </c>
      <c r="N3891" t="inlineStr">
        <is>
          <t>alt</t>
        </is>
      </c>
      <c r="O3891" t="n">
        <v>-60</v>
      </c>
      <c r="P3891" t="n">
        <v>0.0005264</v>
      </c>
      <c r="Q3891" t="n">
        <v>100</v>
      </c>
      <c r="R3891" t="n">
        <v>0.05963</v>
      </c>
      <c r="S3891">
        <f>IMAGE("https://mitra.stanford.edu/kundaje/oak/projects/neuro-variants/variant_position/credible/roussos_2024/variant_figures/roussos_2024.adolescence.GLU/rs1488935_count_position.png",4,220,900)</f>
        <v/>
      </c>
      <c r="T3891">
        <f>IMAGE("https://mitra.stanford.edu/kundaje/oak/projects/neuro-variants/variant_position/credible/roussos_2024/variant_figures/roussos_2024.adolescence.GLU/rs1488935_profile_position.png",4,220,900)</f>
        <v/>
      </c>
    </row>
    <row r="3892">
      <c r="A3892" t="inlineStr">
        <is>
          <t>chr8</t>
        </is>
      </c>
      <c r="B3892" t="n">
        <v>38280012</v>
      </c>
      <c r="C3892" t="inlineStr">
        <is>
          <t>A</t>
        </is>
      </c>
      <c r="D3892" t="inlineStr">
        <is>
          <t>G</t>
        </is>
      </c>
      <c r="E3892" t="inlineStr">
        <is>
          <t>rs12674515</t>
        </is>
      </c>
      <c r="F3892" t="n">
        <v>-0.0003486299</v>
      </c>
      <c r="G3892" t="n">
        <v>0.7747151972644827</v>
      </c>
      <c r="H3892" t="n">
        <v>0.0089968383860314</v>
      </c>
      <c r="I3892" t="n">
        <v>0.6707538334402302</v>
      </c>
      <c r="J3892" t="n">
        <v>0.1499524901586757</v>
      </c>
      <c r="K3892" t="n">
        <v>0.4770036467832649</v>
      </c>
      <c r="L3892" t="b">
        <v>0</v>
      </c>
      <c r="M3892" t="b">
        <v>0</v>
      </c>
      <c r="N3892" t="inlineStr">
        <is>
          <t>ref</t>
        </is>
      </c>
      <c r="O3892" t="n">
        <v>100</v>
      </c>
      <c r="P3892" t="n">
        <v>0.00203</v>
      </c>
      <c r="Q3892" t="n">
        <v>65</v>
      </c>
      <c r="R3892" t="n">
        <v>0.04803</v>
      </c>
      <c r="S3892">
        <f>IMAGE("https://mitra.stanford.edu/kundaje/oak/projects/neuro-variants/variant_position/credible/roussos_2024/variant_figures/roussos_2024.adolescence.GLU/rs12674515_count_position.png",4,220,900)</f>
        <v/>
      </c>
      <c r="T3892">
        <f>IMAGE("https://mitra.stanford.edu/kundaje/oak/projects/neuro-variants/variant_position/credible/roussos_2024/variant_figures/roussos_2024.adolescence.GLU/rs12674515_profile_position.png",4,220,900)</f>
        <v/>
      </c>
    </row>
    <row r="3893">
      <c r="A3893" t="inlineStr">
        <is>
          <t>chr8</t>
        </is>
      </c>
      <c r="B3893" t="n">
        <v>38284697</v>
      </c>
      <c r="C3893" t="inlineStr">
        <is>
          <t>T</t>
        </is>
      </c>
      <c r="D3893" t="inlineStr">
        <is>
          <t>C</t>
        </is>
      </c>
      <c r="E3893" t="inlineStr">
        <is>
          <t>rs7845284</t>
        </is>
      </c>
      <c r="F3893" t="n">
        <v>-0.00574234756</v>
      </c>
      <c r="G3893" t="n">
        <v>0.6670497857524974</v>
      </c>
      <c r="H3893" t="n">
        <v>0.0233967709835704</v>
      </c>
      <c r="I3893" t="n">
        <v>0.02827487769372</v>
      </c>
      <c r="J3893" t="n">
        <v>0.0243164655535789</v>
      </c>
      <c r="K3893" t="n">
        <v>0.8001040284382606</v>
      </c>
      <c r="L3893" t="b">
        <v>0</v>
      </c>
      <c r="M3893" t="b">
        <v>0</v>
      </c>
      <c r="N3893" t="inlineStr">
        <is>
          <t>ref</t>
        </is>
      </c>
      <c r="O3893" t="n">
        <v>-15</v>
      </c>
      <c r="P3893" t="n">
        <v>0.002386</v>
      </c>
      <c r="Q3893" t="n">
        <v>-90</v>
      </c>
      <c r="R3893" t="n">
        <v>0.04642</v>
      </c>
      <c r="S3893">
        <f>IMAGE("https://mitra.stanford.edu/kundaje/oak/projects/neuro-variants/variant_position/credible/roussos_2024/variant_figures/roussos_2024.adolescence.GLU/rs7845284_count_position.png",4,220,900)</f>
        <v/>
      </c>
      <c r="T3893">
        <f>IMAGE("https://mitra.stanford.edu/kundaje/oak/projects/neuro-variants/variant_position/credible/roussos_2024/variant_figures/roussos_2024.adolescence.GLU/rs7845284_profile_position.png",4,220,900)</f>
        <v/>
      </c>
    </row>
    <row r="3894">
      <c r="A3894" t="inlineStr">
        <is>
          <t>chr8</t>
        </is>
      </c>
      <c r="B3894" t="n">
        <v>38285217</v>
      </c>
      <c r="C3894" t="inlineStr">
        <is>
          <t>T</t>
        </is>
      </c>
      <c r="D3894" t="inlineStr">
        <is>
          <t>C</t>
        </is>
      </c>
      <c r="E3894" t="inlineStr">
        <is>
          <t>rs7823681</t>
        </is>
      </c>
      <c r="F3894" t="n">
        <v>-0.0010556531739999</v>
      </c>
      <c r="G3894" t="n">
        <v>0.7912569367932299</v>
      </c>
      <c r="H3894" t="n">
        <v>0.0154835648473622</v>
      </c>
      <c r="I3894" t="n">
        <v>0.1450610645683251</v>
      </c>
      <c r="J3894" t="n">
        <v>0.0120282058426387</v>
      </c>
      <c r="K3894" t="n">
        <v>0.8644926907270084</v>
      </c>
      <c r="L3894" t="b">
        <v>0</v>
      </c>
      <c r="M3894" t="b">
        <v>0</v>
      </c>
      <c r="N3894" t="inlineStr">
        <is>
          <t>ref</t>
        </is>
      </c>
      <c r="O3894" t="n">
        <v>-50</v>
      </c>
      <c r="P3894" t="n">
        <v>0.006317</v>
      </c>
      <c r="Q3894" t="n">
        <v>5</v>
      </c>
      <c r="R3894" t="n">
        <v>0.000717</v>
      </c>
      <c r="S3894">
        <f>IMAGE("https://mitra.stanford.edu/kundaje/oak/projects/neuro-variants/variant_position/credible/roussos_2024/variant_figures/roussos_2024.adolescence.GLU/rs7823681_count_position.png",4,220,900)</f>
        <v/>
      </c>
      <c r="T3894">
        <f>IMAGE("https://mitra.stanford.edu/kundaje/oak/projects/neuro-variants/variant_position/credible/roussos_2024/variant_figures/roussos_2024.adolescence.GLU/rs7823681_profile_position.png",4,220,900)</f>
        <v/>
      </c>
    </row>
    <row r="3895">
      <c r="A3895" t="inlineStr">
        <is>
          <t>chr8</t>
        </is>
      </c>
      <c r="B3895" t="n">
        <v>38295074</v>
      </c>
      <c r="C3895" t="inlineStr">
        <is>
          <t>C</t>
        </is>
      </c>
      <c r="D3895" t="inlineStr">
        <is>
          <t>G</t>
        </is>
      </c>
      <c r="E3895" t="inlineStr">
        <is>
          <t>rs12386951</t>
        </is>
      </c>
      <c r="F3895" t="n">
        <v>0.0601119936</v>
      </c>
      <c r="G3895" t="n">
        <v>0.0356371881893774</v>
      </c>
      <c r="H3895" t="n">
        <v>0.0164737355451624</v>
      </c>
      <c r="I3895" t="n">
        <v>0.1221929881972196</v>
      </c>
      <c r="J3895" t="n">
        <v>0.1281222538954497</v>
      </c>
      <c r="K3895" t="n">
        <v>0.5178545378981881</v>
      </c>
      <c r="L3895" t="b">
        <v>0</v>
      </c>
      <c r="M3895" t="b">
        <v>0</v>
      </c>
      <c r="N3895" t="inlineStr">
        <is>
          <t>alt</t>
        </is>
      </c>
      <c r="O3895" t="n">
        <v>-15</v>
      </c>
      <c r="P3895" t="n">
        <v>0.007446</v>
      </c>
      <c r="Q3895" t="n">
        <v>-25</v>
      </c>
      <c r="R3895" t="n">
        <v>0.002441</v>
      </c>
      <c r="S3895">
        <f>IMAGE("https://mitra.stanford.edu/kundaje/oak/projects/neuro-variants/variant_position/credible/roussos_2024/variant_figures/roussos_2024.adolescence.GLU/rs12386951_count_position.png",4,220,900)</f>
        <v/>
      </c>
      <c r="T3895">
        <f>IMAGE("https://mitra.stanford.edu/kundaje/oak/projects/neuro-variants/variant_position/credible/roussos_2024/variant_figures/roussos_2024.adolescence.GLU/rs12386951_profile_position.png",4,220,900)</f>
        <v/>
      </c>
    </row>
    <row r="3896">
      <c r="A3896" t="inlineStr">
        <is>
          <t>chr8</t>
        </is>
      </c>
      <c r="B3896" t="n">
        <v>38350172</v>
      </c>
      <c r="C3896" t="inlineStr">
        <is>
          <t>A</t>
        </is>
      </c>
      <c r="D3896" t="inlineStr">
        <is>
          <t>G</t>
        </is>
      </c>
      <c r="E3896" t="inlineStr">
        <is>
          <t>rs28634296</t>
        </is>
      </c>
      <c r="F3896" t="n">
        <v>0.071593803</v>
      </c>
      <c r="G3896" t="n">
        <v>0.021250014323301</v>
      </c>
      <c r="H3896" t="n">
        <v>0.0119486224460868</v>
      </c>
      <c r="I3896" t="n">
        <v>0.3366426763993326</v>
      </c>
      <c r="J3896" t="n">
        <v>0.1413850011788155</v>
      </c>
      <c r="K3896" t="n">
        <v>0.4939663598071833</v>
      </c>
      <c r="L3896" t="b">
        <v>0</v>
      </c>
      <c r="M3896" t="b">
        <v>0</v>
      </c>
      <c r="N3896" t="inlineStr">
        <is>
          <t>alt</t>
        </is>
      </c>
      <c r="O3896" t="n">
        <v>-45</v>
      </c>
      <c r="P3896" t="n">
        <v>0.003437</v>
      </c>
      <c r="Q3896" t="n">
        <v>55</v>
      </c>
      <c r="R3896" t="n">
        <v>0.05432</v>
      </c>
      <c r="S3896">
        <f>IMAGE("https://mitra.stanford.edu/kundaje/oak/projects/neuro-variants/variant_position/credible/roussos_2024/variant_figures/roussos_2024.adolescence.GLU/rs28634296_count_position.png",4,220,900)</f>
        <v/>
      </c>
      <c r="T3896">
        <f>IMAGE("https://mitra.stanford.edu/kundaje/oak/projects/neuro-variants/variant_position/credible/roussos_2024/variant_figures/roussos_2024.adolescence.GLU/rs28634296_profile_position.png",4,220,900)</f>
        <v/>
      </c>
    </row>
    <row r="3897">
      <c r="A3897" t="inlineStr">
        <is>
          <t>chr8</t>
        </is>
      </c>
      <c r="B3897" t="n">
        <v>38360223</v>
      </c>
      <c r="C3897" t="inlineStr">
        <is>
          <t>T</t>
        </is>
      </c>
      <c r="D3897" t="inlineStr">
        <is>
          <t>C</t>
        </is>
      </c>
      <c r="E3897" t="inlineStr">
        <is>
          <t>rs2130033</t>
        </is>
      </c>
      <c r="F3897" t="n">
        <v>-0.001344534214</v>
      </c>
      <c r="G3897" t="n">
        <v>0.8601739251660145</v>
      </c>
      <c r="H3897" t="n">
        <v>0.0088967804263291</v>
      </c>
      <c r="I3897" t="n">
        <v>0.6886896132742368</v>
      </c>
      <c r="J3897" t="n">
        <v>0.0469240056868922</v>
      </c>
      <c r="K3897" t="n">
        <v>0.7066651889592702</v>
      </c>
      <c r="L3897" t="b">
        <v>0</v>
      </c>
      <c r="M3897" t="b">
        <v>0</v>
      </c>
      <c r="N3897" t="inlineStr">
        <is>
          <t>ref</t>
        </is>
      </c>
      <c r="O3897" t="n">
        <v>-100</v>
      </c>
      <c r="P3897" t="n">
        <v>0.02979</v>
      </c>
      <c r="Q3897" t="n">
        <v>-70</v>
      </c>
      <c r="R3897" t="n">
        <v>0.0491</v>
      </c>
      <c r="S3897">
        <f>IMAGE("https://mitra.stanford.edu/kundaje/oak/projects/neuro-variants/variant_position/credible/roussos_2024/variant_figures/roussos_2024.adolescence.GLU/rs2130033_count_position.png",4,220,900)</f>
        <v/>
      </c>
      <c r="T3897">
        <f>IMAGE("https://mitra.stanford.edu/kundaje/oak/projects/neuro-variants/variant_position/credible/roussos_2024/variant_figures/roussos_2024.adolescence.GLU/rs2130033_profile_position.png",4,220,900)</f>
        <v/>
      </c>
    </row>
    <row r="3898">
      <c r="A3898" t="inlineStr">
        <is>
          <t>chr8</t>
        </is>
      </c>
      <c r="B3898" t="n">
        <v>38368759</v>
      </c>
      <c r="C3898" t="inlineStr">
        <is>
          <t>A</t>
        </is>
      </c>
      <c r="D3898" t="inlineStr">
        <is>
          <t>G</t>
        </is>
      </c>
      <c r="E3898" t="inlineStr">
        <is>
          <t>rs16887343</t>
        </is>
      </c>
      <c r="F3898" t="n">
        <v>0.0621237961999999</v>
      </c>
      <c r="G3898" t="n">
        <v>0.0309240338251916</v>
      </c>
      <c r="H3898" t="n">
        <v>0.0129290852584781</v>
      </c>
      <c r="I3898" t="n">
        <v>0.2554031852084062</v>
      </c>
      <c r="J3898" t="n">
        <v>0.0020204185152638</v>
      </c>
      <c r="K3898" t="n">
        <v>0.955801088009428</v>
      </c>
      <c r="L3898" t="b">
        <v>0</v>
      </c>
      <c r="M3898" t="b">
        <v>0</v>
      </c>
      <c r="N3898" t="inlineStr">
        <is>
          <t>alt</t>
        </is>
      </c>
      <c r="O3898" t="n">
        <v>100</v>
      </c>
      <c r="P3898" t="n">
        <v>0.007553</v>
      </c>
      <c r="Q3898" t="n">
        <v>-45</v>
      </c>
      <c r="R3898" t="n">
        <v>0.02312</v>
      </c>
      <c r="S3898">
        <f>IMAGE("https://mitra.stanford.edu/kundaje/oak/projects/neuro-variants/variant_position/credible/roussos_2024/variant_figures/roussos_2024.adolescence.GLU/rs16887343_count_position.png",4,220,900)</f>
        <v/>
      </c>
      <c r="T3898">
        <f>IMAGE("https://mitra.stanford.edu/kundaje/oak/projects/neuro-variants/variant_position/credible/roussos_2024/variant_figures/roussos_2024.adolescence.GLU/rs16887343_profile_position.png",4,220,900)</f>
        <v/>
      </c>
    </row>
    <row r="3899">
      <c r="A3899" t="inlineStr">
        <is>
          <t>chr8</t>
        </is>
      </c>
      <c r="B3899" t="n">
        <v>38382980</v>
      </c>
      <c r="C3899" t="inlineStr">
        <is>
          <t>G</t>
        </is>
      </c>
      <c r="D3899" t="inlineStr">
        <is>
          <t>A</t>
        </is>
      </c>
      <c r="E3899" t="inlineStr">
        <is>
          <t>rs60558877</t>
        </is>
      </c>
      <c r="F3899" t="n">
        <v>0.004619580152</v>
      </c>
      <c r="G3899" t="n">
        <v>0.6542154420992081</v>
      </c>
      <c r="H3899" t="n">
        <v>0.0174718393957042</v>
      </c>
      <c r="I3899" t="n">
        <v>0.09556127161209341</v>
      </c>
      <c r="J3899" t="n">
        <v>0.9142308049524543</v>
      </c>
      <c r="K3899" t="n">
        <v>0.0030704150073298</v>
      </c>
      <c r="L3899" t="b">
        <v>0</v>
      </c>
      <c r="M3899" t="b">
        <v>0</v>
      </c>
      <c r="N3899" t="inlineStr">
        <is>
          <t>alt</t>
        </is>
      </c>
      <c r="O3899" t="n">
        <v>70</v>
      </c>
      <c r="P3899" t="n">
        <v>0.003632</v>
      </c>
      <c r="Q3899" t="n">
        <v>-75</v>
      </c>
      <c r="R3899" t="n">
        <v>0.03186</v>
      </c>
      <c r="S3899">
        <f>IMAGE("https://mitra.stanford.edu/kundaje/oak/projects/neuro-variants/variant_position/credible/roussos_2024/variant_figures/roussos_2024.adolescence.GLU/rs60558877_count_position.png",4,220,900)</f>
        <v/>
      </c>
      <c r="T3899">
        <f>IMAGE("https://mitra.stanford.edu/kundaje/oak/projects/neuro-variants/variant_position/credible/roussos_2024/variant_figures/roussos_2024.adolescence.GLU/rs60558877_profile_position.png",4,220,900)</f>
        <v/>
      </c>
    </row>
    <row r="3900">
      <c r="A3900" t="inlineStr">
        <is>
          <t>chr8</t>
        </is>
      </c>
      <c r="B3900" t="n">
        <v>38401517</v>
      </c>
      <c r="C3900" t="inlineStr">
        <is>
          <t>C</t>
        </is>
      </c>
      <c r="D3900" t="inlineStr">
        <is>
          <t>A</t>
        </is>
      </c>
      <c r="E3900" t="inlineStr">
        <is>
          <t>rs2016875</t>
        </is>
      </c>
      <c r="F3900" t="n">
        <v>-0.1229265108</v>
      </c>
      <c r="G3900" t="n">
        <v>0.0077022681321272</v>
      </c>
      <c r="H3900" t="n">
        <v>0.0286682594409911</v>
      </c>
      <c r="I3900" t="n">
        <v>0.0202816899474716</v>
      </c>
      <c r="J3900" t="n">
        <v>0.2846046681098227</v>
      </c>
      <c r="K3900" t="n">
        <v>0.2883434518888678</v>
      </c>
      <c r="L3900" t="b">
        <v>1</v>
      </c>
      <c r="M3900" t="b">
        <v>1</v>
      </c>
      <c r="N3900" t="inlineStr">
        <is>
          <t>ref</t>
        </is>
      </c>
      <c r="O3900" t="n">
        <v>95</v>
      </c>
      <c r="P3900" t="n">
        <v>0.00721</v>
      </c>
      <c r="Q3900" t="n">
        <v>100</v>
      </c>
      <c r="R3900" t="n">
        <v>0.2141</v>
      </c>
      <c r="S3900">
        <f>IMAGE("https://mitra.stanford.edu/kundaje/oak/projects/neuro-variants/variant_position/credible/roussos_2024/variant_figures/roussos_2024.adolescence.GLU/rs2016875_count_position.png",4,220,900)</f>
        <v/>
      </c>
      <c r="T3900">
        <f>IMAGE("https://mitra.stanford.edu/kundaje/oak/projects/neuro-variants/variant_position/credible/roussos_2024/variant_figures/roussos_2024.adolescence.GLU/rs2016875_profile_position.png",4,220,900)</f>
        <v/>
      </c>
    </row>
    <row r="3901">
      <c r="A3901" t="inlineStr">
        <is>
          <t>chr8</t>
        </is>
      </c>
      <c r="B3901" t="n">
        <v>38402922</v>
      </c>
      <c r="C3901" t="inlineStr">
        <is>
          <t>C</t>
        </is>
      </c>
      <c r="D3901" t="inlineStr">
        <is>
          <t>T</t>
        </is>
      </c>
      <c r="E3901" t="inlineStr">
        <is>
          <t>rs28681082</t>
        </is>
      </c>
      <c r="F3901" t="n">
        <v>0.0120974572</v>
      </c>
      <c r="G3901" t="n">
        <v>0.4444955215293352</v>
      </c>
      <c r="H3901" t="n">
        <v>0.0077213726836652</v>
      </c>
      <c r="I3901" t="n">
        <v>0.8251940425987146</v>
      </c>
      <c r="J3901" t="n">
        <v>0.2477570353859013</v>
      </c>
      <c r="K3901" t="n">
        <v>0.3382351202855072</v>
      </c>
      <c r="L3901" t="b">
        <v>0</v>
      </c>
      <c r="M3901" t="b">
        <v>0</v>
      </c>
      <c r="N3901" t="inlineStr">
        <is>
          <t>alt</t>
        </is>
      </c>
      <c r="O3901" t="n">
        <v>-70</v>
      </c>
      <c r="P3901" t="n">
        <v>0.01095</v>
      </c>
      <c r="Q3901" t="n">
        <v>100</v>
      </c>
      <c r="R3901" t="n">
        <v>0.03305</v>
      </c>
      <c r="S3901">
        <f>IMAGE("https://mitra.stanford.edu/kundaje/oak/projects/neuro-variants/variant_position/credible/roussos_2024/variant_figures/roussos_2024.adolescence.GLU/rs28681082_count_position.png",4,220,900)</f>
        <v/>
      </c>
      <c r="T3901">
        <f>IMAGE("https://mitra.stanford.edu/kundaje/oak/projects/neuro-variants/variant_position/credible/roussos_2024/variant_figures/roussos_2024.adolescence.GLU/rs28681082_profile_position.png",4,220,900)</f>
        <v/>
      </c>
    </row>
    <row r="3902">
      <c r="A3902" t="inlineStr">
        <is>
          <t>chr8</t>
        </is>
      </c>
      <c r="B3902" t="n">
        <v>38415024</v>
      </c>
      <c r="C3902" t="inlineStr">
        <is>
          <t>C</t>
        </is>
      </c>
      <c r="D3902" t="inlineStr">
        <is>
          <t>G</t>
        </is>
      </c>
      <c r="E3902" t="inlineStr">
        <is>
          <t>rs4647905</t>
        </is>
      </c>
      <c r="F3902" t="n">
        <v>0.0496878062</v>
      </c>
      <c r="G3902" t="n">
        <v>0.0604025285785327</v>
      </c>
      <c r="H3902" t="n">
        <v>0.014518868711333</v>
      </c>
      <c r="I3902" t="n">
        <v>0.1912552252873517</v>
      </c>
      <c r="J3902" t="n">
        <v>0.5507512270398868</v>
      </c>
      <c r="K3902" t="n">
        <v>0.059836929208065</v>
      </c>
      <c r="L3902" t="b">
        <v>0</v>
      </c>
      <c r="M3902" t="b">
        <v>0</v>
      </c>
      <c r="N3902" t="inlineStr">
        <is>
          <t>alt</t>
        </is>
      </c>
      <c r="O3902" t="n">
        <v>-100</v>
      </c>
      <c r="P3902" t="n">
        <v>0.002724</v>
      </c>
      <c r="Q3902" t="n">
        <v>0</v>
      </c>
      <c r="R3902" t="n">
        <v>0</v>
      </c>
      <c r="S3902">
        <f>IMAGE("https://mitra.stanford.edu/kundaje/oak/projects/neuro-variants/variant_position/credible/roussos_2024/variant_figures/roussos_2024.adolescence.GLU/rs4647905_count_position.png",4,220,900)</f>
        <v/>
      </c>
      <c r="T3902">
        <f>IMAGE("https://mitra.stanford.edu/kundaje/oak/projects/neuro-variants/variant_position/credible/roussos_2024/variant_figures/roussos_2024.adolescence.GLU/rs4647905_profile_position.png",4,220,900)</f>
        <v/>
      </c>
    </row>
    <row r="3903">
      <c r="A3903" t="inlineStr">
        <is>
          <t>chr8</t>
        </is>
      </c>
      <c r="B3903" t="n">
        <v>38430037</v>
      </c>
      <c r="C3903" t="inlineStr">
        <is>
          <t>C</t>
        </is>
      </c>
      <c r="D3903" t="inlineStr">
        <is>
          <t>T</t>
        </is>
      </c>
      <c r="E3903" t="inlineStr">
        <is>
          <t>rs4647907</t>
        </is>
      </c>
      <c r="F3903" t="n">
        <v>-0.0404654732</v>
      </c>
      <c r="G3903" t="n">
        <v>0.1080331481981938</v>
      </c>
      <c r="H3903" t="n">
        <v>0.0085221999512307</v>
      </c>
      <c r="I3903" t="n">
        <v>0.7227677047935666</v>
      </c>
      <c r="J3903" t="n">
        <v>0.6596137771395503</v>
      </c>
      <c r="K3903" t="n">
        <v>0.0214600749203625</v>
      </c>
      <c r="L3903" t="b">
        <v>0</v>
      </c>
      <c r="M3903" t="b">
        <v>0</v>
      </c>
      <c r="N3903" t="inlineStr">
        <is>
          <t>ref</t>
        </is>
      </c>
      <c r="O3903" t="n">
        <v>60</v>
      </c>
      <c r="P3903" t="n">
        <v>0.003496</v>
      </c>
      <c r="Q3903" t="n">
        <v>-100</v>
      </c>
      <c r="R3903" t="n">
        <v>0.11145</v>
      </c>
      <c r="S3903">
        <f>IMAGE("https://mitra.stanford.edu/kundaje/oak/projects/neuro-variants/variant_position/credible/roussos_2024/variant_figures/roussos_2024.adolescence.GLU/rs4647907_count_position.png",4,220,900)</f>
        <v/>
      </c>
      <c r="T3903">
        <f>IMAGE("https://mitra.stanford.edu/kundaje/oak/projects/neuro-variants/variant_position/credible/roussos_2024/variant_figures/roussos_2024.adolescence.GLU/rs4647907_profile_position.png",4,220,900)</f>
        <v/>
      </c>
    </row>
    <row r="3904">
      <c r="A3904" t="inlineStr">
        <is>
          <t>chr8</t>
        </is>
      </c>
      <c r="B3904" t="n">
        <v>38431048</v>
      </c>
      <c r="C3904" t="inlineStr">
        <is>
          <t>C</t>
        </is>
      </c>
      <c r="D3904" t="inlineStr">
        <is>
          <t>G</t>
        </is>
      </c>
      <c r="E3904" t="inlineStr">
        <is>
          <t>rs7005874</t>
        </is>
      </c>
      <c r="F3904" t="n">
        <v>-0.02078745676</v>
      </c>
      <c r="G3904" t="n">
        <v>0.3001900807272029</v>
      </c>
      <c r="H3904" t="n">
        <v>0.0126845741389987</v>
      </c>
      <c r="I3904" t="n">
        <v>0.3016395630669137</v>
      </c>
      <c r="J3904" t="n">
        <v>0.5534703617177844</v>
      </c>
      <c r="K3904" t="n">
        <v>0.0583999350015743</v>
      </c>
      <c r="L3904" t="b">
        <v>0</v>
      </c>
      <c r="M3904" t="b">
        <v>0</v>
      </c>
      <c r="N3904" t="inlineStr">
        <is>
          <t>ref</t>
        </is>
      </c>
      <c r="O3904" t="n">
        <v>75</v>
      </c>
      <c r="P3904" t="n">
        <v>0.00213</v>
      </c>
      <c r="Q3904" t="n">
        <v>-45</v>
      </c>
      <c r="R3904" t="n">
        <v>0.0791</v>
      </c>
      <c r="S3904">
        <f>IMAGE("https://mitra.stanford.edu/kundaje/oak/projects/neuro-variants/variant_position/credible/roussos_2024/variant_figures/roussos_2024.adolescence.GLU/rs7005874_count_position.png",4,220,900)</f>
        <v/>
      </c>
      <c r="T3904">
        <f>IMAGE("https://mitra.stanford.edu/kundaje/oak/projects/neuro-variants/variant_position/credible/roussos_2024/variant_figures/roussos_2024.adolescence.GLU/rs7005874_profile_position.png",4,220,900)</f>
        <v/>
      </c>
    </row>
    <row r="3905">
      <c r="A3905" t="inlineStr">
        <is>
          <t>chr8</t>
        </is>
      </c>
      <c r="B3905" t="n">
        <v>40891512</v>
      </c>
      <c r="C3905" t="inlineStr">
        <is>
          <t>C</t>
        </is>
      </c>
      <c r="D3905" t="inlineStr">
        <is>
          <t>T</t>
        </is>
      </c>
      <c r="E3905" t="inlineStr">
        <is>
          <t>rs62640287</t>
        </is>
      </c>
      <c r="F3905" t="n">
        <v>-0.01573132986</v>
      </c>
      <c r="G3905" t="n">
        <v>0.3860103155082799</v>
      </c>
      <c r="H3905" t="n">
        <v>0.0099635808288561</v>
      </c>
      <c r="I3905" t="n">
        <v>0.5378983350410699</v>
      </c>
      <c r="J3905" t="n">
        <v>0.4170621057218994</v>
      </c>
      <c r="K3905" t="n">
        <v>0.1504838067328198</v>
      </c>
      <c r="L3905" t="b">
        <v>0</v>
      </c>
      <c r="M3905" t="b">
        <v>0</v>
      </c>
      <c r="N3905" t="inlineStr">
        <is>
          <t>ref</t>
        </is>
      </c>
      <c r="O3905" t="n">
        <v>100</v>
      </c>
      <c r="P3905" t="n">
        <v>0.002409</v>
      </c>
      <c r="Q3905" t="n">
        <v>65</v>
      </c>
      <c r="R3905" t="n">
        <v>0.04468</v>
      </c>
      <c r="S3905">
        <f>IMAGE("https://mitra.stanford.edu/kundaje/oak/projects/neuro-variants/variant_position/credible/roussos_2024/variant_figures/roussos_2024.adolescence.GLU/rs62640287_count_position.png",4,220,900)</f>
        <v/>
      </c>
      <c r="T3905">
        <f>IMAGE("https://mitra.stanford.edu/kundaje/oak/projects/neuro-variants/variant_position/credible/roussos_2024/variant_figures/roussos_2024.adolescence.GLU/rs62640287_profile_position.png",4,220,900)</f>
        <v/>
      </c>
    </row>
    <row r="3906">
      <c r="A3906" t="inlineStr">
        <is>
          <t>chr8</t>
        </is>
      </c>
      <c r="B3906" t="n">
        <v>40896455</v>
      </c>
      <c r="C3906" t="inlineStr">
        <is>
          <t>C</t>
        </is>
      </c>
      <c r="D3906" t="inlineStr">
        <is>
          <t>A</t>
        </is>
      </c>
      <c r="E3906" t="inlineStr">
        <is>
          <t>rs16890077</t>
        </is>
      </c>
      <c r="F3906" t="n">
        <v>-0.0163840156899999</v>
      </c>
      <c r="G3906" t="n">
        <v>0.3674695585186763</v>
      </c>
      <c r="H3906" t="n">
        <v>0.0105061604310133</v>
      </c>
      <c r="I3906" t="n">
        <v>0.4781617390388523</v>
      </c>
      <c r="J3906" t="n">
        <v>0.5464717691521815</v>
      </c>
      <c r="K3906" t="n">
        <v>0.0622618255432932</v>
      </c>
      <c r="L3906" t="b">
        <v>0</v>
      </c>
      <c r="M3906" t="b">
        <v>0</v>
      </c>
      <c r="N3906" t="inlineStr">
        <is>
          <t>ref</t>
        </is>
      </c>
      <c r="O3906" t="n">
        <v>-100</v>
      </c>
      <c r="P3906" t="n">
        <v>0.00409</v>
      </c>
      <c r="Q3906" t="n">
        <v>100</v>
      </c>
      <c r="R3906" t="n">
        <v>0.03156</v>
      </c>
      <c r="S3906">
        <f>IMAGE("https://mitra.stanford.edu/kundaje/oak/projects/neuro-variants/variant_position/credible/roussos_2024/variant_figures/roussos_2024.adolescence.GLU/rs16890077_count_position.png",4,220,900)</f>
        <v/>
      </c>
      <c r="T3906">
        <f>IMAGE("https://mitra.stanford.edu/kundaje/oak/projects/neuro-variants/variant_position/credible/roussos_2024/variant_figures/roussos_2024.adolescence.GLU/rs16890077_profile_position.png",4,220,900)</f>
        <v/>
      </c>
    </row>
    <row r="3907">
      <c r="A3907" t="inlineStr">
        <is>
          <t>chr8</t>
        </is>
      </c>
      <c r="B3907" t="n">
        <v>51796358</v>
      </c>
      <c r="C3907" t="inlineStr">
        <is>
          <t>A</t>
        </is>
      </c>
      <c r="D3907" t="inlineStr">
        <is>
          <t>C</t>
        </is>
      </c>
      <c r="E3907" t="inlineStr">
        <is>
          <t>rs4498530</t>
        </is>
      </c>
      <c r="F3907" t="n">
        <v>0.009316478</v>
      </c>
      <c r="G3907" t="n">
        <v>0.5219641347997668</v>
      </c>
      <c r="H3907" t="n">
        <v>0.0208320958861105</v>
      </c>
      <c r="I3907" t="n">
        <v>0.0465944803837703</v>
      </c>
      <c r="J3907" t="n">
        <v>0.0129226768402025</v>
      </c>
      <c r="K3907" t="n">
        <v>0.8625186676311876</v>
      </c>
      <c r="L3907" t="b">
        <v>0</v>
      </c>
      <c r="M3907" t="b">
        <v>0</v>
      </c>
      <c r="N3907" t="inlineStr">
        <is>
          <t>alt</t>
        </is>
      </c>
      <c r="O3907" t="n">
        <v>-30</v>
      </c>
      <c r="P3907" t="n">
        <v>0.003601</v>
      </c>
      <c r="Q3907" t="n">
        <v>-90</v>
      </c>
      <c r="R3907" t="n">
        <v>0.02863</v>
      </c>
      <c r="S3907">
        <f>IMAGE("https://mitra.stanford.edu/kundaje/oak/projects/neuro-variants/variant_position/credible/roussos_2024/variant_figures/roussos_2024.adolescence.GLU/rs4498530_count_position.png",4,220,900)</f>
        <v/>
      </c>
      <c r="T3907">
        <f>IMAGE("https://mitra.stanford.edu/kundaje/oak/projects/neuro-variants/variant_position/credible/roussos_2024/variant_figures/roussos_2024.adolescence.GLU/rs4498530_profile_position.png",4,220,900)</f>
        <v/>
      </c>
    </row>
    <row r="3908">
      <c r="A3908" t="inlineStr">
        <is>
          <t>chr8</t>
        </is>
      </c>
      <c r="B3908" t="n">
        <v>51872765</v>
      </c>
      <c r="C3908" t="inlineStr">
        <is>
          <t>C</t>
        </is>
      </c>
      <c r="D3908" t="inlineStr">
        <is>
          <t>A</t>
        </is>
      </c>
      <c r="E3908" t="inlineStr">
        <is>
          <t>rs10105030</t>
        </is>
      </c>
      <c r="F3908" t="n">
        <v>-0.02451016</v>
      </c>
      <c r="G3908" t="n">
        <v>0.2405666771275721</v>
      </c>
      <c r="H3908" t="n">
        <v>0.015568115315877</v>
      </c>
      <c r="I3908" t="n">
        <v>0.1533044614868844</v>
      </c>
      <c r="J3908" t="n">
        <v>0.007310085660601</v>
      </c>
      <c r="K3908" t="n">
        <v>0.8980780604901233</v>
      </c>
      <c r="L3908" t="b">
        <v>0</v>
      </c>
      <c r="M3908" t="b">
        <v>0</v>
      </c>
      <c r="N3908" t="inlineStr">
        <is>
          <t>ref</t>
        </is>
      </c>
      <c r="O3908" t="n">
        <v>20</v>
      </c>
      <c r="P3908" t="n">
        <v>0.002523</v>
      </c>
      <c r="Q3908" t="n">
        <v>-90</v>
      </c>
      <c r="R3908" t="n">
        <v>0.0487</v>
      </c>
      <c r="S3908">
        <f>IMAGE("https://mitra.stanford.edu/kundaje/oak/projects/neuro-variants/variant_position/credible/roussos_2024/variant_figures/roussos_2024.adolescence.GLU/rs10105030_count_position.png",4,220,900)</f>
        <v/>
      </c>
      <c r="T3908">
        <f>IMAGE("https://mitra.stanford.edu/kundaje/oak/projects/neuro-variants/variant_position/credible/roussos_2024/variant_figures/roussos_2024.adolescence.GLU/rs10105030_profile_position.png",4,220,900)</f>
        <v/>
      </c>
    </row>
    <row r="3909">
      <c r="A3909" t="inlineStr">
        <is>
          <t>chr8</t>
        </is>
      </c>
      <c r="B3909" t="n">
        <v>51983360</v>
      </c>
      <c r="C3909" t="inlineStr">
        <is>
          <t>C</t>
        </is>
      </c>
      <c r="D3909" t="inlineStr">
        <is>
          <t>T</t>
        </is>
      </c>
      <c r="E3909" t="inlineStr">
        <is>
          <t>rs4873621</t>
        </is>
      </c>
      <c r="F3909" t="n">
        <v>0.000439178018</v>
      </c>
      <c r="G3909" t="n">
        <v>0.8273775970151198</v>
      </c>
      <c r="H3909" t="n">
        <v>0.0299625330408621</v>
      </c>
      <c r="I3909" t="n">
        <v>0.009063476523208601</v>
      </c>
      <c r="J3909" t="n">
        <v>0.0418572418572418</v>
      </c>
      <c r="K3909" t="n">
        <v>0.7309949833689167</v>
      </c>
      <c r="L3909" t="b">
        <v>1</v>
      </c>
      <c r="M3909" t="b">
        <v>0</v>
      </c>
      <c r="N3909" t="inlineStr">
        <is>
          <t>alt</t>
        </is>
      </c>
      <c r="O3909" t="n">
        <v>-100</v>
      </c>
      <c r="P3909" t="n">
        <v>0.00844</v>
      </c>
      <c r="Q3909" t="n">
        <v>-25</v>
      </c>
      <c r="R3909" t="n">
        <v>0.01495</v>
      </c>
      <c r="S3909">
        <f>IMAGE("https://mitra.stanford.edu/kundaje/oak/projects/neuro-variants/variant_position/credible/roussos_2024/variant_figures/roussos_2024.adolescence.GLU/rs4873621_count_position.png",4,220,900)</f>
        <v/>
      </c>
      <c r="T3909">
        <f>IMAGE("https://mitra.stanford.edu/kundaje/oak/projects/neuro-variants/variant_position/credible/roussos_2024/variant_figures/roussos_2024.adolescence.GLU/rs4873621_profile_position.png",4,220,900)</f>
        <v/>
      </c>
    </row>
    <row r="3910">
      <c r="A3910" t="inlineStr">
        <is>
          <t>chr8</t>
        </is>
      </c>
      <c r="B3910" t="n">
        <v>51997917</v>
      </c>
      <c r="C3910" t="inlineStr">
        <is>
          <t>T</t>
        </is>
      </c>
      <c r="D3910" t="inlineStr">
        <is>
          <t>C</t>
        </is>
      </c>
      <c r="E3910" t="inlineStr">
        <is>
          <t>rs16917075</t>
        </is>
      </c>
      <c r="F3910" t="n">
        <v>-0.01670266842</v>
      </c>
      <c r="G3910" t="n">
        <v>0.2978959018955956</v>
      </c>
      <c r="H3910" t="n">
        <v>0.013280507490173</v>
      </c>
      <c r="I3910" t="n">
        <v>0.2959417051847089</v>
      </c>
      <c r="J3910" t="n">
        <v>0.0599009794886083</v>
      </c>
      <c r="K3910" t="n">
        <v>0.666573520983574</v>
      </c>
      <c r="L3910" t="b">
        <v>0</v>
      </c>
      <c r="M3910" t="b">
        <v>0</v>
      </c>
      <c r="N3910" t="inlineStr">
        <is>
          <t>ref</t>
        </is>
      </c>
      <c r="O3910" t="n">
        <v>95</v>
      </c>
      <c r="P3910" t="n">
        <v>0.007979999999999999</v>
      </c>
      <c r="Q3910" t="n">
        <v>55</v>
      </c>
      <c r="R3910" t="n">
        <v>0.04236</v>
      </c>
      <c r="S3910">
        <f>IMAGE("https://mitra.stanford.edu/kundaje/oak/projects/neuro-variants/variant_position/credible/roussos_2024/variant_figures/roussos_2024.adolescence.GLU/rs16917075_count_position.png",4,220,900)</f>
        <v/>
      </c>
      <c r="T3910">
        <f>IMAGE("https://mitra.stanford.edu/kundaje/oak/projects/neuro-variants/variant_position/credible/roussos_2024/variant_figures/roussos_2024.adolescence.GLU/rs16917075_profile_position.png",4,220,900)</f>
        <v/>
      </c>
    </row>
    <row r="3911">
      <c r="A3911" t="inlineStr">
        <is>
          <t>chr8</t>
        </is>
      </c>
      <c r="B3911" t="n">
        <v>54639577</v>
      </c>
      <c r="C3911" t="inlineStr">
        <is>
          <t>T</t>
        </is>
      </c>
      <c r="D3911" t="inlineStr">
        <is>
          <t>C</t>
        </is>
      </c>
      <c r="E3911" t="inlineStr">
        <is>
          <t>rs62514618</t>
        </is>
      </c>
      <c r="F3911" t="n">
        <v>0.00244394846</v>
      </c>
      <c r="G3911" t="n">
        <v>0.7358168637772698</v>
      </c>
      <c r="H3911" t="n">
        <v>0.008956796819831201</v>
      </c>
      <c r="I3911" t="n">
        <v>0.6321358392589992</v>
      </c>
      <c r="J3911" t="n">
        <v>0.0102735566653091</v>
      </c>
      <c r="K3911" t="n">
        <v>0.8791155554395543</v>
      </c>
      <c r="L3911" t="b">
        <v>0</v>
      </c>
      <c r="M3911" t="b">
        <v>0</v>
      </c>
      <c r="N3911" t="inlineStr">
        <is>
          <t>alt</t>
        </is>
      </c>
      <c r="O3911" t="n">
        <v>100</v>
      </c>
      <c r="P3911" t="n">
        <v>0.006046</v>
      </c>
      <c r="Q3911" t="n">
        <v>-70</v>
      </c>
      <c r="R3911" t="n">
        <v>0.02939</v>
      </c>
      <c r="S3911">
        <f>IMAGE("https://mitra.stanford.edu/kundaje/oak/projects/neuro-variants/variant_position/credible/roussos_2024/variant_figures/roussos_2024.adolescence.GLU/rs62514618_count_position.png",4,220,900)</f>
        <v/>
      </c>
      <c r="T3911">
        <f>IMAGE("https://mitra.stanford.edu/kundaje/oak/projects/neuro-variants/variant_position/credible/roussos_2024/variant_figures/roussos_2024.adolescence.GLU/rs62514618_profile_position.png",4,220,900)</f>
        <v/>
      </c>
    </row>
    <row r="3912">
      <c r="A3912" t="inlineStr">
        <is>
          <t>chr8</t>
        </is>
      </c>
      <c r="B3912" t="n">
        <v>54673079</v>
      </c>
      <c r="C3912" t="inlineStr">
        <is>
          <t>C</t>
        </is>
      </c>
      <c r="D3912" t="inlineStr">
        <is>
          <t>T</t>
        </is>
      </c>
      <c r="E3912" t="inlineStr">
        <is>
          <t>rs41444144</t>
        </is>
      </c>
      <c r="F3912" t="n">
        <v>-0.0812600572</v>
      </c>
      <c r="G3912" t="n">
        <v>0.0158820029125123</v>
      </c>
      <c r="H3912" t="n">
        <v>0.0160521546159367</v>
      </c>
      <c r="I3912" t="n">
        <v>0.1444148438287528</v>
      </c>
      <c r="J3912" t="n">
        <v>0.0426502632688199</v>
      </c>
      <c r="K3912" t="n">
        <v>0.7234241552502315</v>
      </c>
      <c r="L3912" t="b">
        <v>1</v>
      </c>
      <c r="M3912" t="b">
        <v>0</v>
      </c>
      <c r="N3912" t="inlineStr">
        <is>
          <t>ref</t>
        </is>
      </c>
      <c r="O3912" t="n">
        <v>25</v>
      </c>
      <c r="P3912" t="n">
        <v>0.007133</v>
      </c>
      <c r="Q3912" t="n">
        <v>-10</v>
      </c>
      <c r="R3912" t="n">
        <v>0.008359999999999999</v>
      </c>
      <c r="S3912">
        <f>IMAGE("https://mitra.stanford.edu/kundaje/oak/projects/neuro-variants/variant_position/credible/roussos_2024/variant_figures/roussos_2024.adolescence.GLU/rs41444144_count_position.png",4,220,900)</f>
        <v/>
      </c>
      <c r="T3912">
        <f>IMAGE("https://mitra.stanford.edu/kundaje/oak/projects/neuro-variants/variant_position/credible/roussos_2024/variant_figures/roussos_2024.adolescence.GLU/rs41444144_profile_position.png",4,220,900)</f>
        <v/>
      </c>
    </row>
    <row r="3913">
      <c r="A3913" t="inlineStr">
        <is>
          <t>chr8</t>
        </is>
      </c>
      <c r="B3913" t="n">
        <v>54698448</v>
      </c>
      <c r="C3913" t="inlineStr">
        <is>
          <t>G</t>
        </is>
      </c>
      <c r="D3913" t="inlineStr">
        <is>
          <t>A</t>
        </is>
      </c>
      <c r="E3913" t="inlineStr">
        <is>
          <t>rs858392</t>
        </is>
      </c>
      <c r="F3913" t="n">
        <v>0.0028805636599999</v>
      </c>
      <c r="G3913" t="n">
        <v>0.6783404899018995</v>
      </c>
      <c r="H3913" t="n">
        <v>0.0151949534703061</v>
      </c>
      <c r="I3913" t="n">
        <v>0.1551607825688264</v>
      </c>
      <c r="J3913" t="n">
        <v>0.0699673503797214</v>
      </c>
      <c r="K3913" t="n">
        <v>0.6416280705723186</v>
      </c>
      <c r="L3913" t="b">
        <v>0</v>
      </c>
      <c r="M3913" t="b">
        <v>0</v>
      </c>
      <c r="N3913" t="inlineStr">
        <is>
          <t>alt</t>
        </is>
      </c>
      <c r="O3913" t="n">
        <v>-100</v>
      </c>
      <c r="P3913" t="n">
        <v>0.01108</v>
      </c>
      <c r="Q3913" t="n">
        <v>25</v>
      </c>
      <c r="R3913" t="n">
        <v>0.02942</v>
      </c>
      <c r="S3913">
        <f>IMAGE("https://mitra.stanford.edu/kundaje/oak/projects/neuro-variants/variant_position/credible/roussos_2024/variant_figures/roussos_2024.adolescence.GLU/rs858392_count_position.png",4,220,900)</f>
        <v/>
      </c>
      <c r="T3913">
        <f>IMAGE("https://mitra.stanford.edu/kundaje/oak/projects/neuro-variants/variant_position/credible/roussos_2024/variant_figures/roussos_2024.adolescence.GLU/rs858392_profile_position.png",4,220,900)</f>
        <v/>
      </c>
    </row>
    <row r="3914">
      <c r="A3914" t="inlineStr">
        <is>
          <t>chr8</t>
        </is>
      </c>
      <c r="B3914" t="n">
        <v>54708353</v>
      </c>
      <c r="C3914" t="inlineStr">
        <is>
          <t>G</t>
        </is>
      </c>
      <c r="D3914" t="inlineStr">
        <is>
          <t>T</t>
        </is>
      </c>
      <c r="E3914" t="inlineStr">
        <is>
          <t>rs72650344</t>
        </is>
      </c>
      <c r="F3914" t="n">
        <v>-6.793750200000013e-05</v>
      </c>
      <c r="G3914" t="n">
        <v>0.8203535227996988</v>
      </c>
      <c r="H3914" t="n">
        <v>0.017654083012475</v>
      </c>
      <c r="I3914" t="n">
        <v>0.0920367148003164</v>
      </c>
      <c r="J3914" t="n">
        <v>0.1705610447878489</v>
      </c>
      <c r="K3914" t="n">
        <v>0.4426881020595552</v>
      </c>
      <c r="L3914" t="b">
        <v>0</v>
      </c>
      <c r="M3914" t="b">
        <v>0</v>
      </c>
      <c r="N3914" t="inlineStr">
        <is>
          <t>ref</t>
        </is>
      </c>
      <c r="O3914" t="n">
        <v>85</v>
      </c>
      <c r="P3914" t="n">
        <v>0.00829</v>
      </c>
      <c r="Q3914" t="n">
        <v>-40</v>
      </c>
      <c r="R3914" t="n">
        <v>0.02924</v>
      </c>
      <c r="S3914">
        <f>IMAGE("https://mitra.stanford.edu/kundaje/oak/projects/neuro-variants/variant_position/credible/roussos_2024/variant_figures/roussos_2024.adolescence.GLU/rs72650344_count_position.png",4,220,900)</f>
        <v/>
      </c>
      <c r="T3914">
        <f>IMAGE("https://mitra.stanford.edu/kundaje/oak/projects/neuro-variants/variant_position/credible/roussos_2024/variant_figures/roussos_2024.adolescence.GLU/rs72650344_profile_position.png",4,220,900)</f>
        <v/>
      </c>
    </row>
    <row r="3915">
      <c r="A3915" t="inlineStr">
        <is>
          <t>chr8</t>
        </is>
      </c>
      <c r="B3915" t="n">
        <v>54828520</v>
      </c>
      <c r="C3915" t="inlineStr">
        <is>
          <t>G</t>
        </is>
      </c>
      <c r="D3915" t="inlineStr">
        <is>
          <t>A</t>
        </is>
      </c>
      <c r="E3915" t="inlineStr">
        <is>
          <t>rs6984055</t>
        </is>
      </c>
      <c r="F3915" t="n">
        <v>-0.0011934874199999</v>
      </c>
      <c r="G3915" t="n">
        <v>0.8478120207339487</v>
      </c>
      <c r="H3915" t="n">
        <v>0.0118000689510806</v>
      </c>
      <c r="I3915" t="n">
        <v>0.3307218126674029</v>
      </c>
      <c r="J3915" t="n">
        <v>0.1419565481421151</v>
      </c>
      <c r="K3915" t="n">
        <v>0.4960629144790948</v>
      </c>
      <c r="L3915" t="b">
        <v>0</v>
      </c>
      <c r="M3915" t="b">
        <v>0</v>
      </c>
      <c r="N3915" t="inlineStr">
        <is>
          <t>ref</t>
        </is>
      </c>
      <c r="O3915" t="n">
        <v>-90</v>
      </c>
      <c r="P3915" t="n">
        <v>0.014114</v>
      </c>
      <c r="Q3915" t="n">
        <v>-25</v>
      </c>
      <c r="R3915" t="n">
        <v>0.02652</v>
      </c>
      <c r="S3915">
        <f>IMAGE("https://mitra.stanford.edu/kundaje/oak/projects/neuro-variants/variant_position/credible/roussos_2024/variant_figures/roussos_2024.adolescence.GLU/rs6984055_count_position.png",4,220,900)</f>
        <v/>
      </c>
      <c r="T3915">
        <f>IMAGE("https://mitra.stanford.edu/kundaje/oak/projects/neuro-variants/variant_position/credible/roussos_2024/variant_figures/roussos_2024.adolescence.GLU/rs6984055_profile_position.png",4,220,900)</f>
        <v/>
      </c>
    </row>
    <row r="3916">
      <c r="A3916" t="inlineStr">
        <is>
          <t>chr8</t>
        </is>
      </c>
      <c r="B3916" t="n">
        <v>54834669</v>
      </c>
      <c r="C3916" t="inlineStr">
        <is>
          <t>T</t>
        </is>
      </c>
      <c r="D3916" t="inlineStr">
        <is>
          <t>G</t>
        </is>
      </c>
      <c r="E3916" t="inlineStr">
        <is>
          <t>rs56956895</t>
        </is>
      </c>
      <c r="F3916" t="n">
        <v>0.036472094</v>
      </c>
      <c r="G3916" t="n">
        <v>0.1292959993968526</v>
      </c>
      <c r="H3916" t="n">
        <v>0.0208111267346394</v>
      </c>
      <c r="I3916" t="n">
        <v>0.0577123668140997</v>
      </c>
      <c r="J3916" t="n">
        <v>0.0164119710511462</v>
      </c>
      <c r="K3916" t="n">
        <v>0.8351474528154551</v>
      </c>
      <c r="L3916" t="b">
        <v>0</v>
      </c>
      <c r="M3916" t="b">
        <v>0</v>
      </c>
      <c r="N3916" t="inlineStr">
        <is>
          <t>alt</t>
        </is>
      </c>
      <c r="O3916" t="n">
        <v>-75</v>
      </c>
      <c r="P3916" t="n">
        <v>0.004166</v>
      </c>
      <c r="Q3916" t="n">
        <v>-90</v>
      </c>
      <c r="R3916" t="n">
        <v>0.0304</v>
      </c>
      <c r="S3916">
        <f>IMAGE("https://mitra.stanford.edu/kundaje/oak/projects/neuro-variants/variant_position/credible/roussos_2024/variant_figures/roussos_2024.adolescence.GLU/rs56956895_count_position.png",4,220,900)</f>
        <v/>
      </c>
      <c r="T3916">
        <f>IMAGE("https://mitra.stanford.edu/kundaje/oak/projects/neuro-variants/variant_position/credible/roussos_2024/variant_figures/roussos_2024.adolescence.GLU/rs56956895_profile_position.png",4,220,900)</f>
        <v/>
      </c>
    </row>
    <row r="3917">
      <c r="A3917" t="inlineStr">
        <is>
          <t>chr8</t>
        </is>
      </c>
      <c r="B3917" t="n">
        <v>54836020</v>
      </c>
      <c r="C3917" t="inlineStr">
        <is>
          <t>C</t>
        </is>
      </c>
      <c r="D3917" t="inlineStr">
        <is>
          <t>T</t>
        </is>
      </c>
      <c r="E3917" t="inlineStr">
        <is>
          <t>rs9298512</t>
        </is>
      </c>
      <c r="F3917" t="n">
        <v>0.0154800576199999</v>
      </c>
      <c r="G3917" t="n">
        <v>0.3749712097868981</v>
      </c>
      <c r="H3917" t="n">
        <v>0.01499038497358</v>
      </c>
      <c r="I3917" t="n">
        <v>0.1690244022509008</v>
      </c>
      <c r="J3917" t="n">
        <v>0.0293946603224953</v>
      </c>
      <c r="K3917" t="n">
        <v>0.7775558471087912</v>
      </c>
      <c r="L3917" t="b">
        <v>0</v>
      </c>
      <c r="M3917" t="b">
        <v>0</v>
      </c>
      <c r="N3917" t="inlineStr">
        <is>
          <t>alt</t>
        </is>
      </c>
      <c r="O3917" t="n">
        <v>-5</v>
      </c>
      <c r="P3917" t="n">
        <v>9.729999999999999e-05</v>
      </c>
      <c r="Q3917" t="n">
        <v>-75</v>
      </c>
      <c r="R3917" t="n">
        <v>0.06616</v>
      </c>
      <c r="S3917">
        <f>IMAGE("https://mitra.stanford.edu/kundaje/oak/projects/neuro-variants/variant_position/credible/roussos_2024/variant_figures/roussos_2024.adolescence.GLU/rs9298512_count_position.png",4,220,900)</f>
        <v/>
      </c>
      <c r="T3917">
        <f>IMAGE("https://mitra.stanford.edu/kundaje/oak/projects/neuro-variants/variant_position/credible/roussos_2024/variant_figures/roussos_2024.adolescence.GLU/rs9298512_profile_position.png",4,220,900)</f>
        <v/>
      </c>
    </row>
    <row r="3918">
      <c r="A3918" t="inlineStr">
        <is>
          <t>chr8</t>
        </is>
      </c>
      <c r="B3918" t="n">
        <v>54869952</v>
      </c>
      <c r="C3918" t="inlineStr">
        <is>
          <t>C</t>
        </is>
      </c>
      <c r="D3918" t="inlineStr">
        <is>
          <t>T</t>
        </is>
      </c>
      <c r="E3918" t="inlineStr">
        <is>
          <t>rs1498180</t>
        </is>
      </c>
      <c r="F3918" t="n">
        <v>0.0105590909</v>
      </c>
      <c r="G3918" t="n">
        <v>0.4889158551627263</v>
      </c>
      <c r="H3918" t="n">
        <v>0.0092033910936218</v>
      </c>
      <c r="I3918" t="n">
        <v>0.6215556616887076</v>
      </c>
      <c r="J3918" t="n">
        <v>0.1471261904251594</v>
      </c>
      <c r="K3918" t="n">
        <v>0.4855712610531189</v>
      </c>
      <c r="L3918" t="b">
        <v>0</v>
      </c>
      <c r="M3918" t="b">
        <v>0</v>
      </c>
      <c r="N3918" t="inlineStr">
        <is>
          <t>alt</t>
        </is>
      </c>
      <c r="O3918" t="n">
        <v>-100</v>
      </c>
      <c r="P3918" t="n">
        <v>0.006943</v>
      </c>
      <c r="Q3918" t="n">
        <v>45</v>
      </c>
      <c r="R3918" t="n">
        <v>0.0708</v>
      </c>
      <c r="S3918">
        <f>IMAGE("https://mitra.stanford.edu/kundaje/oak/projects/neuro-variants/variant_position/credible/roussos_2024/variant_figures/roussos_2024.adolescence.GLU/rs1498180_count_position.png",4,220,900)</f>
        <v/>
      </c>
      <c r="T3918">
        <f>IMAGE("https://mitra.stanford.edu/kundaje/oak/projects/neuro-variants/variant_position/credible/roussos_2024/variant_figures/roussos_2024.adolescence.GLU/rs1498180_profile_position.png",4,220,900)</f>
        <v/>
      </c>
    </row>
    <row r="3919">
      <c r="A3919" t="inlineStr">
        <is>
          <t>chr8</t>
        </is>
      </c>
      <c r="B3919" t="n">
        <v>54876309</v>
      </c>
      <c r="C3919" t="inlineStr">
        <is>
          <t>G</t>
        </is>
      </c>
      <c r="D3919" t="inlineStr">
        <is>
          <t>A</t>
        </is>
      </c>
      <c r="E3919" t="inlineStr">
        <is>
          <t>rs1498179</t>
        </is>
      </c>
      <c r="F3919" t="n">
        <v>-0.0886989628</v>
      </c>
      <c r="G3919" t="n">
        <v>0.0142645276492142</v>
      </c>
      <c r="H3919" t="n">
        <v>0.0133502100454006</v>
      </c>
      <c r="I3919" t="n">
        <v>0.2566617454403767</v>
      </c>
      <c r="J3919" t="n">
        <v>0.2573933171871316</v>
      </c>
      <c r="K3919" t="n">
        <v>0.3248283470315546</v>
      </c>
      <c r="L3919" t="b">
        <v>1</v>
      </c>
      <c r="M3919" t="b">
        <v>0</v>
      </c>
      <c r="N3919" t="inlineStr">
        <is>
          <t>ref</t>
        </is>
      </c>
      <c r="O3919" t="n">
        <v>50</v>
      </c>
      <c r="P3919" t="n">
        <v>0.005573</v>
      </c>
      <c r="Q3919" t="n">
        <v>-80</v>
      </c>
      <c r="R3919" t="n">
        <v>0.0216</v>
      </c>
      <c r="S3919">
        <f>IMAGE("https://mitra.stanford.edu/kundaje/oak/projects/neuro-variants/variant_position/credible/roussos_2024/variant_figures/roussos_2024.adolescence.GLU/rs1498179_count_position.png",4,220,900)</f>
        <v/>
      </c>
      <c r="T3919">
        <f>IMAGE("https://mitra.stanford.edu/kundaje/oak/projects/neuro-variants/variant_position/credible/roussos_2024/variant_figures/roussos_2024.adolescence.GLU/rs1498179_profile_position.png",4,220,900)</f>
        <v/>
      </c>
    </row>
    <row r="3920">
      <c r="A3920" t="inlineStr">
        <is>
          <t>chr8</t>
        </is>
      </c>
      <c r="B3920" t="n">
        <v>54877642</v>
      </c>
      <c r="C3920" t="inlineStr">
        <is>
          <t>T</t>
        </is>
      </c>
      <c r="D3920" t="inlineStr">
        <is>
          <t>G</t>
        </is>
      </c>
      <c r="E3920" t="inlineStr">
        <is>
          <t>rs10108316</t>
        </is>
      </c>
      <c r="F3920" t="n">
        <v>0.0016051943419999</v>
      </c>
      <c r="G3920" t="n">
        <v>0.8142991414671057</v>
      </c>
      <c r="H3920" t="n">
        <v>0.013264853117321</v>
      </c>
      <c r="I3920" t="n">
        <v>0.2456335146661761</v>
      </c>
      <c r="J3920" t="n">
        <v>0.0486143558308506</v>
      </c>
      <c r="K3920" t="n">
        <v>0.7101196293133185</v>
      </c>
      <c r="L3920" t="b">
        <v>0</v>
      </c>
      <c r="M3920" t="b">
        <v>0</v>
      </c>
      <c r="N3920" t="inlineStr">
        <is>
          <t>alt</t>
        </is>
      </c>
      <c r="O3920" t="n">
        <v>-100</v>
      </c>
      <c r="P3920" t="n">
        <v>0.01004</v>
      </c>
      <c r="Q3920" t="n">
        <v>-100</v>
      </c>
      <c r="R3920" t="n">
        <v>0.05804</v>
      </c>
      <c r="S3920">
        <f>IMAGE("https://mitra.stanford.edu/kundaje/oak/projects/neuro-variants/variant_position/credible/roussos_2024/variant_figures/roussos_2024.adolescence.GLU/rs10108316_count_position.png",4,220,900)</f>
        <v/>
      </c>
      <c r="T3920">
        <f>IMAGE("https://mitra.stanford.edu/kundaje/oak/projects/neuro-variants/variant_position/credible/roussos_2024/variant_figures/roussos_2024.adolescence.GLU/rs10108316_profile_position.png",4,220,900)</f>
        <v/>
      </c>
    </row>
    <row r="3921">
      <c r="A3921" t="inlineStr">
        <is>
          <t>chr8</t>
        </is>
      </c>
      <c r="B3921" t="n">
        <v>54964104</v>
      </c>
      <c r="C3921" t="inlineStr">
        <is>
          <t>C</t>
        </is>
      </c>
      <c r="D3921" t="inlineStr">
        <is>
          <t>A</t>
        </is>
      </c>
      <c r="E3921" t="inlineStr">
        <is>
          <t>rs4737804</t>
        </is>
      </c>
      <c r="F3921" t="n">
        <v>-0.00420710944</v>
      </c>
      <c r="G3921" t="n">
        <v>0.7244640240431245</v>
      </c>
      <c r="H3921" t="n">
        <v>0.0070388801738773</v>
      </c>
      <c r="I3921" t="n">
        <v>0.8929680711218061</v>
      </c>
      <c r="J3921" t="n">
        <v>0.0126983446571074</v>
      </c>
      <c r="K3921" t="n">
        <v>0.8642315528795876</v>
      </c>
      <c r="L3921" t="b">
        <v>0</v>
      </c>
      <c r="M3921" t="b">
        <v>0</v>
      </c>
      <c r="N3921" t="inlineStr">
        <is>
          <t>ref</t>
        </is>
      </c>
      <c r="O3921" t="n">
        <v>55</v>
      </c>
      <c r="P3921" t="n">
        <v>0.00476</v>
      </c>
      <c r="Q3921" t="n">
        <v>70</v>
      </c>
      <c r="R3921" t="n">
        <v>0.02338</v>
      </c>
      <c r="S3921">
        <f>IMAGE("https://mitra.stanford.edu/kundaje/oak/projects/neuro-variants/variant_position/credible/roussos_2024/variant_figures/roussos_2024.adolescence.GLU/rs4737804_count_position.png",4,220,900)</f>
        <v/>
      </c>
      <c r="T3921">
        <f>IMAGE("https://mitra.stanford.edu/kundaje/oak/projects/neuro-variants/variant_position/credible/roussos_2024/variant_figures/roussos_2024.adolescence.GLU/rs4737804_profile_position.png",4,220,900)</f>
        <v/>
      </c>
    </row>
    <row r="3922">
      <c r="A3922" t="inlineStr">
        <is>
          <t>chr8</t>
        </is>
      </c>
      <c r="B3922" t="n">
        <v>54975071</v>
      </c>
      <c r="C3922" t="inlineStr">
        <is>
          <t>G</t>
        </is>
      </c>
      <c r="D3922" t="inlineStr">
        <is>
          <t>A</t>
        </is>
      </c>
      <c r="E3922" t="inlineStr">
        <is>
          <t>rs4737807</t>
        </is>
      </c>
      <c r="F3922" t="n">
        <v>0.0277290747999999</v>
      </c>
      <c r="G3922" t="n">
        <v>0.1872986944306538</v>
      </c>
      <c r="H3922" t="n">
        <v>0.0120787036442319</v>
      </c>
      <c r="I3922" t="n">
        <v>0.3473279776840922</v>
      </c>
      <c r="J3922" t="n">
        <v>0.008680369505111699</v>
      </c>
      <c r="K3922" t="n">
        <v>0.890888638128866</v>
      </c>
      <c r="L3922" t="b">
        <v>0</v>
      </c>
      <c r="M3922" t="b">
        <v>0</v>
      </c>
      <c r="N3922" t="inlineStr">
        <is>
          <t>alt</t>
        </is>
      </c>
      <c r="O3922" t="n">
        <v>5</v>
      </c>
      <c r="P3922" t="n">
        <v>0.00095</v>
      </c>
      <c r="Q3922" t="n">
        <v>-100</v>
      </c>
      <c r="R3922" t="n">
        <v>0.0463</v>
      </c>
      <c r="S3922">
        <f>IMAGE("https://mitra.stanford.edu/kundaje/oak/projects/neuro-variants/variant_position/credible/roussos_2024/variant_figures/roussos_2024.adolescence.GLU/rs4737807_count_position.png",4,220,900)</f>
        <v/>
      </c>
      <c r="T3922">
        <f>IMAGE("https://mitra.stanford.edu/kundaje/oak/projects/neuro-variants/variant_position/credible/roussos_2024/variant_figures/roussos_2024.adolescence.GLU/rs4737807_profile_position.png",4,220,900)</f>
        <v/>
      </c>
    </row>
    <row r="3923">
      <c r="A3923" t="inlineStr">
        <is>
          <t>chr8</t>
        </is>
      </c>
      <c r="B3923" t="n">
        <v>54996181</v>
      </c>
      <c r="C3923" t="inlineStr">
        <is>
          <t>G</t>
        </is>
      </c>
      <c r="D3923" t="inlineStr">
        <is>
          <t>T</t>
        </is>
      </c>
      <c r="E3923" t="inlineStr">
        <is>
          <t>rs34401803</t>
        </is>
      </c>
      <c r="F3923" t="n">
        <v>-0.04578992</v>
      </c>
      <c r="G3923" t="n">
        <v>0.0832715793310625</v>
      </c>
      <c r="H3923" t="n">
        <v>0.0181485025430259</v>
      </c>
      <c r="I3923" t="n">
        <v>0.08561344567905139</v>
      </c>
      <c r="J3923" t="n">
        <v>0.1197790970986846</v>
      </c>
      <c r="K3923" t="n">
        <v>0.5373466019365952</v>
      </c>
      <c r="L3923" t="b">
        <v>0</v>
      </c>
      <c r="M3923" t="b">
        <v>0</v>
      </c>
      <c r="N3923" t="inlineStr">
        <is>
          <t>ref</t>
        </is>
      </c>
      <c r="O3923" t="n">
        <v>-60</v>
      </c>
      <c r="P3923" t="n">
        <v>0.003828</v>
      </c>
      <c r="Q3923" t="n">
        <v>-5</v>
      </c>
      <c r="R3923" t="n">
        <v>0.006485</v>
      </c>
      <c r="S3923">
        <f>IMAGE("https://mitra.stanford.edu/kundaje/oak/projects/neuro-variants/variant_position/credible/roussos_2024/variant_figures/roussos_2024.adolescence.GLU/rs34401803_count_position.png",4,220,900)</f>
        <v/>
      </c>
      <c r="T3923">
        <f>IMAGE("https://mitra.stanford.edu/kundaje/oak/projects/neuro-variants/variant_position/credible/roussos_2024/variant_figures/roussos_2024.adolescence.GLU/rs34401803_profile_position.png",4,220,900)</f>
        <v/>
      </c>
    </row>
    <row r="3924">
      <c r="A3924" t="inlineStr">
        <is>
          <t>chr8</t>
        </is>
      </c>
      <c r="B3924" t="n">
        <v>54997456</v>
      </c>
      <c r="C3924" t="inlineStr">
        <is>
          <t>T</t>
        </is>
      </c>
      <c r="D3924" t="inlineStr">
        <is>
          <t>C</t>
        </is>
      </c>
      <c r="E3924" t="inlineStr">
        <is>
          <t>rs17332014</t>
        </is>
      </c>
      <c r="F3924" t="n">
        <v>0.01331425324</v>
      </c>
      <c r="G3924" t="n">
        <v>0.4099953756583988</v>
      </c>
      <c r="H3924" t="n">
        <v>0.0116062652288859</v>
      </c>
      <c r="I3924" t="n">
        <v>0.3510156499430823</v>
      </c>
      <c r="J3924" t="n">
        <v>0.190865250659065</v>
      </c>
      <c r="K3924" t="n">
        <v>0.4193901539269868</v>
      </c>
      <c r="L3924" t="b">
        <v>0</v>
      </c>
      <c r="M3924" t="b">
        <v>0</v>
      </c>
      <c r="N3924" t="inlineStr">
        <is>
          <t>alt</t>
        </is>
      </c>
      <c r="O3924" t="n">
        <v>-10</v>
      </c>
      <c r="P3924" t="n">
        <v>0.001389</v>
      </c>
      <c r="Q3924" t="n">
        <v>-100</v>
      </c>
      <c r="R3924" t="n">
        <v>0.09030000000000001</v>
      </c>
      <c r="S3924">
        <f>IMAGE("https://mitra.stanford.edu/kundaje/oak/projects/neuro-variants/variant_position/credible/roussos_2024/variant_figures/roussos_2024.adolescence.GLU/rs17332014_count_position.png",4,220,900)</f>
        <v/>
      </c>
      <c r="T3924">
        <f>IMAGE("https://mitra.stanford.edu/kundaje/oak/projects/neuro-variants/variant_position/credible/roussos_2024/variant_figures/roussos_2024.adolescence.GLU/rs17332014_profile_position.png",4,220,900)</f>
        <v/>
      </c>
    </row>
    <row r="3925">
      <c r="A3925" t="inlineStr">
        <is>
          <t>chr8</t>
        </is>
      </c>
      <c r="B3925" t="n">
        <v>59712759</v>
      </c>
      <c r="C3925" t="inlineStr">
        <is>
          <t>C</t>
        </is>
      </c>
      <c r="D3925" t="inlineStr">
        <is>
          <t>T</t>
        </is>
      </c>
      <c r="E3925" t="inlineStr">
        <is>
          <t>rs6983076</t>
        </is>
      </c>
      <c r="F3925" t="n">
        <v>0.0168506973</v>
      </c>
      <c r="G3925" t="n">
        <v>0.3361245019557778</v>
      </c>
      <c r="H3925" t="n">
        <v>0.0095555830224961</v>
      </c>
      <c r="I3925" t="n">
        <v>0.5551919188658846</v>
      </c>
      <c r="J3925" t="n">
        <v>0.1071107586571503</v>
      </c>
      <c r="K3925" t="n">
        <v>0.561444367469992</v>
      </c>
      <c r="L3925" t="b">
        <v>0</v>
      </c>
      <c r="M3925" t="b">
        <v>0</v>
      </c>
      <c r="N3925" t="inlineStr">
        <is>
          <t>alt</t>
        </is>
      </c>
      <c r="O3925" t="n">
        <v>60</v>
      </c>
      <c r="P3925" t="n">
        <v>0.001495</v>
      </c>
      <c r="Q3925" t="n">
        <v>45</v>
      </c>
      <c r="R3925" t="n">
        <v>0.004517</v>
      </c>
      <c r="S3925">
        <f>IMAGE("https://mitra.stanford.edu/kundaje/oak/projects/neuro-variants/variant_position/credible/roussos_2024/variant_figures/roussos_2024.adolescence.GLU/rs6983076_count_position.png",4,220,900)</f>
        <v/>
      </c>
      <c r="T3925">
        <f>IMAGE("https://mitra.stanford.edu/kundaje/oak/projects/neuro-variants/variant_position/credible/roussos_2024/variant_figures/roussos_2024.adolescence.GLU/rs6983076_profile_position.png",4,220,900)</f>
        <v/>
      </c>
    </row>
    <row r="3926">
      <c r="A3926" t="inlineStr">
        <is>
          <t>chr8</t>
        </is>
      </c>
      <c r="B3926" t="n">
        <v>59762350</v>
      </c>
      <c r="C3926" t="inlineStr">
        <is>
          <t>C</t>
        </is>
      </c>
      <c r="D3926" t="inlineStr">
        <is>
          <t>T</t>
        </is>
      </c>
      <c r="E3926" t="inlineStr">
        <is>
          <t>rs7835908</t>
        </is>
      </c>
      <c r="F3926" t="n">
        <v>-0.0444629386</v>
      </c>
      <c r="G3926" t="n">
        <v>0.09136262604730459</v>
      </c>
      <c r="H3926" t="n">
        <v>0.010721558665912</v>
      </c>
      <c r="I3926" t="n">
        <v>0.4557946784304627</v>
      </c>
      <c r="J3926" t="n">
        <v>0.4566774546155988</v>
      </c>
      <c r="K3926" t="n">
        <v>0.1190370008084086</v>
      </c>
      <c r="L3926" t="b">
        <v>0</v>
      </c>
      <c r="M3926" t="b">
        <v>0</v>
      </c>
      <c r="N3926" t="inlineStr">
        <is>
          <t>ref</t>
        </is>
      </c>
      <c r="O3926" t="n">
        <v>50</v>
      </c>
      <c r="P3926" t="n">
        <v>0.002132</v>
      </c>
      <c r="Q3926" t="n">
        <v>0</v>
      </c>
      <c r="R3926" t="n">
        <v>0</v>
      </c>
      <c r="S3926">
        <f>IMAGE("https://mitra.stanford.edu/kundaje/oak/projects/neuro-variants/variant_position/credible/roussos_2024/variant_figures/roussos_2024.adolescence.GLU/rs7835908_count_position.png",4,220,900)</f>
        <v/>
      </c>
      <c r="T3926">
        <f>IMAGE("https://mitra.stanford.edu/kundaje/oak/projects/neuro-variants/variant_position/credible/roussos_2024/variant_figures/roussos_2024.adolescence.GLU/rs7835908_profile_position.png",4,220,900)</f>
        <v/>
      </c>
    </row>
    <row r="3927">
      <c r="A3927" t="inlineStr">
        <is>
          <t>chr8</t>
        </is>
      </c>
      <c r="B3927" t="n">
        <v>59779158</v>
      </c>
      <c r="C3927" t="inlineStr">
        <is>
          <t>T</t>
        </is>
      </c>
      <c r="D3927" t="inlineStr">
        <is>
          <t>G</t>
        </is>
      </c>
      <c r="E3927" t="inlineStr">
        <is>
          <t>rs12680715</t>
        </is>
      </c>
      <c r="F3927" t="n">
        <v>0.0088032568399999</v>
      </c>
      <c r="G3927" t="n">
        <v>0.4887708117942644</v>
      </c>
      <c r="H3927" t="n">
        <v>0.0071928247135131</v>
      </c>
      <c r="I3927" t="n">
        <v>0.8940664488649301</v>
      </c>
      <c r="J3927" t="n">
        <v>0.2364204013688549</v>
      </c>
      <c r="K3927" t="n">
        <v>0.3485689774409433</v>
      </c>
      <c r="L3927" t="b">
        <v>0</v>
      </c>
      <c r="M3927" t="b">
        <v>0</v>
      </c>
      <c r="N3927" t="inlineStr">
        <is>
          <t>alt</t>
        </is>
      </c>
      <c r="O3927" t="n">
        <v>100</v>
      </c>
      <c r="P3927" t="n">
        <v>0.02571</v>
      </c>
      <c r="Q3927" t="n">
        <v>70</v>
      </c>
      <c r="R3927" t="n">
        <v>0.04486</v>
      </c>
      <c r="S3927">
        <f>IMAGE("https://mitra.stanford.edu/kundaje/oak/projects/neuro-variants/variant_position/credible/roussos_2024/variant_figures/roussos_2024.adolescence.GLU/rs12680715_count_position.png",4,220,900)</f>
        <v/>
      </c>
      <c r="T3927">
        <f>IMAGE("https://mitra.stanford.edu/kundaje/oak/projects/neuro-variants/variant_position/credible/roussos_2024/variant_figures/roussos_2024.adolescence.GLU/rs12680715_profile_position.png",4,220,900)</f>
        <v/>
      </c>
    </row>
    <row r="3928">
      <c r="A3928" t="inlineStr">
        <is>
          <t>chr8</t>
        </is>
      </c>
      <c r="B3928" t="n">
        <v>59782341</v>
      </c>
      <c r="C3928" t="inlineStr">
        <is>
          <t>C</t>
        </is>
      </c>
      <c r="D3928" t="inlineStr">
        <is>
          <t>A</t>
        </is>
      </c>
      <c r="E3928" t="inlineStr">
        <is>
          <t>rs907211</t>
        </is>
      </c>
      <c r="F3928" t="n">
        <v>0.02039889836</v>
      </c>
      <c r="G3928" t="n">
        <v>0.316040495721107</v>
      </c>
      <c r="H3928" t="n">
        <v>0.0161552595777955</v>
      </c>
      <c r="I3928" t="n">
        <v>0.1443780024623239</v>
      </c>
      <c r="J3928" t="n">
        <v>0.1775467775467775</v>
      </c>
      <c r="K3928" t="n">
        <v>0.4279866657413861</v>
      </c>
      <c r="L3928" t="b">
        <v>0</v>
      </c>
      <c r="M3928" t="b">
        <v>0</v>
      </c>
      <c r="N3928" t="inlineStr">
        <is>
          <t>alt</t>
        </is>
      </c>
      <c r="O3928" t="n">
        <v>20</v>
      </c>
      <c r="P3928" t="n">
        <v>0.01074</v>
      </c>
      <c r="Q3928" t="n">
        <v>100</v>
      </c>
      <c r="R3928" t="n">
        <v>0.05396</v>
      </c>
      <c r="S3928">
        <f>IMAGE("https://mitra.stanford.edu/kundaje/oak/projects/neuro-variants/variant_position/credible/roussos_2024/variant_figures/roussos_2024.adolescence.GLU/rs907211_count_position.png",4,220,900)</f>
        <v/>
      </c>
      <c r="T3928">
        <f>IMAGE("https://mitra.stanford.edu/kundaje/oak/projects/neuro-variants/variant_position/credible/roussos_2024/variant_figures/roussos_2024.adolescence.GLU/rs907211_profile_position.png",4,220,900)</f>
        <v/>
      </c>
    </row>
    <row r="3929">
      <c r="A3929" t="inlineStr">
        <is>
          <t>chr8</t>
        </is>
      </c>
      <c r="B3929" t="n">
        <v>59783967</v>
      </c>
      <c r="C3929" t="inlineStr">
        <is>
          <t>T</t>
        </is>
      </c>
      <c r="D3929" t="inlineStr">
        <is>
          <t>C</t>
        </is>
      </c>
      <c r="E3929" t="inlineStr">
        <is>
          <t>rs1473594</t>
        </is>
      </c>
      <c r="F3929" t="n">
        <v>0.0542855208</v>
      </c>
      <c r="G3929" t="n">
        <v>0.0477075883170444</v>
      </c>
      <c r="H3929" t="n">
        <v>0.0123128006062034</v>
      </c>
      <c r="I3929" t="n">
        <v>0.287707585110609</v>
      </c>
      <c r="J3929" t="n">
        <v>0.0456394538868765</v>
      </c>
      <c r="K3929" t="n">
        <v>0.7265927998177233</v>
      </c>
      <c r="L3929" t="b">
        <v>0</v>
      </c>
      <c r="M3929" t="b">
        <v>0</v>
      </c>
      <c r="N3929" t="inlineStr">
        <is>
          <t>alt</t>
        </is>
      </c>
      <c r="O3929" t="n">
        <v>-100</v>
      </c>
      <c r="P3929" t="n">
        <v>0.00507</v>
      </c>
      <c r="Q3929" t="n">
        <v>-5</v>
      </c>
      <c r="R3929" t="n">
        <v>0.01123</v>
      </c>
      <c r="S3929">
        <f>IMAGE("https://mitra.stanford.edu/kundaje/oak/projects/neuro-variants/variant_position/credible/roussos_2024/variant_figures/roussos_2024.adolescence.GLU/rs1473594_count_position.png",4,220,900)</f>
        <v/>
      </c>
      <c r="T3929">
        <f>IMAGE("https://mitra.stanford.edu/kundaje/oak/projects/neuro-variants/variant_position/credible/roussos_2024/variant_figures/roussos_2024.adolescence.GLU/rs1473594_profile_position.png",4,220,900)</f>
        <v/>
      </c>
    </row>
    <row r="3930">
      <c r="A3930" t="inlineStr">
        <is>
          <t>chr8</t>
        </is>
      </c>
      <c r="B3930" t="n">
        <v>59798438</v>
      </c>
      <c r="C3930" t="inlineStr">
        <is>
          <t>G</t>
        </is>
      </c>
      <c r="D3930" t="inlineStr">
        <is>
          <t>T</t>
        </is>
      </c>
      <c r="E3930" t="inlineStr">
        <is>
          <t>rs1034516</t>
        </is>
      </c>
      <c r="F3930" t="n">
        <v>0.0034343014999999</v>
      </c>
      <c r="G3930" t="n">
        <v>0.7445869542434684</v>
      </c>
      <c r="H3930" t="n">
        <v>0.0097725172130817</v>
      </c>
      <c r="I3930" t="n">
        <v>0.5707696280975083</v>
      </c>
      <c r="J3930" t="n">
        <v>0.0497374456137342</v>
      </c>
      <c r="K3930" t="n">
        <v>0.7029874165546828</v>
      </c>
      <c r="L3930" t="b">
        <v>0</v>
      </c>
      <c r="M3930" t="b">
        <v>0</v>
      </c>
      <c r="N3930" t="inlineStr">
        <is>
          <t>alt</t>
        </is>
      </c>
      <c r="O3930" t="n">
        <v>100</v>
      </c>
      <c r="P3930" t="n">
        <v>0.02643</v>
      </c>
      <c r="Q3930" t="n">
        <v>100</v>
      </c>
      <c r="R3930" t="n">
        <v>0.02374</v>
      </c>
      <c r="S3930">
        <f>IMAGE("https://mitra.stanford.edu/kundaje/oak/projects/neuro-variants/variant_position/credible/roussos_2024/variant_figures/roussos_2024.adolescence.GLU/rs1034516_count_position.png",4,220,900)</f>
        <v/>
      </c>
      <c r="T3930">
        <f>IMAGE("https://mitra.stanford.edu/kundaje/oak/projects/neuro-variants/variant_position/credible/roussos_2024/variant_figures/roussos_2024.adolescence.GLU/rs1034516_profile_position.png",4,220,900)</f>
        <v/>
      </c>
    </row>
    <row r="3931">
      <c r="A3931" t="inlineStr">
        <is>
          <t>chr8</t>
        </is>
      </c>
      <c r="B3931" t="n">
        <v>59800123</v>
      </c>
      <c r="C3931" t="inlineStr">
        <is>
          <t>T</t>
        </is>
      </c>
      <c r="D3931" t="inlineStr">
        <is>
          <t>C</t>
        </is>
      </c>
      <c r="E3931" t="inlineStr">
        <is>
          <t>rs1034517</t>
        </is>
      </c>
      <c r="F3931" t="n">
        <v>-0.01183336084</v>
      </c>
      <c r="G3931" t="n">
        <v>0.5057950426145711</v>
      </c>
      <c r="H3931" t="n">
        <v>0.012055028950863</v>
      </c>
      <c r="I3931" t="n">
        <v>0.3378455858875388</v>
      </c>
      <c r="J3931" t="n">
        <v>0.0116338384379621</v>
      </c>
      <c r="K3931" t="n">
        <v>0.8705446458023873</v>
      </c>
      <c r="L3931" t="b">
        <v>0</v>
      </c>
      <c r="M3931" t="b">
        <v>0</v>
      </c>
      <c r="N3931" t="inlineStr">
        <is>
          <t>ref</t>
        </is>
      </c>
      <c r="O3931" t="n">
        <v>-90</v>
      </c>
      <c r="P3931" t="n">
        <v>0.02422</v>
      </c>
      <c r="Q3931" t="n">
        <v>-50</v>
      </c>
      <c r="R3931" t="n">
        <v>0.02164</v>
      </c>
      <c r="S3931">
        <f>IMAGE("https://mitra.stanford.edu/kundaje/oak/projects/neuro-variants/variant_position/credible/roussos_2024/variant_figures/roussos_2024.adolescence.GLU/rs1034517_count_position.png",4,220,900)</f>
        <v/>
      </c>
      <c r="T3931">
        <f>IMAGE("https://mitra.stanford.edu/kundaje/oak/projects/neuro-variants/variant_position/credible/roussos_2024/variant_figures/roussos_2024.adolescence.GLU/rs1034517_profile_position.png",4,220,900)</f>
        <v/>
      </c>
    </row>
    <row r="3932">
      <c r="A3932" t="inlineStr">
        <is>
          <t>chr8</t>
        </is>
      </c>
      <c r="B3932" t="n">
        <v>59802172</v>
      </c>
      <c r="C3932" t="inlineStr">
        <is>
          <t>G</t>
        </is>
      </c>
      <c r="D3932" t="inlineStr">
        <is>
          <t>A</t>
        </is>
      </c>
      <c r="E3932" t="inlineStr">
        <is>
          <t>rs10504300</t>
        </is>
      </c>
      <c r="F3932" t="n">
        <v>0.0257492186</v>
      </c>
      <c r="G3932" t="n">
        <v>0.2064166654717811</v>
      </c>
      <c r="H3932" t="n">
        <v>0.0207602703232136</v>
      </c>
      <c r="I3932" t="n">
        <v>0.048326414764038</v>
      </c>
      <c r="J3932" t="n">
        <v>0.0134999392731351</v>
      </c>
      <c r="K3932" t="n">
        <v>0.8575650514610714</v>
      </c>
      <c r="L3932" t="b">
        <v>0</v>
      </c>
      <c r="M3932" t="b">
        <v>0</v>
      </c>
      <c r="N3932" t="inlineStr">
        <is>
          <t>alt</t>
        </is>
      </c>
      <c r="O3932" t="n">
        <v>15</v>
      </c>
      <c r="P3932" t="n">
        <v>0.003159</v>
      </c>
      <c r="Q3932" t="n">
        <v>-20</v>
      </c>
      <c r="R3932" t="n">
        <v>0.0213</v>
      </c>
      <c r="S3932">
        <f>IMAGE("https://mitra.stanford.edu/kundaje/oak/projects/neuro-variants/variant_position/credible/roussos_2024/variant_figures/roussos_2024.adolescence.GLU/rs10504300_count_position.png",4,220,900)</f>
        <v/>
      </c>
      <c r="T3932">
        <f>IMAGE("https://mitra.stanford.edu/kundaje/oak/projects/neuro-variants/variant_position/credible/roussos_2024/variant_figures/roussos_2024.adolescence.GLU/rs10504300_profile_position.png",4,220,900)</f>
        <v/>
      </c>
    </row>
    <row r="3933">
      <c r="A3933" t="inlineStr">
        <is>
          <t>chr8</t>
        </is>
      </c>
      <c r="B3933" t="n">
        <v>59875381</v>
      </c>
      <c r="C3933" t="inlineStr">
        <is>
          <t>C</t>
        </is>
      </c>
      <c r="D3933" t="inlineStr">
        <is>
          <t>T</t>
        </is>
      </c>
      <c r="E3933" t="inlineStr">
        <is>
          <t>rs7017555</t>
        </is>
      </c>
      <c r="F3933" t="n">
        <v>-0.0544815848</v>
      </c>
      <c r="G3933" t="n">
        <v>0.0538549515012783</v>
      </c>
      <c r="H3933" t="n">
        <v>0.0115859745546914</v>
      </c>
      <c r="I3933" t="n">
        <v>0.3570594363161587</v>
      </c>
      <c r="J3933" t="n">
        <v>0.5766423044773561</v>
      </c>
      <c r="K3933" t="n">
        <v>0.0475691617447456</v>
      </c>
      <c r="L3933" t="b">
        <v>0</v>
      </c>
      <c r="M3933" t="b">
        <v>0</v>
      </c>
      <c r="N3933" t="inlineStr">
        <is>
          <t>ref</t>
        </is>
      </c>
      <c r="O3933" t="n">
        <v>65</v>
      </c>
      <c r="P3933" t="n">
        <v>0.003277</v>
      </c>
      <c r="Q3933" t="n">
        <v>30</v>
      </c>
      <c r="R3933" t="n">
        <v>0.04504</v>
      </c>
      <c r="S3933">
        <f>IMAGE("https://mitra.stanford.edu/kundaje/oak/projects/neuro-variants/variant_position/credible/roussos_2024/variant_figures/roussos_2024.adolescence.GLU/rs7017555_count_position.png",4,220,900)</f>
        <v/>
      </c>
      <c r="T3933">
        <f>IMAGE("https://mitra.stanford.edu/kundaje/oak/projects/neuro-variants/variant_position/credible/roussos_2024/variant_figures/roussos_2024.adolescence.GLU/rs7017555_profile_position.png",4,220,900)</f>
        <v/>
      </c>
    </row>
    <row r="3934">
      <c r="A3934" t="inlineStr">
        <is>
          <t>chr8</t>
        </is>
      </c>
      <c r="B3934" t="n">
        <v>59957960</v>
      </c>
      <c r="C3934" t="inlineStr">
        <is>
          <t>G</t>
        </is>
      </c>
      <c r="D3934" t="inlineStr">
        <is>
          <t>A</t>
        </is>
      </c>
      <c r="E3934" t="inlineStr">
        <is>
          <t>rs782022</t>
        </is>
      </c>
      <c r="F3934" t="n">
        <v>-0.0243151508</v>
      </c>
      <c r="G3934" t="n">
        <v>0.2391720527639996</v>
      </c>
      <c r="H3934" t="n">
        <v>0.0113909813654645</v>
      </c>
      <c r="I3934" t="n">
        <v>0.3797933636324143</v>
      </c>
      <c r="J3934" t="n">
        <v>0.0444392052639474</v>
      </c>
      <c r="K3934" t="n">
        <v>0.7252348092860493</v>
      </c>
      <c r="L3934" t="b">
        <v>0</v>
      </c>
      <c r="M3934" t="b">
        <v>0</v>
      </c>
      <c r="N3934" t="inlineStr">
        <is>
          <t>ref</t>
        </is>
      </c>
      <c r="O3934" t="n">
        <v>75</v>
      </c>
      <c r="P3934" t="n">
        <v>0.003517</v>
      </c>
      <c r="Q3934" t="n">
        <v>-20</v>
      </c>
      <c r="R3934" t="n">
        <v>0.01888</v>
      </c>
      <c r="S3934">
        <f>IMAGE("https://mitra.stanford.edu/kundaje/oak/projects/neuro-variants/variant_position/credible/roussos_2024/variant_figures/roussos_2024.adolescence.GLU/rs782022_count_position.png",4,220,900)</f>
        <v/>
      </c>
      <c r="T3934">
        <f>IMAGE("https://mitra.stanford.edu/kundaje/oak/projects/neuro-variants/variant_position/credible/roussos_2024/variant_figures/roussos_2024.adolescence.GLU/rs782022_profile_position.png",4,220,900)</f>
        <v/>
      </c>
    </row>
    <row r="3935">
      <c r="A3935" t="inlineStr">
        <is>
          <t>chr8</t>
        </is>
      </c>
      <c r="B3935" t="n">
        <v>59963041</v>
      </c>
      <c r="C3935" t="inlineStr">
        <is>
          <t>T</t>
        </is>
      </c>
      <c r="D3935" t="inlineStr">
        <is>
          <t>C</t>
        </is>
      </c>
      <c r="E3935" t="inlineStr">
        <is>
          <t>rs522182</t>
        </is>
      </c>
      <c r="F3935" t="n">
        <v>-0.0015705189839999</v>
      </c>
      <c r="G3935" t="n">
        <v>0.7579003412673172</v>
      </c>
      <c r="H3935" t="n">
        <v>0.009371963200504201</v>
      </c>
      <c r="I3935" t="n">
        <v>0.5982000348793546</v>
      </c>
      <c r="J3935" t="n">
        <v>0.0063055918726021</v>
      </c>
      <c r="K3935" t="n">
        <v>0.908955929503369</v>
      </c>
      <c r="L3935" t="b">
        <v>0</v>
      </c>
      <c r="M3935" t="b">
        <v>0</v>
      </c>
      <c r="N3935" t="inlineStr">
        <is>
          <t>ref</t>
        </is>
      </c>
      <c r="O3935" t="n">
        <v>-75</v>
      </c>
      <c r="P3935" t="n">
        <v>0.0049</v>
      </c>
      <c r="Q3935" t="n">
        <v>-25</v>
      </c>
      <c r="R3935" t="n">
        <v>0.03143</v>
      </c>
      <c r="S3935">
        <f>IMAGE("https://mitra.stanford.edu/kundaje/oak/projects/neuro-variants/variant_position/credible/roussos_2024/variant_figures/roussos_2024.adolescence.GLU/rs522182_count_position.png",4,220,900)</f>
        <v/>
      </c>
      <c r="T3935">
        <f>IMAGE("https://mitra.stanford.edu/kundaje/oak/projects/neuro-variants/variant_position/credible/roussos_2024/variant_figures/roussos_2024.adolescence.GLU/rs522182_profile_position.png",4,220,900)</f>
        <v/>
      </c>
    </row>
    <row r="3936">
      <c r="A3936" t="inlineStr">
        <is>
          <t>chr8</t>
        </is>
      </c>
      <c r="B3936" t="n">
        <v>64377812</v>
      </c>
      <c r="C3936" t="inlineStr">
        <is>
          <t>A</t>
        </is>
      </c>
      <c r="D3936" t="inlineStr">
        <is>
          <t>G</t>
        </is>
      </c>
      <c r="E3936" t="inlineStr">
        <is>
          <t>rs298210</t>
        </is>
      </c>
      <c r="F3936" t="n">
        <v>0.0410498252</v>
      </c>
      <c r="G3936" t="n">
        <v>0.0975418376898648</v>
      </c>
      <c r="H3936" t="n">
        <v>0.0128740546779107</v>
      </c>
      <c r="I3936" t="n">
        <v>0.2601932981966106</v>
      </c>
      <c r="J3936" t="n">
        <v>0.8532381707639439</v>
      </c>
      <c r="K3936" t="n">
        <v>0.005505598921713</v>
      </c>
      <c r="L3936" t="b">
        <v>0</v>
      </c>
      <c r="M3936" t="b">
        <v>0</v>
      </c>
      <c r="N3936" t="inlineStr">
        <is>
          <t>alt</t>
        </is>
      </c>
      <c r="O3936" t="n">
        <v>40</v>
      </c>
      <c r="P3936" t="n">
        <v>0.000931</v>
      </c>
      <c r="Q3936" t="n">
        <v>-80</v>
      </c>
      <c r="R3936" t="n">
        <v>0.015015</v>
      </c>
      <c r="S3936">
        <f>IMAGE("https://mitra.stanford.edu/kundaje/oak/projects/neuro-variants/variant_position/credible/roussos_2024/variant_figures/roussos_2024.adolescence.GLU/rs298210_count_position.png",4,220,900)</f>
        <v/>
      </c>
      <c r="T3936">
        <f>IMAGE("https://mitra.stanford.edu/kundaje/oak/projects/neuro-variants/variant_position/credible/roussos_2024/variant_figures/roussos_2024.adolescence.GLU/rs298210_profile_position.png",4,220,900)</f>
        <v/>
      </c>
    </row>
    <row r="3937">
      <c r="A3937" t="inlineStr">
        <is>
          <t>chr8</t>
        </is>
      </c>
      <c r="B3937" t="n">
        <v>64385043</v>
      </c>
      <c r="C3937" t="inlineStr">
        <is>
          <t>G</t>
        </is>
      </c>
      <c r="D3937" t="inlineStr">
        <is>
          <t>T</t>
        </is>
      </c>
      <c r="E3937" t="inlineStr">
        <is>
          <t>rs298199</t>
        </is>
      </c>
      <c r="F3937" t="n">
        <v>0.00443584198</v>
      </c>
      <c r="G3937" t="n">
        <v>0.7462607094452327</v>
      </c>
      <c r="H3937" t="n">
        <v>0.0285007059783408</v>
      </c>
      <c r="I3937" t="n">
        <v>0.010893451164055</v>
      </c>
      <c r="J3937" t="n">
        <v>0.1398704017260718</v>
      </c>
      <c r="K3937" t="n">
        <v>0.4826280590773282</v>
      </c>
      <c r="L3937" t="b">
        <v>1</v>
      </c>
      <c r="M3937" t="b">
        <v>0</v>
      </c>
      <c r="N3937" t="inlineStr">
        <is>
          <t>alt</t>
        </is>
      </c>
      <c r="O3937" t="n">
        <v>-10</v>
      </c>
      <c r="P3937" t="n">
        <v>0.001511</v>
      </c>
      <c r="Q3937" t="n">
        <v>35</v>
      </c>
      <c r="R3937" t="n">
        <v>0.01514</v>
      </c>
      <c r="S3937">
        <f>IMAGE("https://mitra.stanford.edu/kundaje/oak/projects/neuro-variants/variant_position/credible/roussos_2024/variant_figures/roussos_2024.adolescence.GLU/rs298199_count_position.png",4,220,900)</f>
        <v/>
      </c>
      <c r="T3937">
        <f>IMAGE("https://mitra.stanford.edu/kundaje/oak/projects/neuro-variants/variant_position/credible/roussos_2024/variant_figures/roussos_2024.adolescence.GLU/rs298199_profile_position.png",4,220,900)</f>
        <v/>
      </c>
    </row>
    <row r="3938">
      <c r="A3938" t="inlineStr">
        <is>
          <t>chr8</t>
        </is>
      </c>
      <c r="B3938" t="n">
        <v>64385745</v>
      </c>
      <c r="C3938" t="inlineStr">
        <is>
          <t>A</t>
        </is>
      </c>
      <c r="D3938" t="inlineStr">
        <is>
          <t>G</t>
        </is>
      </c>
      <c r="E3938" t="inlineStr">
        <is>
          <t>rs298200</t>
        </is>
      </c>
      <c r="F3938" t="n">
        <v>0.0032683710759999</v>
      </c>
      <c r="G3938" t="n">
        <v>0.8035024298486874</v>
      </c>
      <c r="H3938" t="n">
        <v>0.0142652971574769</v>
      </c>
      <c r="I3938" t="n">
        <v>0.1881760526075321</v>
      </c>
      <c r="J3938" t="n">
        <v>0.1532260253909738</v>
      </c>
      <c r="K3938" t="n">
        <v>0.4650251087284839</v>
      </c>
      <c r="L3938" t="b">
        <v>0</v>
      </c>
      <c r="M3938" t="b">
        <v>0</v>
      </c>
      <c r="N3938" t="inlineStr">
        <is>
          <t>alt</t>
        </is>
      </c>
      <c r="O3938" t="n">
        <v>-100</v>
      </c>
      <c r="P3938" t="n">
        <v>0.0193</v>
      </c>
      <c r="Q3938" t="n">
        <v>-95</v>
      </c>
      <c r="R3938" t="n">
        <v>0.1357</v>
      </c>
      <c r="S3938">
        <f>IMAGE("https://mitra.stanford.edu/kundaje/oak/projects/neuro-variants/variant_position/credible/roussos_2024/variant_figures/roussos_2024.adolescence.GLU/rs298200_count_position.png",4,220,900)</f>
        <v/>
      </c>
      <c r="T3938">
        <f>IMAGE("https://mitra.stanford.edu/kundaje/oak/projects/neuro-variants/variant_position/credible/roussos_2024/variant_figures/roussos_2024.adolescence.GLU/rs298200_profile_position.png",4,220,900)</f>
        <v/>
      </c>
    </row>
    <row r="3939">
      <c r="A3939" t="inlineStr">
        <is>
          <t>chr8</t>
        </is>
      </c>
      <c r="B3939" t="n">
        <v>64388316</v>
      </c>
      <c r="C3939" t="inlineStr">
        <is>
          <t>G</t>
        </is>
      </c>
      <c r="D3939" t="inlineStr">
        <is>
          <t>A</t>
        </is>
      </c>
      <c r="E3939" t="inlineStr">
        <is>
          <t>rs298179</t>
        </is>
      </c>
      <c r="F3939" t="n">
        <v>0.0378686722199999</v>
      </c>
      <c r="G3939" t="n">
        <v>0.1418303347993622</v>
      </c>
      <c r="H3939" t="n">
        <v>0.0297593105966864</v>
      </c>
      <c r="I3939" t="n">
        <v>0.0161834078283437</v>
      </c>
      <c r="J3939" t="n">
        <v>0.0334369262204313</v>
      </c>
      <c r="K3939" t="n">
        <v>0.7653688442955755</v>
      </c>
      <c r="L3939" t="b">
        <v>1</v>
      </c>
      <c r="M3939" t="b">
        <v>0</v>
      </c>
      <c r="N3939" t="inlineStr">
        <is>
          <t>alt</t>
        </is>
      </c>
      <c r="O3939" t="n">
        <v>75</v>
      </c>
      <c r="P3939" t="n">
        <v>0.0175</v>
      </c>
      <c r="Q3939" t="n">
        <v>100</v>
      </c>
      <c r="R3939" t="n">
        <v>0.04025</v>
      </c>
      <c r="S3939">
        <f>IMAGE("https://mitra.stanford.edu/kundaje/oak/projects/neuro-variants/variant_position/credible/roussos_2024/variant_figures/roussos_2024.adolescence.GLU/rs298179_count_position.png",4,220,900)</f>
        <v/>
      </c>
      <c r="T3939">
        <f>IMAGE("https://mitra.stanford.edu/kundaje/oak/projects/neuro-variants/variant_position/credible/roussos_2024/variant_figures/roussos_2024.adolescence.GLU/rs298179_profile_position.png",4,220,900)</f>
        <v/>
      </c>
    </row>
    <row r="3940">
      <c r="A3940" t="inlineStr">
        <is>
          <t>chr8</t>
        </is>
      </c>
      <c r="B3940" t="n">
        <v>64397614</v>
      </c>
      <c r="C3940" t="inlineStr">
        <is>
          <t>G</t>
        </is>
      </c>
      <c r="D3940" t="inlineStr">
        <is>
          <t>A</t>
        </is>
      </c>
      <c r="E3940" t="inlineStr">
        <is>
          <t>rs2577907</t>
        </is>
      </c>
      <c r="F3940" t="n">
        <v>-0.008992305399999999</v>
      </c>
      <c r="G3940" t="n">
        <v>0.5569297432326806</v>
      </c>
      <c r="H3940" t="n">
        <v>0.0151194534866549</v>
      </c>
      <c r="I3940" t="n">
        <v>0.1564400821594236</v>
      </c>
      <c r="J3940" t="n">
        <v>0.0386665809346221</v>
      </c>
      <c r="K3940" t="n">
        <v>0.7364677112807327</v>
      </c>
      <c r="L3940" t="b">
        <v>0</v>
      </c>
      <c r="M3940" t="b">
        <v>0</v>
      </c>
      <c r="N3940" t="inlineStr">
        <is>
          <t>ref</t>
        </is>
      </c>
      <c r="O3940" t="n">
        <v>-70</v>
      </c>
      <c r="P3940" t="n">
        <v>0.02179</v>
      </c>
      <c r="Q3940" t="n">
        <v>-60</v>
      </c>
      <c r="R3940" t="n">
        <v>0.001099</v>
      </c>
      <c r="S3940">
        <f>IMAGE("https://mitra.stanford.edu/kundaje/oak/projects/neuro-variants/variant_position/credible/roussos_2024/variant_figures/roussos_2024.adolescence.GLU/rs2577907_count_position.png",4,220,900)</f>
        <v/>
      </c>
      <c r="T3940">
        <f>IMAGE("https://mitra.stanford.edu/kundaje/oak/projects/neuro-variants/variant_position/credible/roussos_2024/variant_figures/roussos_2024.adolescence.GLU/rs2577907_profile_position.png",4,220,900)</f>
        <v/>
      </c>
    </row>
    <row r="3941">
      <c r="A3941" t="inlineStr">
        <is>
          <t>chr8</t>
        </is>
      </c>
      <c r="B3941" t="n">
        <v>64405886</v>
      </c>
      <c r="C3941" t="inlineStr">
        <is>
          <t>A</t>
        </is>
      </c>
      <c r="D3941" t="inlineStr">
        <is>
          <t>G</t>
        </is>
      </c>
      <c r="E3941" t="inlineStr">
        <is>
          <t>rs59666344</t>
        </is>
      </c>
      <c r="F3941" t="n">
        <v>0.08663001620000001</v>
      </c>
      <c r="G3941" t="n">
        <v>0.0121154643586747</v>
      </c>
      <c r="H3941" t="n">
        <v>0.0228150637096426</v>
      </c>
      <c r="I3941" t="n">
        <v>0.0328992971501803</v>
      </c>
      <c r="J3941" t="n">
        <v>0.2527023454858506</v>
      </c>
      <c r="K3941" t="n">
        <v>0.3317160908451298</v>
      </c>
      <c r="L3941" t="b">
        <v>1</v>
      </c>
      <c r="M3941" t="b">
        <v>0</v>
      </c>
      <c r="N3941" t="inlineStr">
        <is>
          <t>alt</t>
        </is>
      </c>
      <c r="O3941" t="n">
        <v>-95</v>
      </c>
      <c r="P3941" t="n">
        <v>0.007374</v>
      </c>
      <c r="Q3941" t="n">
        <v>0</v>
      </c>
      <c r="R3941" t="n">
        <v>0</v>
      </c>
      <c r="S3941">
        <f>IMAGE("https://mitra.stanford.edu/kundaje/oak/projects/neuro-variants/variant_position/credible/roussos_2024/variant_figures/roussos_2024.adolescence.GLU/rs59666344_count_position.png",4,220,900)</f>
        <v/>
      </c>
      <c r="T3941">
        <f>IMAGE("https://mitra.stanford.edu/kundaje/oak/projects/neuro-variants/variant_position/credible/roussos_2024/variant_figures/roussos_2024.adolescence.GLU/rs59666344_profile_position.png",4,220,900)</f>
        <v/>
      </c>
    </row>
    <row r="3942">
      <c r="A3942" t="inlineStr">
        <is>
          <t>chr8</t>
        </is>
      </c>
      <c r="B3942" t="n">
        <v>64413850</v>
      </c>
      <c r="C3942" t="inlineStr">
        <is>
          <t>C</t>
        </is>
      </c>
      <c r="D3942" t="inlineStr">
        <is>
          <t>T</t>
        </is>
      </c>
      <c r="E3942" t="inlineStr">
        <is>
          <t>rs2612609</t>
        </is>
      </c>
      <c r="F3942" t="n">
        <v>-0.0305324846</v>
      </c>
      <c r="G3942" t="n">
        <v>0.1772960039456926</v>
      </c>
      <c r="H3942" t="n">
        <v>0.0104618788349583</v>
      </c>
      <c r="I3942" t="n">
        <v>0.465117686100176</v>
      </c>
      <c r="J3942" t="n">
        <v>0.2278657721956691</v>
      </c>
      <c r="K3942" t="n">
        <v>0.3634112748105527</v>
      </c>
      <c r="L3942" t="b">
        <v>0</v>
      </c>
      <c r="M3942" t="b">
        <v>0</v>
      </c>
      <c r="N3942" t="inlineStr">
        <is>
          <t>ref</t>
        </is>
      </c>
      <c r="O3942" t="n">
        <v>75</v>
      </c>
      <c r="P3942" t="n">
        <v>0.002544</v>
      </c>
      <c r="Q3942" t="n">
        <v>25</v>
      </c>
      <c r="R3942" t="n">
        <v>0.01001</v>
      </c>
      <c r="S3942">
        <f>IMAGE("https://mitra.stanford.edu/kundaje/oak/projects/neuro-variants/variant_position/credible/roussos_2024/variant_figures/roussos_2024.adolescence.GLU/rs2612609_count_position.png",4,220,900)</f>
        <v/>
      </c>
      <c r="T3942">
        <f>IMAGE("https://mitra.stanford.edu/kundaje/oak/projects/neuro-variants/variant_position/credible/roussos_2024/variant_figures/roussos_2024.adolescence.GLU/rs2612609_profile_position.png",4,220,900)</f>
        <v/>
      </c>
    </row>
    <row r="3943">
      <c r="A3943" t="inlineStr">
        <is>
          <t>chr8</t>
        </is>
      </c>
      <c r="B3943" t="n">
        <v>64428871</v>
      </c>
      <c r="C3943" t="inlineStr">
        <is>
          <t>T</t>
        </is>
      </c>
      <c r="D3943" t="inlineStr">
        <is>
          <t>C</t>
        </is>
      </c>
      <c r="E3943" t="inlineStr">
        <is>
          <t>rs2600467</t>
        </is>
      </c>
      <c r="F3943" t="n">
        <v>0.00602298804</v>
      </c>
      <c r="G3943" t="n">
        <v>0.6257419899773449</v>
      </c>
      <c r="H3943" t="n">
        <v>0.0213190623188145</v>
      </c>
      <c r="I3943" t="n">
        <v>0.042916435006452</v>
      </c>
      <c r="J3943" t="n">
        <v>0.447594144501361</v>
      </c>
      <c r="K3943" t="n">
        <v>0.1248964729501132</v>
      </c>
      <c r="L3943" t="b">
        <v>0</v>
      </c>
      <c r="M3943" t="b">
        <v>0</v>
      </c>
      <c r="N3943" t="inlineStr">
        <is>
          <t>alt</t>
        </is>
      </c>
      <c r="O3943" t="n">
        <v>100</v>
      </c>
      <c r="P3943" t="n">
        <v>0.1951</v>
      </c>
      <c r="Q3943" t="n">
        <v>100</v>
      </c>
      <c r="R3943" t="n">
        <v>0.4165</v>
      </c>
      <c r="S3943">
        <f>IMAGE("https://mitra.stanford.edu/kundaje/oak/projects/neuro-variants/variant_position/credible/roussos_2024/variant_figures/roussos_2024.adolescence.GLU/rs2600467_count_position.png",4,220,900)</f>
        <v/>
      </c>
      <c r="T3943">
        <f>IMAGE("https://mitra.stanford.edu/kundaje/oak/projects/neuro-variants/variant_position/credible/roussos_2024/variant_figures/roussos_2024.adolescence.GLU/rs2600467_profile_position.png",4,220,900)</f>
        <v/>
      </c>
    </row>
    <row r="3944">
      <c r="A3944" t="inlineStr">
        <is>
          <t>chr8</t>
        </is>
      </c>
      <c r="B3944" t="n">
        <v>64449238</v>
      </c>
      <c r="C3944" t="inlineStr">
        <is>
          <t>A</t>
        </is>
      </c>
      <c r="D3944" t="inlineStr">
        <is>
          <t>G</t>
        </is>
      </c>
      <c r="E3944" t="inlineStr">
        <is>
          <t>rs2577893</t>
        </is>
      </c>
      <c r="F3944" t="n">
        <v>0.0221537268</v>
      </c>
      <c r="G3944" t="n">
        <v>0.2494660166485144</v>
      </c>
      <c r="H3944" t="n">
        <v>0.0117257735234757</v>
      </c>
      <c r="I3944" t="n">
        <v>0.3523108385153196</v>
      </c>
      <c r="J3944" t="n">
        <v>0.1456758900057868</v>
      </c>
      <c r="K3944" t="n">
        <v>0.4903717549359103</v>
      </c>
      <c r="L3944" t="b">
        <v>0</v>
      </c>
      <c r="M3944" t="b">
        <v>0</v>
      </c>
      <c r="N3944" t="inlineStr">
        <is>
          <t>alt</t>
        </is>
      </c>
      <c r="O3944" t="n">
        <v>100</v>
      </c>
      <c r="P3944" t="n">
        <v>0.004864</v>
      </c>
      <c r="Q3944" t="n">
        <v>55</v>
      </c>
      <c r="R3944" t="n">
        <v>0.04083</v>
      </c>
      <c r="S3944">
        <f>IMAGE("https://mitra.stanford.edu/kundaje/oak/projects/neuro-variants/variant_position/credible/roussos_2024/variant_figures/roussos_2024.adolescence.GLU/rs2577893_count_position.png",4,220,900)</f>
        <v/>
      </c>
      <c r="T3944">
        <f>IMAGE("https://mitra.stanford.edu/kundaje/oak/projects/neuro-variants/variant_position/credible/roussos_2024/variant_figures/roussos_2024.adolescence.GLU/rs2577893_profile_position.png",4,220,900)</f>
        <v/>
      </c>
    </row>
    <row r="3945">
      <c r="A3945" t="inlineStr">
        <is>
          <t>chr8</t>
        </is>
      </c>
      <c r="B3945" t="n">
        <v>64451888</v>
      </c>
      <c r="C3945" t="inlineStr">
        <is>
          <t>T</t>
        </is>
      </c>
      <c r="D3945" t="inlineStr">
        <is>
          <t>C</t>
        </is>
      </c>
      <c r="E3945" t="inlineStr">
        <is>
          <t>rs2612589</t>
        </is>
      </c>
      <c r="F3945" t="n">
        <v>0.00380656078</v>
      </c>
      <c r="G3945" t="n">
        <v>0.6815145290639162</v>
      </c>
      <c r="H3945" t="n">
        <v>0.0083736440649274</v>
      </c>
      <c r="I3945" t="n">
        <v>0.7575681892154329</v>
      </c>
      <c r="J3945" t="n">
        <v>0.1875759978852761</v>
      </c>
      <c r="K3945" t="n">
        <v>0.4196695672234011</v>
      </c>
      <c r="L3945" t="b">
        <v>0</v>
      </c>
      <c r="M3945" t="b">
        <v>0</v>
      </c>
      <c r="N3945" t="inlineStr">
        <is>
          <t>alt</t>
        </is>
      </c>
      <c r="O3945" t="n">
        <v>-70</v>
      </c>
      <c r="P3945" t="n">
        <v>0.01503</v>
      </c>
      <c r="Q3945" t="n">
        <v>95</v>
      </c>
      <c r="R3945" t="n">
        <v>0.1729</v>
      </c>
      <c r="S3945">
        <f>IMAGE("https://mitra.stanford.edu/kundaje/oak/projects/neuro-variants/variant_position/credible/roussos_2024/variant_figures/roussos_2024.adolescence.GLU/rs2612589_count_position.png",4,220,900)</f>
        <v/>
      </c>
      <c r="T3945">
        <f>IMAGE("https://mitra.stanford.edu/kundaje/oak/projects/neuro-variants/variant_position/credible/roussos_2024/variant_figures/roussos_2024.adolescence.GLU/rs2612589_profile_position.png",4,220,900)</f>
        <v/>
      </c>
    </row>
    <row r="3946">
      <c r="A3946" t="inlineStr">
        <is>
          <t>chr8</t>
        </is>
      </c>
      <c r="B3946" t="n">
        <v>64468374</v>
      </c>
      <c r="C3946" t="inlineStr">
        <is>
          <t>A</t>
        </is>
      </c>
      <c r="D3946" t="inlineStr">
        <is>
          <t>G</t>
        </is>
      </c>
      <c r="E3946" t="inlineStr">
        <is>
          <t>rs10504376</t>
        </is>
      </c>
      <c r="F3946" t="n">
        <v>-0.0008480965199999</v>
      </c>
      <c r="G3946" t="n">
        <v>0.7572797834172297</v>
      </c>
      <c r="H3946" t="n">
        <v>0.0161836029153697</v>
      </c>
      <c r="I3946" t="n">
        <v>0.1272010606700197</v>
      </c>
      <c r="J3946" t="n">
        <v>0.0044194868937136</v>
      </c>
      <c r="K3946" t="n">
        <v>0.925758104279051</v>
      </c>
      <c r="L3946" t="b">
        <v>0</v>
      </c>
      <c r="M3946" t="b">
        <v>0</v>
      </c>
      <c r="N3946" t="inlineStr">
        <is>
          <t>ref</t>
        </is>
      </c>
      <c r="O3946" t="n">
        <v>-100</v>
      </c>
      <c r="P3946" t="n">
        <v>0.03934</v>
      </c>
      <c r="Q3946" t="n">
        <v>-100</v>
      </c>
      <c r="R3946" t="n">
        <v>0.04538</v>
      </c>
      <c r="S3946">
        <f>IMAGE("https://mitra.stanford.edu/kundaje/oak/projects/neuro-variants/variant_position/credible/roussos_2024/variant_figures/roussos_2024.adolescence.GLU/rs10504376_count_position.png",4,220,900)</f>
        <v/>
      </c>
      <c r="T3946">
        <f>IMAGE("https://mitra.stanford.edu/kundaje/oak/projects/neuro-variants/variant_position/credible/roussos_2024/variant_figures/roussos_2024.adolescence.GLU/rs10504376_profile_position.png",4,220,900)</f>
        <v/>
      </c>
    </row>
    <row r="3947">
      <c r="A3947" t="inlineStr">
        <is>
          <t>chr8</t>
        </is>
      </c>
      <c r="B3947" t="n">
        <v>64472801</v>
      </c>
      <c r="C3947" t="inlineStr">
        <is>
          <t>A</t>
        </is>
      </c>
      <c r="D3947" t="inlineStr">
        <is>
          <t>T</t>
        </is>
      </c>
      <c r="E3947" t="inlineStr">
        <is>
          <t>rs16931253</t>
        </is>
      </c>
      <c r="F3947" t="n">
        <v>-0.0271553636</v>
      </c>
      <c r="G3947" t="n">
        <v>0.2220488141971919</v>
      </c>
      <c r="H3947" t="n">
        <v>0.0254004012855667</v>
      </c>
      <c r="I3947" t="n">
        <v>0.0197498136704055</v>
      </c>
      <c r="J3947" t="n">
        <v>0.3416050467596859</v>
      </c>
      <c r="K3947" t="n">
        <v>0.2252790013481156</v>
      </c>
      <c r="L3947" t="b">
        <v>1</v>
      </c>
      <c r="M3947" t="b">
        <v>0</v>
      </c>
      <c r="N3947" t="inlineStr">
        <is>
          <t>ref</t>
        </is>
      </c>
      <c r="O3947" t="n">
        <v>-70</v>
      </c>
      <c r="P3947" t="n">
        <v>0.01355</v>
      </c>
      <c r="Q3947" t="n">
        <v>45</v>
      </c>
      <c r="R3947" t="n">
        <v>0.07525999999999999</v>
      </c>
      <c r="S3947">
        <f>IMAGE("https://mitra.stanford.edu/kundaje/oak/projects/neuro-variants/variant_position/credible/roussos_2024/variant_figures/roussos_2024.adolescence.GLU/rs16931253_count_position.png",4,220,900)</f>
        <v/>
      </c>
      <c r="T3947">
        <f>IMAGE("https://mitra.stanford.edu/kundaje/oak/projects/neuro-variants/variant_position/credible/roussos_2024/variant_figures/roussos_2024.adolescence.GLU/rs16931253_profile_position.png",4,220,900)</f>
        <v/>
      </c>
    </row>
    <row r="3948">
      <c r="A3948" t="inlineStr">
        <is>
          <t>chr8</t>
        </is>
      </c>
      <c r="B3948" t="n">
        <v>64534132</v>
      </c>
      <c r="C3948" t="inlineStr">
        <is>
          <t>G</t>
        </is>
      </c>
      <c r="D3948" t="inlineStr">
        <is>
          <t>A</t>
        </is>
      </c>
      <c r="E3948" t="inlineStr">
        <is>
          <t>rs9643569</t>
        </is>
      </c>
      <c r="F3948" t="n">
        <v>-0.0369681332</v>
      </c>
      <c r="G3948" t="n">
        <v>0.1297337232767615</v>
      </c>
      <c r="H3948" t="n">
        <v>0.008911780553217299</v>
      </c>
      <c r="I3948" t="n">
        <v>0.6625916755818816</v>
      </c>
      <c r="J3948" t="n">
        <v>0.0846060969772309</v>
      </c>
      <c r="K3948" t="n">
        <v>0.6104022383702885</v>
      </c>
      <c r="L3948" t="b">
        <v>0</v>
      </c>
      <c r="M3948" t="b">
        <v>0</v>
      </c>
      <c r="N3948" t="inlineStr">
        <is>
          <t>ref</t>
        </is>
      </c>
      <c r="O3948" t="n">
        <v>-100</v>
      </c>
      <c r="P3948" t="n">
        <v>0.003098</v>
      </c>
      <c r="Q3948" t="n">
        <v>95</v>
      </c>
      <c r="R3948" t="n">
        <v>0.05017</v>
      </c>
      <c r="S3948">
        <f>IMAGE("https://mitra.stanford.edu/kundaje/oak/projects/neuro-variants/variant_position/credible/roussos_2024/variant_figures/roussos_2024.adolescence.GLU/rs9643569_count_position.png",4,220,900)</f>
        <v/>
      </c>
      <c r="T3948">
        <f>IMAGE("https://mitra.stanford.edu/kundaje/oak/projects/neuro-variants/variant_position/credible/roussos_2024/variant_figures/roussos_2024.adolescence.GLU/rs9643569_profile_position.png",4,220,900)</f>
        <v/>
      </c>
    </row>
    <row r="3949">
      <c r="A3949" t="inlineStr">
        <is>
          <t>chr8</t>
        </is>
      </c>
      <c r="B3949" t="n">
        <v>64579514</v>
      </c>
      <c r="C3949" t="inlineStr">
        <is>
          <t>C</t>
        </is>
      </c>
      <c r="D3949" t="inlineStr">
        <is>
          <t>T</t>
        </is>
      </c>
      <c r="E3949" t="inlineStr">
        <is>
          <t>rs4737675</t>
        </is>
      </c>
      <c r="F3949" t="n">
        <v>-0.00528701392</v>
      </c>
      <c r="G3949" t="n">
        <v>0.7026599951627474</v>
      </c>
      <c r="H3949" t="n">
        <v>0.0240837427559746</v>
      </c>
      <c r="I3949" t="n">
        <v>0.0249080837143829</v>
      </c>
      <c r="J3949" t="n">
        <v>0.572955826564074</v>
      </c>
      <c r="K3949" t="n">
        <v>0.0495917250464659</v>
      </c>
      <c r="L3949" t="b">
        <v>0</v>
      </c>
      <c r="M3949" t="b">
        <v>0</v>
      </c>
      <c r="N3949" t="inlineStr">
        <is>
          <t>ref</t>
        </is>
      </c>
      <c r="O3949" t="n">
        <v>55</v>
      </c>
      <c r="P3949" t="n">
        <v>0.01564</v>
      </c>
      <c r="Q3949" t="n">
        <v>-100</v>
      </c>
      <c r="R3949" t="n">
        <v>0.1045</v>
      </c>
      <c r="S3949">
        <f>IMAGE("https://mitra.stanford.edu/kundaje/oak/projects/neuro-variants/variant_position/credible/roussos_2024/variant_figures/roussos_2024.adolescence.GLU/rs4737675_count_position.png",4,220,900)</f>
        <v/>
      </c>
      <c r="T3949">
        <f>IMAGE("https://mitra.stanford.edu/kundaje/oak/projects/neuro-variants/variant_position/credible/roussos_2024/variant_figures/roussos_2024.adolescence.GLU/rs4737675_profile_position.png",4,220,900)</f>
        <v/>
      </c>
    </row>
    <row r="3950">
      <c r="A3950" t="inlineStr">
        <is>
          <t>chr8</t>
        </is>
      </c>
      <c r="B3950" t="n">
        <v>64606609</v>
      </c>
      <c r="C3950" t="inlineStr">
        <is>
          <t>A</t>
        </is>
      </c>
      <c r="D3950" t="inlineStr">
        <is>
          <t>G</t>
        </is>
      </c>
      <c r="E3950" t="inlineStr">
        <is>
          <t>rs3779870</t>
        </is>
      </c>
      <c r="F3950" t="n">
        <v>0.0584875972</v>
      </c>
      <c r="G3950" t="n">
        <v>0.0423831366320211</v>
      </c>
      <c r="H3950" t="n">
        <v>0.0109787562016132</v>
      </c>
      <c r="I3950" t="n">
        <v>0.4144441611618997</v>
      </c>
      <c r="J3950" t="n">
        <v>0.5876817340734867</v>
      </c>
      <c r="K3950" t="n">
        <v>0.0430431558677154</v>
      </c>
      <c r="L3950" t="b">
        <v>0</v>
      </c>
      <c r="M3950" t="b">
        <v>0</v>
      </c>
      <c r="N3950" t="inlineStr">
        <is>
          <t>alt</t>
        </is>
      </c>
      <c r="O3950" t="n">
        <v>-100</v>
      </c>
      <c r="P3950" t="n">
        <v>0.001862</v>
      </c>
      <c r="Q3950" t="n">
        <v>85</v>
      </c>
      <c r="R3950" t="n">
        <v>0.0537</v>
      </c>
      <c r="S3950">
        <f>IMAGE("https://mitra.stanford.edu/kundaje/oak/projects/neuro-variants/variant_position/credible/roussos_2024/variant_figures/roussos_2024.adolescence.GLU/rs3779870_count_position.png",4,220,900)</f>
        <v/>
      </c>
      <c r="T3950">
        <f>IMAGE("https://mitra.stanford.edu/kundaje/oak/projects/neuro-variants/variant_position/credible/roussos_2024/variant_figures/roussos_2024.adolescence.GLU/rs3779870_profile_position.png",4,220,900)</f>
        <v/>
      </c>
    </row>
    <row r="3951">
      <c r="A3951" t="inlineStr">
        <is>
          <t>chr8</t>
        </is>
      </c>
      <c r="B3951" t="n">
        <v>64625546</v>
      </c>
      <c r="C3951" t="inlineStr">
        <is>
          <t>G</t>
        </is>
      </c>
      <c r="D3951" t="inlineStr">
        <is>
          <t>A</t>
        </is>
      </c>
      <c r="E3951" t="inlineStr">
        <is>
          <t>rs4452822</t>
        </is>
      </c>
      <c r="F3951" t="n">
        <v>0.00420365908</v>
      </c>
      <c r="G3951" t="n">
        <v>0.6783593937230309</v>
      </c>
      <c r="H3951" t="n">
        <v>0.0207341156098392</v>
      </c>
      <c r="I3951" t="n">
        <v>0.0464409142137504</v>
      </c>
      <c r="J3951" t="n">
        <v>0.1462102864164719</v>
      </c>
      <c r="K3951" t="n">
        <v>0.4853151220756737</v>
      </c>
      <c r="L3951" t="b">
        <v>0</v>
      </c>
      <c r="M3951" t="b">
        <v>0</v>
      </c>
      <c r="N3951" t="inlineStr">
        <is>
          <t>alt</t>
        </is>
      </c>
      <c r="O3951" t="n">
        <v>-10</v>
      </c>
      <c r="P3951" t="n">
        <v>0.001143</v>
      </c>
      <c r="Q3951" t="n">
        <v>-100</v>
      </c>
      <c r="R3951" t="n">
        <v>0.0296</v>
      </c>
      <c r="S3951">
        <f>IMAGE("https://mitra.stanford.edu/kundaje/oak/projects/neuro-variants/variant_position/credible/roussos_2024/variant_figures/roussos_2024.adolescence.GLU/rs4452822_count_position.png",4,220,900)</f>
        <v/>
      </c>
      <c r="T3951">
        <f>IMAGE("https://mitra.stanford.edu/kundaje/oak/projects/neuro-variants/variant_position/credible/roussos_2024/variant_figures/roussos_2024.adolescence.GLU/rs4452822_profile_position.png",4,220,900)</f>
        <v/>
      </c>
    </row>
    <row r="3952">
      <c r="A3952" t="inlineStr">
        <is>
          <t>chr8</t>
        </is>
      </c>
      <c r="B3952" t="n">
        <v>64649382</v>
      </c>
      <c r="C3952" t="inlineStr">
        <is>
          <t>C</t>
        </is>
      </c>
      <c r="D3952" t="inlineStr">
        <is>
          <t>T</t>
        </is>
      </c>
      <c r="E3952" t="inlineStr">
        <is>
          <t>rs11996031</t>
        </is>
      </c>
      <c r="F3952" t="n">
        <v>-0.0917873715999999</v>
      </c>
      <c r="G3952" t="n">
        <v>0.0097101398257369</v>
      </c>
      <c r="H3952" t="n">
        <v>0.0158207026448217</v>
      </c>
      <c r="I3952" t="n">
        <v>0.1417899303837303</v>
      </c>
      <c r="J3952" t="n">
        <v>0.0241321416579148</v>
      </c>
      <c r="K3952" t="n">
        <v>0.7996547376533795</v>
      </c>
      <c r="L3952" t="b">
        <v>1</v>
      </c>
      <c r="M3952" t="b">
        <v>1</v>
      </c>
      <c r="N3952" t="inlineStr">
        <is>
          <t>ref</t>
        </is>
      </c>
      <c r="O3952" t="n">
        <v>50</v>
      </c>
      <c r="P3952" t="n">
        <v>0.001987</v>
      </c>
      <c r="Q3952" t="n">
        <v>100</v>
      </c>
      <c r="R3952" t="n">
        <v>0.06165</v>
      </c>
      <c r="S3952">
        <f>IMAGE("https://mitra.stanford.edu/kundaje/oak/projects/neuro-variants/variant_position/credible/roussos_2024/variant_figures/roussos_2024.adolescence.GLU/rs11996031_count_position.png",4,220,900)</f>
        <v/>
      </c>
      <c r="T3952">
        <f>IMAGE("https://mitra.stanford.edu/kundaje/oak/projects/neuro-variants/variant_position/credible/roussos_2024/variant_figures/roussos_2024.adolescence.GLU/rs11996031_profile_position.png",4,220,900)</f>
        <v/>
      </c>
    </row>
    <row r="3953">
      <c r="A3953" t="inlineStr">
        <is>
          <t>chr8</t>
        </is>
      </c>
      <c r="B3953" t="n">
        <v>64663044</v>
      </c>
      <c r="C3953" t="inlineStr">
        <is>
          <t>C</t>
        </is>
      </c>
      <c r="D3953" t="inlineStr">
        <is>
          <t>T</t>
        </is>
      </c>
      <c r="E3953" t="inlineStr">
        <is>
          <t>rs4236934</t>
        </is>
      </c>
      <c r="F3953" t="n">
        <v>0.01331960134</v>
      </c>
      <c r="G3953" t="n">
        <v>0.4351448623865016</v>
      </c>
      <c r="H3953" t="n">
        <v>0.0207869454925723</v>
      </c>
      <c r="I3953" t="n">
        <v>0.0522097893792106</v>
      </c>
      <c r="J3953" t="n">
        <v>0.0553014553014552</v>
      </c>
      <c r="K3953" t="n">
        <v>0.6817207749560168</v>
      </c>
      <c r="L3953" t="b">
        <v>0</v>
      </c>
      <c r="M3953" t="b">
        <v>0</v>
      </c>
      <c r="N3953" t="inlineStr">
        <is>
          <t>alt</t>
        </is>
      </c>
      <c r="O3953" t="n">
        <v>-100</v>
      </c>
      <c r="P3953" t="n">
        <v>0.006744</v>
      </c>
      <c r="Q3953" t="n">
        <v>-75</v>
      </c>
      <c r="R3953" t="n">
        <v>0.03815</v>
      </c>
      <c r="S3953">
        <f>IMAGE("https://mitra.stanford.edu/kundaje/oak/projects/neuro-variants/variant_position/credible/roussos_2024/variant_figures/roussos_2024.adolescence.GLU/rs4236934_count_position.png",4,220,900)</f>
        <v/>
      </c>
      <c r="T3953">
        <f>IMAGE("https://mitra.stanford.edu/kundaje/oak/projects/neuro-variants/variant_position/credible/roussos_2024/variant_figures/roussos_2024.adolescence.GLU/rs4236934_profile_position.png",4,220,900)</f>
        <v/>
      </c>
    </row>
    <row r="3954">
      <c r="A3954" t="inlineStr">
        <is>
          <t>chr8</t>
        </is>
      </c>
      <c r="B3954" t="n">
        <v>64670080</v>
      </c>
      <c r="C3954" t="inlineStr">
        <is>
          <t>A</t>
        </is>
      </c>
      <c r="D3954" t="inlineStr">
        <is>
          <t>G</t>
        </is>
      </c>
      <c r="E3954" t="inlineStr">
        <is>
          <t>rs4486246</t>
        </is>
      </c>
      <c r="F3954" t="n">
        <v>-0.0452086508</v>
      </c>
      <c r="G3954" t="n">
        <v>0.09459083285062191</v>
      </c>
      <c r="H3954" t="n">
        <v>0.0148296212983971</v>
      </c>
      <c r="I3954" t="n">
        <v>0.2052260046047272</v>
      </c>
      <c r="J3954" t="n">
        <v>0.3189232055211436</v>
      </c>
      <c r="K3954" t="n">
        <v>0.2429701703218404</v>
      </c>
      <c r="L3954" t="b">
        <v>0</v>
      </c>
      <c r="M3954" t="b">
        <v>0</v>
      </c>
      <c r="N3954" t="inlineStr">
        <is>
          <t>ref</t>
        </is>
      </c>
      <c r="O3954" t="n">
        <v>-100</v>
      </c>
      <c r="P3954" t="n">
        <v>0.009310000000000001</v>
      </c>
      <c r="Q3954" t="n">
        <v>-25</v>
      </c>
      <c r="R3954" t="n">
        <v>0.01294</v>
      </c>
      <c r="S3954">
        <f>IMAGE("https://mitra.stanford.edu/kundaje/oak/projects/neuro-variants/variant_position/credible/roussos_2024/variant_figures/roussos_2024.adolescence.GLU/rs4486246_count_position.png",4,220,900)</f>
        <v/>
      </c>
      <c r="T3954">
        <f>IMAGE("https://mitra.stanford.edu/kundaje/oak/projects/neuro-variants/variant_position/credible/roussos_2024/variant_figures/roussos_2024.adolescence.GLU/rs4486246_profile_position.png",4,220,900)</f>
        <v/>
      </c>
    </row>
    <row r="3955">
      <c r="A3955" t="inlineStr">
        <is>
          <t>chr8</t>
        </is>
      </c>
      <c r="B3955" t="n">
        <v>64672852</v>
      </c>
      <c r="C3955" t="inlineStr">
        <is>
          <t>T</t>
        </is>
      </c>
      <c r="D3955" t="inlineStr">
        <is>
          <t>C</t>
        </is>
      </c>
      <c r="E3955" t="inlineStr">
        <is>
          <t>rs6999999</t>
        </is>
      </c>
      <c r="F3955" t="n">
        <v>0.0626639266</v>
      </c>
      <c r="G3955" t="n">
        <v>0.0319563550267295</v>
      </c>
      <c r="H3955" t="n">
        <v>0.0177097300383853</v>
      </c>
      <c r="I3955" t="n">
        <v>0.08564373917283979</v>
      </c>
      <c r="J3955" t="n">
        <v>0.07471119017510761</v>
      </c>
      <c r="K3955" t="n">
        <v>0.6407917966172466</v>
      </c>
      <c r="L3955" t="b">
        <v>0</v>
      </c>
      <c r="M3955" t="b">
        <v>0</v>
      </c>
      <c r="N3955" t="inlineStr">
        <is>
          <t>alt</t>
        </is>
      </c>
      <c r="O3955" t="n">
        <v>85</v>
      </c>
      <c r="P3955" t="n">
        <v>0.001308</v>
      </c>
      <c r="Q3955" t="n">
        <v>-5</v>
      </c>
      <c r="R3955" t="n">
        <v>0.005493</v>
      </c>
      <c r="S3955">
        <f>IMAGE("https://mitra.stanford.edu/kundaje/oak/projects/neuro-variants/variant_position/credible/roussos_2024/variant_figures/roussos_2024.adolescence.GLU/rs6999999_count_position.png",4,220,900)</f>
        <v/>
      </c>
      <c r="T3955">
        <f>IMAGE("https://mitra.stanford.edu/kundaje/oak/projects/neuro-variants/variant_position/credible/roussos_2024/variant_figures/roussos_2024.adolescence.GLU/rs6999999_profile_position.png",4,220,900)</f>
        <v/>
      </c>
    </row>
    <row r="3956">
      <c r="A3956" t="inlineStr">
        <is>
          <t>chr8</t>
        </is>
      </c>
      <c r="B3956" t="n">
        <v>64693162</v>
      </c>
      <c r="C3956" t="inlineStr">
        <is>
          <t>G</t>
        </is>
      </c>
      <c r="D3956" t="inlineStr">
        <is>
          <t>T</t>
        </is>
      </c>
      <c r="E3956" t="inlineStr">
        <is>
          <t>rs7827287</t>
        </is>
      </c>
      <c r="F3956" t="n">
        <v>0.0092990724124</v>
      </c>
      <c r="G3956" t="n">
        <v>0.5449021651604098</v>
      </c>
      <c r="H3956" t="n">
        <v>0.0089045770028409</v>
      </c>
      <c r="I3956" t="n">
        <v>0.6602353679207351</v>
      </c>
      <c r="J3956" t="n">
        <v>0.0923076923076922</v>
      </c>
      <c r="K3956" t="n">
        <v>0.5974134640461084</v>
      </c>
      <c r="L3956" t="b">
        <v>0</v>
      </c>
      <c r="M3956" t="b">
        <v>0</v>
      </c>
      <c r="N3956" t="inlineStr">
        <is>
          <t>alt</t>
        </is>
      </c>
      <c r="O3956" t="n">
        <v>-100</v>
      </c>
      <c r="P3956" t="n">
        <v>0.01517</v>
      </c>
      <c r="Q3956" t="n">
        <v>95</v>
      </c>
      <c r="R3956" t="n">
        <v>0.1195</v>
      </c>
      <c r="S3956">
        <f>IMAGE("https://mitra.stanford.edu/kundaje/oak/projects/neuro-variants/variant_position/credible/roussos_2024/variant_figures/roussos_2024.adolescence.GLU/rs7827287_count_position.png",4,220,900)</f>
        <v/>
      </c>
      <c r="T3956">
        <f>IMAGE("https://mitra.stanford.edu/kundaje/oak/projects/neuro-variants/variant_position/credible/roussos_2024/variant_figures/roussos_2024.adolescence.GLU/rs7827287_profile_position.png",4,220,900)</f>
        <v/>
      </c>
    </row>
    <row r="3957">
      <c r="A3957" t="inlineStr">
        <is>
          <t>chr8</t>
        </is>
      </c>
      <c r="B3957" t="n">
        <v>64779146</v>
      </c>
      <c r="C3957" t="inlineStr">
        <is>
          <t>C</t>
        </is>
      </c>
      <c r="D3957" t="inlineStr">
        <is>
          <t>A</t>
        </is>
      </c>
      <c r="E3957" t="inlineStr">
        <is>
          <t>rs13252547</t>
        </is>
      </c>
      <c r="F3957" t="n">
        <v>0.00488631692</v>
      </c>
      <c r="G3957" t="n">
        <v>0.7121599774393927</v>
      </c>
      <c r="H3957" t="n">
        <v>0.0090267938510102</v>
      </c>
      <c r="I3957" t="n">
        <v>0.6596507253876407</v>
      </c>
      <c r="J3957" t="n">
        <v>0.0197398032449578</v>
      </c>
      <c r="K3957" t="n">
        <v>0.8184305381337259</v>
      </c>
      <c r="L3957" t="b">
        <v>0</v>
      </c>
      <c r="M3957" t="b">
        <v>0</v>
      </c>
      <c r="N3957" t="inlineStr">
        <is>
          <t>alt</t>
        </is>
      </c>
      <c r="O3957" t="n">
        <v>-75</v>
      </c>
      <c r="P3957" t="n">
        <v>0.005142</v>
      </c>
      <c r="Q3957" t="n">
        <v>-100</v>
      </c>
      <c r="R3957" t="n">
        <v>0.08606</v>
      </c>
      <c r="S3957">
        <f>IMAGE("https://mitra.stanford.edu/kundaje/oak/projects/neuro-variants/variant_position/credible/roussos_2024/variant_figures/roussos_2024.adolescence.GLU/rs13252547_count_position.png",4,220,900)</f>
        <v/>
      </c>
      <c r="T3957">
        <f>IMAGE("https://mitra.stanford.edu/kundaje/oak/projects/neuro-variants/variant_position/credible/roussos_2024/variant_figures/roussos_2024.adolescence.GLU/rs13252547_profile_position.png",4,220,900)</f>
        <v/>
      </c>
    </row>
    <row r="3958">
      <c r="A3958" t="inlineStr">
        <is>
          <t>chr8</t>
        </is>
      </c>
      <c r="B3958" t="n">
        <v>81061024</v>
      </c>
      <c r="C3958" t="inlineStr">
        <is>
          <t>T</t>
        </is>
      </c>
      <c r="D3958" t="inlineStr">
        <is>
          <t>G</t>
        </is>
      </c>
      <c r="E3958" t="inlineStr">
        <is>
          <t>rs4574807</t>
        </is>
      </c>
      <c r="F3958" t="n">
        <v>0.0112958479</v>
      </c>
      <c r="G3958" t="n">
        <v>0.4696178066203959</v>
      </c>
      <c r="H3958" t="n">
        <v>0.0105901797464669</v>
      </c>
      <c r="I3958" t="n">
        <v>0.4534192035604977</v>
      </c>
      <c r="J3958" t="n">
        <v>0.07263504583092199</v>
      </c>
      <c r="K3958" t="n">
        <v>0.6362249648677569</v>
      </c>
      <c r="L3958" t="b">
        <v>0</v>
      </c>
      <c r="M3958" t="b">
        <v>0</v>
      </c>
      <c r="N3958" t="inlineStr">
        <is>
          <t>alt</t>
        </is>
      </c>
      <c r="O3958" t="n">
        <v>-45</v>
      </c>
      <c r="P3958" t="n">
        <v>0.004425</v>
      </c>
      <c r="Q3958" t="n">
        <v>50</v>
      </c>
      <c r="R3958" t="n">
        <v>0.0766</v>
      </c>
      <c r="S3958">
        <f>IMAGE("https://mitra.stanford.edu/kundaje/oak/projects/neuro-variants/variant_position/credible/roussos_2024/variant_figures/roussos_2024.adolescence.GLU/rs4574807_count_position.png",4,220,900)</f>
        <v/>
      </c>
      <c r="T3958">
        <f>IMAGE("https://mitra.stanford.edu/kundaje/oak/projects/neuro-variants/variant_position/credible/roussos_2024/variant_figures/roussos_2024.adolescence.GLU/rs4574807_profile_position.png",4,220,900)</f>
        <v/>
      </c>
    </row>
    <row r="3959">
      <c r="A3959" t="inlineStr">
        <is>
          <t>chr8</t>
        </is>
      </c>
      <c r="B3959" t="n">
        <v>81061053</v>
      </c>
      <c r="C3959" t="inlineStr">
        <is>
          <t>T</t>
        </is>
      </c>
      <c r="D3959" t="inlineStr">
        <is>
          <t>C</t>
        </is>
      </c>
      <c r="E3959" t="inlineStr">
        <is>
          <t>rs4265143</t>
        </is>
      </c>
      <c r="F3959" t="n">
        <v>0.002054008084</v>
      </c>
      <c r="G3959" t="n">
        <v>0.7803107829654529</v>
      </c>
      <c r="H3959" t="n">
        <v>0.0109767767847526</v>
      </c>
      <c r="I3959" t="n">
        <v>0.4222441250450913</v>
      </c>
      <c r="J3959" t="n">
        <v>0.0740767730458451</v>
      </c>
      <c r="K3959" t="n">
        <v>0.6331282572502152</v>
      </c>
      <c r="L3959" t="b">
        <v>0</v>
      </c>
      <c r="M3959" t="b">
        <v>0</v>
      </c>
      <c r="N3959" t="inlineStr">
        <is>
          <t>alt</t>
        </is>
      </c>
      <c r="O3959" t="n">
        <v>-50</v>
      </c>
      <c r="P3959" t="n">
        <v>0.0009840000000000001</v>
      </c>
      <c r="Q3959" t="n">
        <v>15</v>
      </c>
      <c r="R3959" t="n">
        <v>0.04987</v>
      </c>
      <c r="S3959">
        <f>IMAGE("https://mitra.stanford.edu/kundaje/oak/projects/neuro-variants/variant_position/credible/roussos_2024/variant_figures/roussos_2024.adolescence.GLU/rs4265143_count_position.png",4,220,900)</f>
        <v/>
      </c>
      <c r="T3959">
        <f>IMAGE("https://mitra.stanford.edu/kundaje/oak/projects/neuro-variants/variant_position/credible/roussos_2024/variant_figures/roussos_2024.adolescence.GLU/rs4265143_profile_position.png",4,220,900)</f>
        <v/>
      </c>
    </row>
    <row r="3960">
      <c r="A3960" t="inlineStr">
        <is>
          <t>chr8</t>
        </is>
      </c>
      <c r="B3960" t="n">
        <v>81061840</v>
      </c>
      <c r="C3960" t="inlineStr">
        <is>
          <t>G</t>
        </is>
      </c>
      <c r="D3960" t="inlineStr">
        <is>
          <t>T</t>
        </is>
      </c>
      <c r="E3960" t="inlineStr">
        <is>
          <t>rs11986552</t>
        </is>
      </c>
      <c r="F3960" t="n">
        <v>-0.0813844427999999</v>
      </c>
      <c r="G3960" t="n">
        <v>0.0157253562377021</v>
      </c>
      <c r="H3960" t="n">
        <v>0.0182608667027181</v>
      </c>
      <c r="I3960" t="n">
        <v>0.08355388977098099</v>
      </c>
      <c r="J3960" t="n">
        <v>0.1370126669095741</v>
      </c>
      <c r="K3960" t="n">
        <v>0.5018693132281924</v>
      </c>
      <c r="L3960" t="b">
        <v>1</v>
      </c>
      <c r="M3960" t="b">
        <v>0</v>
      </c>
      <c r="N3960" t="inlineStr">
        <is>
          <t>ref</t>
        </is>
      </c>
      <c r="O3960" t="n">
        <v>100</v>
      </c>
      <c r="P3960" t="n">
        <v>0.03134</v>
      </c>
      <c r="Q3960" t="n">
        <v>5</v>
      </c>
      <c r="R3960" t="n">
        <v>0.001465</v>
      </c>
      <c r="S3960">
        <f>IMAGE("https://mitra.stanford.edu/kundaje/oak/projects/neuro-variants/variant_position/credible/roussos_2024/variant_figures/roussos_2024.adolescence.GLU/rs11986552_count_position.png",4,220,900)</f>
        <v/>
      </c>
      <c r="T3960">
        <f>IMAGE("https://mitra.stanford.edu/kundaje/oak/projects/neuro-variants/variant_position/credible/roussos_2024/variant_figures/roussos_2024.adolescence.GLU/rs11986552_profile_position.png",4,220,900)</f>
        <v/>
      </c>
    </row>
    <row r="3961">
      <c r="A3961" t="inlineStr">
        <is>
          <t>chr8</t>
        </is>
      </c>
      <c r="B3961" t="n">
        <v>81078844</v>
      </c>
      <c r="C3961" t="inlineStr">
        <is>
          <t>C</t>
        </is>
      </c>
      <c r="D3961" t="inlineStr">
        <is>
          <t>T</t>
        </is>
      </c>
      <c r="E3961" t="inlineStr">
        <is>
          <t>rs4534094</t>
        </is>
      </c>
      <c r="F3961" t="n">
        <v>-0.0500812328</v>
      </c>
      <c r="G3961" t="n">
        <v>0.0696991749752814</v>
      </c>
      <c r="H3961" t="n">
        <v>0.0159562075857949</v>
      </c>
      <c r="I3961" t="n">
        <v>0.134603069653229</v>
      </c>
      <c r="J3961" t="n">
        <v>0.1549206621371569</v>
      </c>
      <c r="K3961" t="n">
        <v>0.4743442195739285</v>
      </c>
      <c r="L3961" t="b">
        <v>0</v>
      </c>
      <c r="M3961" t="b">
        <v>0</v>
      </c>
      <c r="N3961" t="inlineStr">
        <is>
          <t>ref</t>
        </is>
      </c>
      <c r="O3961" t="n">
        <v>-40</v>
      </c>
      <c r="P3961" t="n">
        <v>0.0001211</v>
      </c>
      <c r="Q3961" t="n">
        <v>25</v>
      </c>
      <c r="R3961" t="n">
        <v>0.01117</v>
      </c>
      <c r="S3961">
        <f>IMAGE("https://mitra.stanford.edu/kundaje/oak/projects/neuro-variants/variant_position/credible/roussos_2024/variant_figures/roussos_2024.adolescence.GLU/rs4534094_count_position.png",4,220,900)</f>
        <v/>
      </c>
      <c r="T3961">
        <f>IMAGE("https://mitra.stanford.edu/kundaje/oak/projects/neuro-variants/variant_position/credible/roussos_2024/variant_figures/roussos_2024.adolescence.GLU/rs4534094_profile_position.png",4,220,900)</f>
        <v/>
      </c>
    </row>
    <row r="3962">
      <c r="A3962" t="inlineStr">
        <is>
          <t>chr8</t>
        </is>
      </c>
      <c r="B3962" t="n">
        <v>81081544</v>
      </c>
      <c r="C3962" t="inlineStr">
        <is>
          <t>C</t>
        </is>
      </c>
      <c r="D3962" t="inlineStr">
        <is>
          <t>T</t>
        </is>
      </c>
      <c r="E3962" t="inlineStr">
        <is>
          <t>rs4739612</t>
        </is>
      </c>
      <c r="F3962" t="n">
        <v>-0.0407065781</v>
      </c>
      <c r="G3962" t="n">
        <v>0.097762880692989</v>
      </c>
      <c r="H3962" t="n">
        <v>0.0179160091863431</v>
      </c>
      <c r="I3962" t="n">
        <v>0.1417213273841953</v>
      </c>
      <c r="J3962" t="n">
        <v>0.0799122675411334</v>
      </c>
      <c r="K3962" t="n">
        <v>0.6122732153657091</v>
      </c>
      <c r="L3962" t="b">
        <v>0</v>
      </c>
      <c r="M3962" t="b">
        <v>0</v>
      </c>
      <c r="N3962" t="inlineStr">
        <is>
          <t>ref</t>
        </is>
      </c>
      <c r="O3962" t="n">
        <v>-100</v>
      </c>
      <c r="P3962" t="n">
        <v>0.0743</v>
      </c>
      <c r="Q3962" t="n">
        <v>90</v>
      </c>
      <c r="R3962" t="n">
        <v>0.1053</v>
      </c>
      <c r="S3962">
        <f>IMAGE("https://mitra.stanford.edu/kundaje/oak/projects/neuro-variants/variant_position/credible/roussos_2024/variant_figures/roussos_2024.adolescence.GLU/rs4739612_count_position.png",4,220,900)</f>
        <v/>
      </c>
      <c r="T3962">
        <f>IMAGE("https://mitra.stanford.edu/kundaje/oak/projects/neuro-variants/variant_position/credible/roussos_2024/variant_figures/roussos_2024.adolescence.GLU/rs4739612_profile_position.png",4,220,900)</f>
        <v/>
      </c>
    </row>
    <row r="3963">
      <c r="A3963" t="inlineStr">
        <is>
          <t>chr8</t>
        </is>
      </c>
      <c r="B3963" t="n">
        <v>88351378</v>
      </c>
      <c r="C3963" t="inlineStr">
        <is>
          <t>G</t>
        </is>
      </c>
      <c r="D3963" t="inlineStr">
        <is>
          <t>A</t>
        </is>
      </c>
      <c r="E3963" t="inlineStr">
        <is>
          <t>rs58255283</t>
        </is>
      </c>
      <c r="F3963" t="n">
        <v>0.00138978554</v>
      </c>
      <c r="G3963" t="n">
        <v>0.8425756333930862</v>
      </c>
      <c r="H3963" t="n">
        <v>0.015949165169386</v>
      </c>
      <c r="I3963" t="n">
        <v>0.1471739437257202</v>
      </c>
      <c r="J3963" t="n">
        <v>0.0828928849547405</v>
      </c>
      <c r="K3963" t="n">
        <v>0.6181986005649951</v>
      </c>
      <c r="L3963" t="b">
        <v>0</v>
      </c>
      <c r="M3963" t="b">
        <v>0</v>
      </c>
      <c r="N3963" t="inlineStr">
        <is>
          <t>alt</t>
        </is>
      </c>
      <c r="O3963" t="n">
        <v>25</v>
      </c>
      <c r="P3963" t="n">
        <v>0.001709</v>
      </c>
      <c r="Q3963" t="n">
        <v>100</v>
      </c>
      <c r="R3963" t="n">
        <v>0.0682</v>
      </c>
      <c r="S3963">
        <f>IMAGE("https://mitra.stanford.edu/kundaje/oak/projects/neuro-variants/variant_position/credible/roussos_2024/variant_figures/roussos_2024.adolescence.GLU/rs58255283_count_position.png",4,220,900)</f>
        <v/>
      </c>
      <c r="T3963">
        <f>IMAGE("https://mitra.stanford.edu/kundaje/oak/projects/neuro-variants/variant_position/credible/roussos_2024/variant_figures/roussos_2024.adolescence.GLU/rs58255283_profile_position.png",4,220,900)</f>
        <v/>
      </c>
    </row>
    <row r="3964">
      <c r="A3964" t="inlineStr">
        <is>
          <t>chr8</t>
        </is>
      </c>
      <c r="B3964" t="n">
        <v>88354878</v>
      </c>
      <c r="C3964" t="inlineStr">
        <is>
          <t>T</t>
        </is>
      </c>
      <c r="D3964" t="inlineStr">
        <is>
          <t>C</t>
        </is>
      </c>
      <c r="E3964" t="inlineStr">
        <is>
          <t>rs13262875</t>
        </is>
      </c>
      <c r="F3964" t="n">
        <v>0.002670011224</v>
      </c>
      <c r="G3964" t="n">
        <v>0.7676098176962448</v>
      </c>
      <c r="H3964" t="n">
        <v>0.015020511541615</v>
      </c>
      <c r="I3964" t="n">
        <v>0.1567072819487754</v>
      </c>
      <c r="J3964" t="n">
        <v>0.2123254102635545</v>
      </c>
      <c r="K3964" t="n">
        <v>0.3791354658449619</v>
      </c>
      <c r="L3964" t="b">
        <v>0</v>
      </c>
      <c r="M3964" t="b">
        <v>0</v>
      </c>
      <c r="N3964" t="inlineStr">
        <is>
          <t>alt</t>
        </is>
      </c>
      <c r="O3964" t="n">
        <v>100</v>
      </c>
      <c r="P3964" t="n">
        <v>0.01419</v>
      </c>
      <c r="Q3964" t="n">
        <v>95</v>
      </c>
      <c r="R3964" t="n">
        <v>0.0718</v>
      </c>
      <c r="S3964">
        <f>IMAGE("https://mitra.stanford.edu/kundaje/oak/projects/neuro-variants/variant_position/credible/roussos_2024/variant_figures/roussos_2024.adolescence.GLU/rs13262875_count_position.png",4,220,900)</f>
        <v/>
      </c>
      <c r="T3964">
        <f>IMAGE("https://mitra.stanford.edu/kundaje/oak/projects/neuro-variants/variant_position/credible/roussos_2024/variant_figures/roussos_2024.adolescence.GLU/rs13262875_profile_position.png",4,220,900)</f>
        <v/>
      </c>
    </row>
    <row r="3965">
      <c r="A3965" t="inlineStr">
        <is>
          <t>chr8</t>
        </is>
      </c>
      <c r="B3965" t="n">
        <v>88430735</v>
      </c>
      <c r="C3965" t="inlineStr">
        <is>
          <t>A</t>
        </is>
      </c>
      <c r="D3965" t="inlineStr">
        <is>
          <t>C</t>
        </is>
      </c>
      <c r="E3965" t="inlineStr">
        <is>
          <t>rs73291155</t>
        </is>
      </c>
      <c r="F3965" t="n">
        <v>0.0330186142</v>
      </c>
      <c r="G3965" t="n">
        <v>0.1494942831737535</v>
      </c>
      <c r="H3965" t="n">
        <v>0.0100021862596979</v>
      </c>
      <c r="I3965" t="n">
        <v>0.5244214918990564</v>
      </c>
      <c r="J3965" t="n">
        <v>0.0755370755370755</v>
      </c>
      <c r="K3965" t="n">
        <v>0.6347456061218019</v>
      </c>
      <c r="L3965" t="b">
        <v>0</v>
      </c>
      <c r="M3965" t="b">
        <v>0</v>
      </c>
      <c r="N3965" t="inlineStr">
        <is>
          <t>alt</t>
        </is>
      </c>
      <c r="O3965" t="n">
        <v>100</v>
      </c>
      <c r="P3965" t="n">
        <v>0.009169999999999999</v>
      </c>
      <c r="Q3965" t="n">
        <v>95</v>
      </c>
      <c r="R3965" t="n">
        <v>0.0571</v>
      </c>
      <c r="S3965">
        <f>IMAGE("https://mitra.stanford.edu/kundaje/oak/projects/neuro-variants/variant_position/credible/roussos_2024/variant_figures/roussos_2024.adolescence.GLU/rs73291155_count_position.png",4,220,900)</f>
        <v/>
      </c>
      <c r="T3965">
        <f>IMAGE("https://mitra.stanford.edu/kundaje/oak/projects/neuro-variants/variant_position/credible/roussos_2024/variant_figures/roussos_2024.adolescence.GLU/rs73291155_profile_position.png",4,220,900)</f>
        <v/>
      </c>
    </row>
    <row r="3966">
      <c r="A3966" t="inlineStr">
        <is>
          <t>chr8</t>
        </is>
      </c>
      <c r="B3966" t="n">
        <v>88502546</v>
      </c>
      <c r="C3966" t="inlineStr">
        <is>
          <t>T</t>
        </is>
      </c>
      <c r="D3966" t="inlineStr">
        <is>
          <t>G</t>
        </is>
      </c>
      <c r="E3966" t="inlineStr">
        <is>
          <t>rs6469448</t>
        </is>
      </c>
      <c r="F3966" t="n">
        <v>0.0008650648399999</v>
      </c>
      <c r="G3966" t="n">
        <v>0.7404435471229199</v>
      </c>
      <c r="H3966" t="n">
        <v>0.0258967381676366</v>
      </c>
      <c r="I3966" t="n">
        <v>0.0177716100836262</v>
      </c>
      <c r="J3966" t="n">
        <v>0.0001628908845403</v>
      </c>
      <c r="K3966" t="n">
        <v>0.993346617649612</v>
      </c>
      <c r="L3966" t="b">
        <v>0</v>
      </c>
      <c r="M3966" t="b">
        <v>0</v>
      </c>
      <c r="N3966" t="inlineStr">
        <is>
          <t>alt</t>
        </is>
      </c>
      <c r="O3966" t="n">
        <v>25</v>
      </c>
      <c r="P3966" t="n">
        <v>0.00127</v>
      </c>
      <c r="Q3966" t="n">
        <v>100</v>
      </c>
      <c r="R3966" t="n">
        <v>0.0373</v>
      </c>
      <c r="S3966">
        <f>IMAGE("https://mitra.stanford.edu/kundaje/oak/projects/neuro-variants/variant_position/credible/roussos_2024/variant_figures/roussos_2024.adolescence.GLU/rs6469448_count_position.png",4,220,900)</f>
        <v/>
      </c>
      <c r="T3966">
        <f>IMAGE("https://mitra.stanford.edu/kundaje/oak/projects/neuro-variants/variant_position/credible/roussos_2024/variant_figures/roussos_2024.adolescence.GLU/rs6469448_profile_position.png",4,220,900)</f>
        <v/>
      </c>
    </row>
    <row r="3967">
      <c r="A3967" t="inlineStr">
        <is>
          <t>chr8</t>
        </is>
      </c>
      <c r="B3967" t="n">
        <v>88538814</v>
      </c>
      <c r="C3967" t="inlineStr">
        <is>
          <t>C</t>
        </is>
      </c>
      <c r="D3967" t="inlineStr">
        <is>
          <t>T</t>
        </is>
      </c>
      <c r="E3967" t="inlineStr">
        <is>
          <t>rs16884208</t>
        </is>
      </c>
      <c r="F3967" t="n">
        <v>-0.00483360782</v>
      </c>
      <c r="G3967" t="n">
        <v>0.7473048061030415</v>
      </c>
      <c r="H3967" t="n">
        <v>0.0209386374428269</v>
      </c>
      <c r="I3967" t="n">
        <v>0.0462393190812496</v>
      </c>
      <c r="J3967" t="n">
        <v>0.0140457666230861</v>
      </c>
      <c r="K3967" t="n">
        <v>0.8498588053898291</v>
      </c>
      <c r="L3967" t="b">
        <v>0</v>
      </c>
      <c r="M3967" t="b">
        <v>0</v>
      </c>
      <c r="N3967" t="inlineStr">
        <is>
          <t>ref</t>
        </is>
      </c>
      <c r="O3967" t="n">
        <v>-90</v>
      </c>
      <c r="P3967" t="n">
        <v>0.006527</v>
      </c>
      <c r="Q3967" t="n">
        <v>100</v>
      </c>
      <c r="R3967" t="n">
        <v>0.03105</v>
      </c>
      <c r="S3967">
        <f>IMAGE("https://mitra.stanford.edu/kundaje/oak/projects/neuro-variants/variant_position/credible/roussos_2024/variant_figures/roussos_2024.adolescence.GLU/rs16884208_count_position.png",4,220,900)</f>
        <v/>
      </c>
      <c r="T3967">
        <f>IMAGE("https://mitra.stanford.edu/kundaje/oak/projects/neuro-variants/variant_position/credible/roussos_2024/variant_figures/roussos_2024.adolescence.GLU/rs16884208_profile_position.png",4,220,900)</f>
        <v/>
      </c>
    </row>
    <row r="3968">
      <c r="A3968" t="inlineStr">
        <is>
          <t>chr8</t>
        </is>
      </c>
      <c r="B3968" t="n">
        <v>88540393</v>
      </c>
      <c r="C3968" t="inlineStr">
        <is>
          <t>T</t>
        </is>
      </c>
      <c r="D3968" t="inlineStr">
        <is>
          <t>G</t>
        </is>
      </c>
      <c r="E3968" t="inlineStr">
        <is>
          <t>rs7007660</t>
        </is>
      </c>
      <c r="F3968" t="n">
        <v>0.0702557364</v>
      </c>
      <c r="G3968" t="n">
        <v>0.0238230311692021</v>
      </c>
      <c r="H3968" t="n">
        <v>0.0162919508623765</v>
      </c>
      <c r="I3968" t="n">
        <v>0.1261024111102785</v>
      </c>
      <c r="J3968" t="n">
        <v>0.0283815933300468</v>
      </c>
      <c r="K3968" t="n">
        <v>0.7845008087672207</v>
      </c>
      <c r="L3968" t="b">
        <v>0</v>
      </c>
      <c r="M3968" t="b">
        <v>0</v>
      </c>
      <c r="N3968" t="inlineStr">
        <is>
          <t>alt</t>
        </is>
      </c>
      <c r="O3968" t="n">
        <v>45</v>
      </c>
      <c r="P3968" t="n">
        <v>0.01056</v>
      </c>
      <c r="Q3968" t="n">
        <v>5</v>
      </c>
      <c r="R3968" t="n">
        <v>0.008545000000000001</v>
      </c>
      <c r="S3968">
        <f>IMAGE("https://mitra.stanford.edu/kundaje/oak/projects/neuro-variants/variant_position/credible/roussos_2024/variant_figures/roussos_2024.adolescence.GLU/rs7007660_count_position.png",4,220,900)</f>
        <v/>
      </c>
      <c r="T3968">
        <f>IMAGE("https://mitra.stanford.edu/kundaje/oak/projects/neuro-variants/variant_position/credible/roussos_2024/variant_figures/roussos_2024.adolescence.GLU/rs7007660_profile_position.png",4,220,900)</f>
        <v/>
      </c>
    </row>
    <row r="3969">
      <c r="A3969" t="inlineStr">
        <is>
          <t>chr8</t>
        </is>
      </c>
      <c r="B3969" t="n">
        <v>88541760</v>
      </c>
      <c r="C3969" t="inlineStr">
        <is>
          <t>C</t>
        </is>
      </c>
      <c r="D3969" t="inlineStr">
        <is>
          <t>G</t>
        </is>
      </c>
      <c r="E3969" t="inlineStr">
        <is>
          <t>rs16884246</t>
        </is>
      </c>
      <c r="F3969" t="n">
        <v>0.07559182099999991</v>
      </c>
      <c r="G3969" t="n">
        <v>0.0175044979024068</v>
      </c>
      <c r="H3969" t="n">
        <v>0.0153560987157481</v>
      </c>
      <c r="I3969" t="n">
        <v>0.1542362630628799</v>
      </c>
      <c r="J3969" t="n">
        <v>0.0019504040122596</v>
      </c>
      <c r="K3969" t="n">
        <v>0.9556217663813128</v>
      </c>
      <c r="L3969" t="b">
        <v>1</v>
      </c>
      <c r="M3969" t="b">
        <v>0</v>
      </c>
      <c r="N3969" t="inlineStr">
        <is>
          <t>alt</t>
        </is>
      </c>
      <c r="O3969" t="n">
        <v>60</v>
      </c>
      <c r="P3969" t="n">
        <v>0.003244</v>
      </c>
      <c r="Q3969" t="n">
        <v>0</v>
      </c>
      <c r="R3969" t="n">
        <v>0</v>
      </c>
      <c r="S3969">
        <f>IMAGE("https://mitra.stanford.edu/kundaje/oak/projects/neuro-variants/variant_position/credible/roussos_2024/variant_figures/roussos_2024.adolescence.GLU/rs16884246_count_position.png",4,220,900)</f>
        <v/>
      </c>
      <c r="T3969">
        <f>IMAGE("https://mitra.stanford.edu/kundaje/oak/projects/neuro-variants/variant_position/credible/roussos_2024/variant_figures/roussos_2024.adolescence.GLU/rs16884246_profile_position.png",4,220,900)</f>
        <v/>
      </c>
    </row>
    <row r="3970">
      <c r="A3970" t="inlineStr">
        <is>
          <t>chr8</t>
        </is>
      </c>
      <c r="B3970" t="n">
        <v>88548660</v>
      </c>
      <c r="C3970" t="inlineStr">
        <is>
          <t>G</t>
        </is>
      </c>
      <c r="D3970" t="inlineStr">
        <is>
          <t>A</t>
        </is>
      </c>
      <c r="E3970" t="inlineStr">
        <is>
          <t>rs34846572</t>
        </is>
      </c>
      <c r="F3970" t="n">
        <v>0.0058585397</v>
      </c>
      <c r="G3970" t="n">
        <v>0.6234771748582896</v>
      </c>
      <c r="H3970" t="n">
        <v>0.0100793322583114</v>
      </c>
      <c r="I3970" t="n">
        <v>0.5209389393731902</v>
      </c>
      <c r="J3970" t="n">
        <v>0.1558780033006837</v>
      </c>
      <c r="K3970" t="n">
        <v>0.4658901365943803</v>
      </c>
      <c r="L3970" t="b">
        <v>0</v>
      </c>
      <c r="M3970" t="b">
        <v>0</v>
      </c>
      <c r="N3970" t="inlineStr">
        <is>
          <t>alt</t>
        </is>
      </c>
      <c r="O3970" t="n">
        <v>-70</v>
      </c>
      <c r="P3970" t="n">
        <v>0.01695</v>
      </c>
      <c r="Q3970" t="n">
        <v>25</v>
      </c>
      <c r="R3970" t="n">
        <v>0.0321</v>
      </c>
      <c r="S3970">
        <f>IMAGE("https://mitra.stanford.edu/kundaje/oak/projects/neuro-variants/variant_position/credible/roussos_2024/variant_figures/roussos_2024.adolescence.GLU/rs34846572_count_position.png",4,220,900)</f>
        <v/>
      </c>
      <c r="T3970">
        <f>IMAGE("https://mitra.stanford.edu/kundaje/oak/projects/neuro-variants/variant_position/credible/roussos_2024/variant_figures/roussos_2024.adolescence.GLU/rs34846572_profile_position.png",4,220,900)</f>
        <v/>
      </c>
    </row>
    <row r="3971">
      <c r="A3971" t="inlineStr">
        <is>
          <t>chr8</t>
        </is>
      </c>
      <c r="B3971" t="n">
        <v>88570396</v>
      </c>
      <c r="C3971" t="inlineStr">
        <is>
          <t>A</t>
        </is>
      </c>
      <c r="D3971" t="inlineStr">
        <is>
          <t>G</t>
        </is>
      </c>
      <c r="E3971" t="inlineStr">
        <is>
          <t>rs10504857</t>
        </is>
      </c>
      <c r="F3971" t="n">
        <v>-0.0172443453</v>
      </c>
      <c r="G3971" t="n">
        <v>0.3501484883704306</v>
      </c>
      <c r="H3971" t="n">
        <v>0.019051505729731</v>
      </c>
      <c r="I3971" t="n">
        <v>0.06550612065016739</v>
      </c>
      <c r="J3971" t="n">
        <v>0.09938058597852401</v>
      </c>
      <c r="K3971" t="n">
        <v>0.5779105810932593</v>
      </c>
      <c r="L3971" t="b">
        <v>0</v>
      </c>
      <c r="M3971" t="b">
        <v>0</v>
      </c>
      <c r="N3971" t="inlineStr">
        <is>
          <t>ref</t>
        </is>
      </c>
      <c r="O3971" t="n">
        <v>5</v>
      </c>
      <c r="P3971" t="n">
        <v>0.0002213</v>
      </c>
      <c r="Q3971" t="n">
        <v>90</v>
      </c>
      <c r="R3971" t="n">
        <v>0.01056</v>
      </c>
      <c r="S3971">
        <f>IMAGE("https://mitra.stanford.edu/kundaje/oak/projects/neuro-variants/variant_position/credible/roussos_2024/variant_figures/roussos_2024.adolescence.GLU/rs10504857_count_position.png",4,220,900)</f>
        <v/>
      </c>
      <c r="T3971">
        <f>IMAGE("https://mitra.stanford.edu/kundaje/oak/projects/neuro-variants/variant_position/credible/roussos_2024/variant_figures/roussos_2024.adolescence.GLU/rs10504857_profile_position.png",4,220,900)</f>
        <v/>
      </c>
    </row>
    <row r="3972">
      <c r="A3972" t="inlineStr">
        <is>
          <t>chr8</t>
        </is>
      </c>
      <c r="B3972" t="n">
        <v>88572819</v>
      </c>
      <c r="C3972" t="inlineStr">
        <is>
          <t>G</t>
        </is>
      </c>
      <c r="D3972" t="inlineStr">
        <is>
          <t>A</t>
        </is>
      </c>
      <c r="E3972" t="inlineStr">
        <is>
          <t>rs7838490</t>
        </is>
      </c>
      <c r="F3972" t="n">
        <v>0.00568659054</v>
      </c>
      <c r="G3972" t="n">
        <v>0.6923323539446331</v>
      </c>
      <c r="H3972" t="n">
        <v>0.0171583329626589</v>
      </c>
      <c r="I3972" t="n">
        <v>0.1041399812472173</v>
      </c>
      <c r="J3972" t="n">
        <v>0.0547041887248072</v>
      </c>
      <c r="K3972" t="n">
        <v>0.6815293602453605</v>
      </c>
      <c r="L3972" t="b">
        <v>0</v>
      </c>
      <c r="M3972" t="b">
        <v>0</v>
      </c>
      <c r="N3972" t="inlineStr">
        <is>
          <t>alt</t>
        </is>
      </c>
      <c r="O3972" t="n">
        <v>-95</v>
      </c>
      <c r="P3972" t="n">
        <v>0.02567</v>
      </c>
      <c r="Q3972" t="n">
        <v>-95</v>
      </c>
      <c r="R3972" t="n">
        <v>0.07623000000000001</v>
      </c>
      <c r="S3972">
        <f>IMAGE("https://mitra.stanford.edu/kundaje/oak/projects/neuro-variants/variant_position/credible/roussos_2024/variant_figures/roussos_2024.adolescence.GLU/rs7838490_count_position.png",4,220,900)</f>
        <v/>
      </c>
      <c r="T3972">
        <f>IMAGE("https://mitra.stanford.edu/kundaje/oak/projects/neuro-variants/variant_position/credible/roussos_2024/variant_figures/roussos_2024.adolescence.GLU/rs7838490_profile_position.png",4,220,900)</f>
        <v/>
      </c>
    </row>
    <row r="3973">
      <c r="A3973" t="inlineStr">
        <is>
          <t>chr8</t>
        </is>
      </c>
      <c r="B3973" t="n">
        <v>88581951</v>
      </c>
      <c r="C3973" t="inlineStr">
        <is>
          <t>G</t>
        </is>
      </c>
      <c r="D3973" t="inlineStr">
        <is>
          <t>T</t>
        </is>
      </c>
      <c r="E3973" t="inlineStr">
        <is>
          <t>rs71526952</t>
        </is>
      </c>
      <c r="F3973" t="n">
        <v>-0.002443931302</v>
      </c>
      <c r="G3973" t="n">
        <v>0.8572748012629653</v>
      </c>
      <c r="H3973" t="n">
        <v>0.0163592178548539</v>
      </c>
      <c r="I3973" t="n">
        <v>0.1179120299499569</v>
      </c>
      <c r="J3973" t="n">
        <v>0.0170463881804087</v>
      </c>
      <c r="K3973" t="n">
        <v>0.8311054829099421</v>
      </c>
      <c r="L3973" t="b">
        <v>0</v>
      </c>
      <c r="M3973" t="b">
        <v>0</v>
      </c>
      <c r="N3973" t="inlineStr">
        <is>
          <t>ref</t>
        </is>
      </c>
      <c r="O3973" t="n">
        <v>95</v>
      </c>
      <c r="P3973" t="n">
        <v>0.004562</v>
      </c>
      <c r="Q3973" t="n">
        <v>85</v>
      </c>
      <c r="R3973" t="n">
        <v>0.04382</v>
      </c>
      <c r="S3973">
        <f>IMAGE("https://mitra.stanford.edu/kundaje/oak/projects/neuro-variants/variant_position/credible/roussos_2024/variant_figures/roussos_2024.adolescence.GLU/rs71526952_count_position.png",4,220,900)</f>
        <v/>
      </c>
      <c r="T3973">
        <f>IMAGE("https://mitra.stanford.edu/kundaje/oak/projects/neuro-variants/variant_position/credible/roussos_2024/variant_figures/roussos_2024.adolescence.GLU/rs71526952_profile_position.png",4,220,900)</f>
        <v/>
      </c>
    </row>
    <row r="3974">
      <c r="A3974" t="inlineStr">
        <is>
          <t>chr8</t>
        </is>
      </c>
      <c r="B3974" t="n">
        <v>102649991</v>
      </c>
      <c r="C3974" t="inlineStr">
        <is>
          <t>G</t>
        </is>
      </c>
      <c r="D3974" t="inlineStr">
        <is>
          <t>A</t>
        </is>
      </c>
      <c r="E3974" t="inlineStr">
        <is>
          <t>rs3191333</t>
        </is>
      </c>
      <c r="F3974" t="n">
        <v>-0.0366431154</v>
      </c>
      <c r="G3974" t="n">
        <v>0.1326058141465821</v>
      </c>
      <c r="H3974" t="n">
        <v>0.0135086088669784</v>
      </c>
      <c r="I3974" t="n">
        <v>0.2396765015426636</v>
      </c>
      <c r="J3974" t="n">
        <v>0.3077923284108851</v>
      </c>
      <c r="K3974" t="n">
        <v>0.2608809161546135</v>
      </c>
      <c r="L3974" t="b">
        <v>0</v>
      </c>
      <c r="M3974" t="b">
        <v>0</v>
      </c>
      <c r="N3974" t="inlineStr">
        <is>
          <t>ref</t>
        </is>
      </c>
      <c r="O3974" t="n">
        <v>100</v>
      </c>
      <c r="P3974" t="n">
        <v>0.000778</v>
      </c>
      <c r="Q3974" t="n">
        <v>100</v>
      </c>
      <c r="R3974" t="n">
        <v>0.1497</v>
      </c>
      <c r="S3974">
        <f>IMAGE("https://mitra.stanford.edu/kundaje/oak/projects/neuro-variants/variant_position/credible/roussos_2024/variant_figures/roussos_2024.adolescence.GLU/rs3191333_count_position.png",4,220,900)</f>
        <v/>
      </c>
      <c r="T3974">
        <f>IMAGE("https://mitra.stanford.edu/kundaje/oak/projects/neuro-variants/variant_position/credible/roussos_2024/variant_figures/roussos_2024.adolescence.GLU/rs3191333_profile_position.png",4,220,900)</f>
        <v/>
      </c>
    </row>
    <row r="3975">
      <c r="A3975" t="inlineStr">
        <is>
          <t>chr8</t>
        </is>
      </c>
      <c r="B3975" t="n">
        <v>102657763</v>
      </c>
      <c r="C3975" t="inlineStr">
        <is>
          <t>A</t>
        </is>
      </c>
      <c r="D3975" t="inlineStr">
        <is>
          <t>G</t>
        </is>
      </c>
      <c r="E3975" t="inlineStr">
        <is>
          <t>rs4734654</t>
        </is>
      </c>
      <c r="F3975" t="n">
        <v>0.0377750631</v>
      </c>
      <c r="G3975" t="n">
        <v>0.1265123578656936</v>
      </c>
      <c r="H3975" t="n">
        <v>0.0155049260858977</v>
      </c>
      <c r="I3975" t="n">
        <v>0.1548965707427</v>
      </c>
      <c r="J3975" t="n">
        <v>0.5478306220574262</v>
      </c>
      <c r="K3975" t="n">
        <v>0.0611515460296467</v>
      </c>
      <c r="L3975" t="b">
        <v>0</v>
      </c>
      <c r="M3975" t="b">
        <v>0</v>
      </c>
      <c r="N3975" t="inlineStr">
        <is>
          <t>alt</t>
        </is>
      </c>
      <c r="O3975" t="n">
        <v>-10</v>
      </c>
      <c r="P3975" t="n">
        <v>0.001095</v>
      </c>
      <c r="Q3975" t="n">
        <v>40</v>
      </c>
      <c r="R3975" t="n">
        <v>0.003967</v>
      </c>
      <c r="S3975">
        <f>IMAGE("https://mitra.stanford.edu/kundaje/oak/projects/neuro-variants/variant_position/credible/roussos_2024/variant_figures/roussos_2024.adolescence.GLU/rs4734654_count_position.png",4,220,900)</f>
        <v/>
      </c>
      <c r="T3975">
        <f>IMAGE("https://mitra.stanford.edu/kundaje/oak/projects/neuro-variants/variant_position/credible/roussos_2024/variant_figures/roussos_2024.adolescence.GLU/rs4734654_profile_position.png",4,220,900)</f>
        <v/>
      </c>
    </row>
    <row r="3976">
      <c r="A3976" t="inlineStr">
        <is>
          <t>chr8</t>
        </is>
      </c>
      <c r="B3976" t="n">
        <v>102658852</v>
      </c>
      <c r="C3976" t="inlineStr">
        <is>
          <t>G</t>
        </is>
      </c>
      <c r="D3976" t="inlineStr">
        <is>
          <t>A</t>
        </is>
      </c>
      <c r="E3976" t="inlineStr">
        <is>
          <t>rs1434281</t>
        </is>
      </c>
      <c r="F3976" t="n">
        <v>-0.0587802013999999</v>
      </c>
      <c r="G3976" t="n">
        <v>0.0446230533985275</v>
      </c>
      <c r="H3976" t="n">
        <v>0.0106716487763386</v>
      </c>
      <c r="I3976" t="n">
        <v>0.4646947548020141</v>
      </c>
      <c r="J3976" t="n">
        <v>0.3179315715398189</v>
      </c>
      <c r="K3976" t="n">
        <v>0.2510199738318052</v>
      </c>
      <c r="L3976" t="b">
        <v>0</v>
      </c>
      <c r="M3976" t="b">
        <v>0</v>
      </c>
      <c r="N3976" t="inlineStr">
        <is>
          <t>ref</t>
        </is>
      </c>
      <c r="O3976" t="n">
        <v>10</v>
      </c>
      <c r="P3976" t="n">
        <v>0.000946</v>
      </c>
      <c r="Q3976" t="n">
        <v>-100</v>
      </c>
      <c r="R3976" t="n">
        <v>0.0401</v>
      </c>
      <c r="S3976">
        <f>IMAGE("https://mitra.stanford.edu/kundaje/oak/projects/neuro-variants/variant_position/credible/roussos_2024/variant_figures/roussos_2024.adolescence.GLU/rs1434281_count_position.png",4,220,900)</f>
        <v/>
      </c>
      <c r="T3976">
        <f>IMAGE("https://mitra.stanford.edu/kundaje/oak/projects/neuro-variants/variant_position/credible/roussos_2024/variant_figures/roussos_2024.adolescence.GLU/rs1434281_profile_position.png",4,220,900)</f>
        <v/>
      </c>
    </row>
    <row r="3977">
      <c r="A3977" t="inlineStr">
        <is>
          <t>chr8</t>
        </is>
      </c>
      <c r="B3977" t="n">
        <v>102665495</v>
      </c>
      <c r="C3977" t="inlineStr">
        <is>
          <t>C</t>
        </is>
      </c>
      <c r="D3977" t="inlineStr">
        <is>
          <t>A</t>
        </is>
      </c>
      <c r="E3977" t="inlineStr">
        <is>
          <t>rs2436936</t>
        </is>
      </c>
      <c r="F3977" t="n">
        <v>0.000861671694</v>
      </c>
      <c r="G3977" t="n">
        <v>0.8398292651614038</v>
      </c>
      <c r="H3977" t="n">
        <v>0.029136366402526</v>
      </c>
      <c r="I3977" t="n">
        <v>0.0101590280782493</v>
      </c>
      <c r="J3977" t="n">
        <v>0.0261282694272384</v>
      </c>
      <c r="K3977" t="n">
        <v>0.796065165004156</v>
      </c>
      <c r="L3977" t="b">
        <v>1</v>
      </c>
      <c r="M3977" t="b">
        <v>0</v>
      </c>
      <c r="N3977" t="inlineStr">
        <is>
          <t>alt</t>
        </is>
      </c>
      <c r="O3977" t="n">
        <v>-55</v>
      </c>
      <c r="P3977" t="n">
        <v>0.007324</v>
      </c>
      <c r="Q3977" t="n">
        <v>-95</v>
      </c>
      <c r="R3977" t="n">
        <v>0.08160000000000001</v>
      </c>
      <c r="S3977">
        <f>IMAGE("https://mitra.stanford.edu/kundaje/oak/projects/neuro-variants/variant_position/credible/roussos_2024/variant_figures/roussos_2024.adolescence.GLU/rs2436936_count_position.png",4,220,900)</f>
        <v/>
      </c>
      <c r="T3977">
        <f>IMAGE("https://mitra.stanford.edu/kundaje/oak/projects/neuro-variants/variant_position/credible/roussos_2024/variant_figures/roussos_2024.adolescence.GLU/rs2436936_profile_position.png",4,220,900)</f>
        <v/>
      </c>
    </row>
    <row r="3978">
      <c r="A3978" t="inlineStr">
        <is>
          <t>chr8</t>
        </is>
      </c>
      <c r="B3978" t="n">
        <v>102916522</v>
      </c>
      <c r="C3978" t="inlineStr">
        <is>
          <t>A</t>
        </is>
      </c>
      <c r="D3978" t="inlineStr">
        <is>
          <t>G</t>
        </is>
      </c>
      <c r="E3978" t="inlineStr">
        <is>
          <t>rs7841632</t>
        </is>
      </c>
      <c r="F3978" t="n">
        <v>-0.00469691534</v>
      </c>
      <c r="G3978" t="n">
        <v>0.712487899457982</v>
      </c>
      <c r="H3978" t="n">
        <v>0.0242807196372202</v>
      </c>
      <c r="I3978" t="n">
        <v>0.0233895528356606</v>
      </c>
      <c r="J3978" t="n">
        <v>0.1030270556043751</v>
      </c>
      <c r="K3978" t="n">
        <v>0.5730298205180935</v>
      </c>
      <c r="L3978" t="b">
        <v>0</v>
      </c>
      <c r="M3978" t="b">
        <v>0</v>
      </c>
      <c r="N3978" t="inlineStr">
        <is>
          <t>ref</t>
        </is>
      </c>
      <c r="O3978" t="n">
        <v>-85</v>
      </c>
      <c r="P3978" t="n">
        <v>0.0169</v>
      </c>
      <c r="Q3978" t="n">
        <v>-35</v>
      </c>
      <c r="R3978" t="n">
        <v>0.05954</v>
      </c>
      <c r="S3978">
        <f>IMAGE("https://mitra.stanford.edu/kundaje/oak/projects/neuro-variants/variant_position/credible/roussos_2024/variant_figures/roussos_2024.adolescence.GLU/rs7841632_count_position.png",4,220,900)</f>
        <v/>
      </c>
      <c r="T3978">
        <f>IMAGE("https://mitra.stanford.edu/kundaje/oak/projects/neuro-variants/variant_position/credible/roussos_2024/variant_figures/roussos_2024.adolescence.GLU/rs7841632_profile_position.png",4,220,900)</f>
        <v/>
      </c>
    </row>
    <row r="3979">
      <c r="A3979" t="inlineStr">
        <is>
          <t>chr8</t>
        </is>
      </c>
      <c r="B3979" t="n">
        <v>110459785</v>
      </c>
      <c r="C3979" t="inlineStr">
        <is>
          <t>G</t>
        </is>
      </c>
      <c r="D3979" t="inlineStr">
        <is>
          <t>A</t>
        </is>
      </c>
      <c r="E3979" t="inlineStr">
        <is>
          <t>rs36043959</t>
        </is>
      </c>
      <c r="F3979" t="n">
        <v>-0.0234410920999999</v>
      </c>
      <c r="G3979" t="n">
        <v>0.2569265351173248</v>
      </c>
      <c r="H3979" t="n">
        <v>0.0116274892585377</v>
      </c>
      <c r="I3979" t="n">
        <v>0.3733438391817882</v>
      </c>
      <c r="J3979" t="n">
        <v>0.0117895849854612</v>
      </c>
      <c r="K3979" t="n">
        <v>0.8626907391947329</v>
      </c>
      <c r="L3979" t="b">
        <v>0</v>
      </c>
      <c r="M3979" t="b">
        <v>0</v>
      </c>
      <c r="N3979" t="inlineStr">
        <is>
          <t>ref</t>
        </is>
      </c>
      <c r="O3979" t="n">
        <v>0</v>
      </c>
      <c r="P3979" t="n">
        <v>0</v>
      </c>
      <c r="Q3979" t="n">
        <v>-45</v>
      </c>
      <c r="R3979" t="n">
        <v>0.0444</v>
      </c>
      <c r="S3979">
        <f>IMAGE("https://mitra.stanford.edu/kundaje/oak/projects/neuro-variants/variant_position/credible/roussos_2024/variant_figures/roussos_2024.adolescence.GLU/rs36043959_count_position.png",4,220,900)</f>
        <v/>
      </c>
      <c r="T3979">
        <f>IMAGE("https://mitra.stanford.edu/kundaje/oak/projects/neuro-variants/variant_position/credible/roussos_2024/variant_figures/roussos_2024.adolescence.GLU/rs36043959_profile_position.png",4,220,900)</f>
        <v/>
      </c>
    </row>
    <row r="3980">
      <c r="A3980" t="inlineStr">
        <is>
          <t>chr8</t>
        </is>
      </c>
      <c r="B3980" t="n">
        <v>110466092</v>
      </c>
      <c r="C3980" t="inlineStr">
        <is>
          <t>A</t>
        </is>
      </c>
      <c r="D3980" t="inlineStr">
        <is>
          <t>C</t>
        </is>
      </c>
      <c r="E3980" t="inlineStr">
        <is>
          <t>rs13267290</t>
        </is>
      </c>
      <c r="F3980" t="n">
        <v>-0.00553332168</v>
      </c>
      <c r="G3980" t="n">
        <v>0.6769237197327103</v>
      </c>
      <c r="H3980" t="n">
        <v>0.0288096394549485</v>
      </c>
      <c r="I3980" t="n">
        <v>0.0110977262810439</v>
      </c>
      <c r="J3980" t="n">
        <v>0.0229904765987239</v>
      </c>
      <c r="K3980" t="n">
        <v>0.8061428893414999</v>
      </c>
      <c r="L3980" t="b">
        <v>1</v>
      </c>
      <c r="M3980" t="b">
        <v>0</v>
      </c>
      <c r="N3980" t="inlineStr">
        <is>
          <t>ref</t>
        </is>
      </c>
      <c r="O3980" t="n">
        <v>-65</v>
      </c>
      <c r="P3980" t="n">
        <v>0.00415</v>
      </c>
      <c r="Q3980" t="n">
        <v>90</v>
      </c>
      <c r="R3980" t="n">
        <v>0.03735</v>
      </c>
      <c r="S3980">
        <f>IMAGE("https://mitra.stanford.edu/kundaje/oak/projects/neuro-variants/variant_position/credible/roussos_2024/variant_figures/roussos_2024.adolescence.GLU/rs13267290_count_position.png",4,220,900)</f>
        <v/>
      </c>
      <c r="T3980">
        <f>IMAGE("https://mitra.stanford.edu/kundaje/oak/projects/neuro-variants/variant_position/credible/roussos_2024/variant_figures/roussos_2024.adolescence.GLU/rs13267290_profile_position.png",4,220,900)</f>
        <v/>
      </c>
    </row>
    <row r="3981">
      <c r="A3981" t="inlineStr">
        <is>
          <t>chr8</t>
        </is>
      </c>
      <c r="B3981" t="n">
        <v>110494336</v>
      </c>
      <c r="C3981" t="inlineStr">
        <is>
          <t>C</t>
        </is>
      </c>
      <c r="D3981" t="inlineStr">
        <is>
          <t>G</t>
        </is>
      </c>
      <c r="E3981" t="inlineStr">
        <is>
          <t>rs6995307</t>
        </is>
      </c>
      <c r="F3981" t="n">
        <v>0.0251984112</v>
      </c>
      <c r="G3981" t="n">
        <v>0.2216600024372396</v>
      </c>
      <c r="H3981" t="n">
        <v>0.0142741522170574</v>
      </c>
      <c r="I3981" t="n">
        <v>0.2213687089266377</v>
      </c>
      <c r="J3981" t="n">
        <v>0.0055525787484549</v>
      </c>
      <c r="K3981" t="n">
        <v>0.9151501635376128</v>
      </c>
      <c r="L3981" t="b">
        <v>0</v>
      </c>
      <c r="M3981" t="b">
        <v>0</v>
      </c>
      <c r="N3981" t="inlineStr">
        <is>
          <t>alt</t>
        </is>
      </c>
      <c r="O3981" t="n">
        <v>-95</v>
      </c>
      <c r="P3981" t="n">
        <v>0.008160000000000001</v>
      </c>
      <c r="Q3981" t="n">
        <v>15</v>
      </c>
      <c r="R3981" t="n">
        <v>0.01228</v>
      </c>
      <c r="S3981">
        <f>IMAGE("https://mitra.stanford.edu/kundaje/oak/projects/neuro-variants/variant_position/credible/roussos_2024/variant_figures/roussos_2024.adolescence.GLU/rs6995307_count_position.png",4,220,900)</f>
        <v/>
      </c>
      <c r="T3981">
        <f>IMAGE("https://mitra.stanford.edu/kundaje/oak/projects/neuro-variants/variant_position/credible/roussos_2024/variant_figures/roussos_2024.adolescence.GLU/rs6995307_profile_position.png",4,220,900)</f>
        <v/>
      </c>
    </row>
    <row r="3982">
      <c r="A3982" t="inlineStr">
        <is>
          <t>chr8</t>
        </is>
      </c>
      <c r="B3982" t="n">
        <v>110510428</v>
      </c>
      <c r="C3982" t="inlineStr">
        <is>
          <t>T</t>
        </is>
      </c>
      <c r="D3982" t="inlineStr">
        <is>
          <t>C</t>
        </is>
      </c>
      <c r="E3982" t="inlineStr">
        <is>
          <t>rs111534212</t>
        </is>
      </c>
      <c r="F3982" t="n">
        <v>-0.0001804269</v>
      </c>
      <c r="G3982" t="n">
        <v>0.7225260118874332</v>
      </c>
      <c r="H3982" t="n">
        <v>0.03177003964432</v>
      </c>
      <c r="I3982" t="n">
        <v>0.0083212094278458</v>
      </c>
      <c r="J3982" t="n">
        <v>0.0024719406162704</v>
      </c>
      <c r="K3982" t="n">
        <v>0.9485798205871124</v>
      </c>
      <c r="L3982" t="b">
        <v>0</v>
      </c>
      <c r="M3982" t="b">
        <v>0</v>
      </c>
      <c r="N3982" t="inlineStr">
        <is>
          <t>ref</t>
        </is>
      </c>
      <c r="O3982" t="n">
        <v>-35</v>
      </c>
      <c r="P3982" t="n">
        <v>0.001343</v>
      </c>
      <c r="Q3982" t="n">
        <v>-40</v>
      </c>
      <c r="R3982" t="n">
        <v>0.02197</v>
      </c>
      <c r="S3982">
        <f>IMAGE("https://mitra.stanford.edu/kundaje/oak/projects/neuro-variants/variant_position/credible/roussos_2024/variant_figures/roussos_2024.adolescence.GLU/rs111534212_count_position.png",4,220,900)</f>
        <v/>
      </c>
      <c r="T3982">
        <f>IMAGE("https://mitra.stanford.edu/kundaje/oak/projects/neuro-variants/variant_position/credible/roussos_2024/variant_figures/roussos_2024.adolescence.GLU/rs111534212_profile_position.png",4,220,900)</f>
        <v/>
      </c>
    </row>
    <row r="3983">
      <c r="A3983" t="inlineStr">
        <is>
          <t>chr8</t>
        </is>
      </c>
      <c r="B3983" t="n">
        <v>110564460</v>
      </c>
      <c r="C3983" t="inlineStr">
        <is>
          <t>C</t>
        </is>
      </c>
      <c r="D3983" t="inlineStr">
        <is>
          <t>A</t>
        </is>
      </c>
      <c r="E3983" t="inlineStr">
        <is>
          <t>rs13280766</t>
        </is>
      </c>
      <c r="F3983" t="n">
        <v>-0.01350702254</v>
      </c>
      <c r="G3983" t="n">
        <v>0.4296030911625561</v>
      </c>
      <c r="H3983" t="n">
        <v>0.0259024812277245</v>
      </c>
      <c r="I3983" t="n">
        <v>0.0164554765873542</v>
      </c>
      <c r="J3983" t="n">
        <v>0.08868408456037311</v>
      </c>
      <c r="K3983" t="n">
        <v>0.5952259264165812</v>
      </c>
      <c r="L3983" t="b">
        <v>1</v>
      </c>
      <c r="M3983" t="b">
        <v>0</v>
      </c>
      <c r="N3983" t="inlineStr">
        <is>
          <t>ref</t>
        </is>
      </c>
      <c r="O3983" t="n">
        <v>-20</v>
      </c>
      <c r="P3983" t="n">
        <v>0.002075</v>
      </c>
      <c r="Q3983" t="n">
        <v>-60</v>
      </c>
      <c r="R3983" t="n">
        <v>0.02783</v>
      </c>
      <c r="S3983">
        <f>IMAGE("https://mitra.stanford.edu/kundaje/oak/projects/neuro-variants/variant_position/credible/roussos_2024/variant_figures/roussos_2024.adolescence.GLU/rs13280766_count_position.png",4,220,900)</f>
        <v/>
      </c>
      <c r="T3983">
        <f>IMAGE("https://mitra.stanford.edu/kundaje/oak/projects/neuro-variants/variant_position/credible/roussos_2024/variant_figures/roussos_2024.adolescence.GLU/rs13280766_profile_position.png",4,220,900)</f>
        <v/>
      </c>
    </row>
    <row r="3984">
      <c r="A3984" t="inlineStr">
        <is>
          <t>chr8</t>
        </is>
      </c>
      <c r="B3984" t="n">
        <v>110588499</v>
      </c>
      <c r="C3984" t="inlineStr">
        <is>
          <t>G</t>
        </is>
      </c>
      <c r="D3984" t="inlineStr">
        <is>
          <t>T</t>
        </is>
      </c>
      <c r="E3984" t="inlineStr">
        <is>
          <t>rs6990323</t>
        </is>
      </c>
      <c r="F3984" t="n">
        <v>-0.003776670176</v>
      </c>
      <c r="G3984" t="n">
        <v>0.7481343848369408</v>
      </c>
      <c r="H3984" t="n">
        <v>0.0217220210810403</v>
      </c>
      <c r="I3984" t="n">
        <v>0.0419847286220583</v>
      </c>
      <c r="J3984" t="n">
        <v>0.0214815926156131</v>
      </c>
      <c r="K3984" t="n">
        <v>0.8092149881277146</v>
      </c>
      <c r="L3984" t="b">
        <v>0</v>
      </c>
      <c r="M3984" t="b">
        <v>0</v>
      </c>
      <c r="N3984" t="inlineStr">
        <is>
          <t>ref</t>
        </is>
      </c>
      <c r="O3984" t="n">
        <v>-45</v>
      </c>
      <c r="P3984" t="n">
        <v>0.05908</v>
      </c>
      <c r="Q3984" t="n">
        <v>95</v>
      </c>
      <c r="R3984" t="n">
        <v>0.04288</v>
      </c>
      <c r="S3984">
        <f>IMAGE("https://mitra.stanford.edu/kundaje/oak/projects/neuro-variants/variant_position/credible/roussos_2024/variant_figures/roussos_2024.adolescence.GLU/rs6990323_count_position.png",4,220,900)</f>
        <v/>
      </c>
      <c r="T3984">
        <f>IMAGE("https://mitra.stanford.edu/kundaje/oak/projects/neuro-variants/variant_position/credible/roussos_2024/variant_figures/roussos_2024.adolescence.GLU/rs6990323_profile_position.png",4,220,900)</f>
        <v/>
      </c>
    </row>
    <row r="3985">
      <c r="A3985" t="inlineStr">
        <is>
          <t>chr8</t>
        </is>
      </c>
      <c r="B3985" t="n">
        <v>110607825</v>
      </c>
      <c r="C3985" t="inlineStr">
        <is>
          <t>A</t>
        </is>
      </c>
      <c r="D3985" t="inlineStr">
        <is>
          <t>T</t>
        </is>
      </c>
      <c r="E3985" t="inlineStr">
        <is>
          <t>rs16880919</t>
        </is>
      </c>
      <c r="F3985" t="n">
        <v>-0.01232569834</v>
      </c>
      <c r="G3985" t="n">
        <v>0.5314047169054211</v>
      </c>
      <c r="H3985" t="n">
        <v>0.0139055682758657</v>
      </c>
      <c r="I3985" t="n">
        <v>0.2114387692440735</v>
      </c>
      <c r="J3985" t="n">
        <v>0.0324595809131891</v>
      </c>
      <c r="K3985" t="n">
        <v>0.7596257496377156</v>
      </c>
      <c r="L3985" t="b">
        <v>0</v>
      </c>
      <c r="M3985" t="b">
        <v>0</v>
      </c>
      <c r="N3985" t="inlineStr">
        <is>
          <t>ref</t>
        </is>
      </c>
      <c r="O3985" t="n">
        <v>100</v>
      </c>
      <c r="P3985" t="n">
        <v>0.007557</v>
      </c>
      <c r="Q3985" t="n">
        <v>-55</v>
      </c>
      <c r="R3985" t="n">
        <v>0.0263</v>
      </c>
      <c r="S3985">
        <f>IMAGE("https://mitra.stanford.edu/kundaje/oak/projects/neuro-variants/variant_position/credible/roussos_2024/variant_figures/roussos_2024.adolescence.GLU/rs16880919_count_position.png",4,220,900)</f>
        <v/>
      </c>
      <c r="T3985">
        <f>IMAGE("https://mitra.stanford.edu/kundaje/oak/projects/neuro-variants/variant_position/credible/roussos_2024/variant_figures/roussos_2024.adolescence.GLU/rs16880919_profile_position.png",4,220,900)</f>
        <v/>
      </c>
    </row>
    <row r="3986">
      <c r="A3986" t="inlineStr">
        <is>
          <t>chr8</t>
        </is>
      </c>
      <c r="B3986" t="n">
        <v>110609036</v>
      </c>
      <c r="C3986" t="inlineStr">
        <is>
          <t>C</t>
        </is>
      </c>
      <c r="D3986" t="inlineStr">
        <is>
          <t>T</t>
        </is>
      </c>
      <c r="E3986" t="inlineStr">
        <is>
          <t>rs7007361</t>
        </is>
      </c>
      <c r="F3986" t="n">
        <v>-0.0536143958</v>
      </c>
      <c r="G3986" t="n">
        <v>0.0719021760289999</v>
      </c>
      <c r="H3986" t="n">
        <v>0.0212346670954032</v>
      </c>
      <c r="I3986" t="n">
        <v>0.0777610393279697</v>
      </c>
      <c r="J3986" t="n">
        <v>0.0208085960663279</v>
      </c>
      <c r="K3986" t="n">
        <v>0.8179143003934873</v>
      </c>
      <c r="L3986" t="b">
        <v>0</v>
      </c>
      <c r="M3986" t="b">
        <v>0</v>
      </c>
      <c r="N3986" t="inlineStr">
        <is>
          <t>ref</t>
        </is>
      </c>
      <c r="O3986" t="n">
        <v>60</v>
      </c>
      <c r="P3986" t="n">
        <v>0.004425</v>
      </c>
      <c r="Q3986" t="n">
        <v>-65</v>
      </c>
      <c r="R3986" t="n">
        <v>0.02374</v>
      </c>
      <c r="S3986">
        <f>IMAGE("https://mitra.stanford.edu/kundaje/oak/projects/neuro-variants/variant_position/credible/roussos_2024/variant_figures/roussos_2024.adolescence.GLU/rs7007361_count_position.png",4,220,900)</f>
        <v/>
      </c>
      <c r="T3986">
        <f>IMAGE("https://mitra.stanford.edu/kundaje/oak/projects/neuro-variants/variant_position/credible/roussos_2024/variant_figures/roussos_2024.adolescence.GLU/rs7007361_profile_position.png",4,220,900)</f>
        <v/>
      </c>
    </row>
    <row r="3987">
      <c r="A3987" t="inlineStr">
        <is>
          <t>chr8</t>
        </is>
      </c>
      <c r="B3987" t="n">
        <v>110614839</v>
      </c>
      <c r="C3987" t="inlineStr">
        <is>
          <t>C</t>
        </is>
      </c>
      <c r="D3987" t="inlineStr">
        <is>
          <t>T</t>
        </is>
      </c>
      <c r="E3987" t="inlineStr">
        <is>
          <t>rs34921000</t>
        </is>
      </c>
      <c r="F3987" t="n">
        <v>-0.07985004599999999</v>
      </c>
      <c r="G3987" t="n">
        <v>0.0152436458027994</v>
      </c>
      <c r="H3987" t="n">
        <v>0.0126925640351653</v>
      </c>
      <c r="I3987" t="n">
        <v>0.2657988833914692</v>
      </c>
      <c r="J3987" t="n">
        <v>0.1483950246836844</v>
      </c>
      <c r="K3987" t="n">
        <v>0.4827777777306166</v>
      </c>
      <c r="L3987" t="b">
        <v>1</v>
      </c>
      <c r="M3987" t="b">
        <v>0</v>
      </c>
      <c r="N3987" t="inlineStr">
        <is>
          <t>ref</t>
        </is>
      </c>
      <c r="O3987" t="n">
        <v>-100</v>
      </c>
      <c r="P3987" t="n">
        <v>0.01665</v>
      </c>
      <c r="Q3987" t="n">
        <v>-50</v>
      </c>
      <c r="R3987" t="n">
        <v>0.04163</v>
      </c>
      <c r="S3987">
        <f>IMAGE("https://mitra.stanford.edu/kundaje/oak/projects/neuro-variants/variant_position/credible/roussos_2024/variant_figures/roussos_2024.adolescence.GLU/rs34921000_count_position.png",4,220,900)</f>
        <v/>
      </c>
      <c r="T3987">
        <f>IMAGE("https://mitra.stanford.edu/kundaje/oak/projects/neuro-variants/variant_position/credible/roussos_2024/variant_figures/roussos_2024.adolescence.GLU/rs34921000_profile_position.png",4,220,900)</f>
        <v/>
      </c>
    </row>
    <row r="3988">
      <c r="A3988" t="inlineStr">
        <is>
          <t>chr8</t>
        </is>
      </c>
      <c r="B3988" t="n">
        <v>115831047</v>
      </c>
      <c r="C3988" t="inlineStr">
        <is>
          <t>T</t>
        </is>
      </c>
      <c r="D3988" t="inlineStr">
        <is>
          <t>C</t>
        </is>
      </c>
      <c r="E3988" t="inlineStr">
        <is>
          <t>rs800531</t>
        </is>
      </c>
      <c r="F3988" t="n">
        <v>0.01091315242</v>
      </c>
      <c r="G3988" t="n">
        <v>0.4699801522762193</v>
      </c>
      <c r="H3988" t="n">
        <v>0.0106576665633599</v>
      </c>
      <c r="I3988" t="n">
        <v>0.4405909737387795</v>
      </c>
      <c r="J3988" t="n">
        <v>0.0736824056411684</v>
      </c>
      <c r="K3988" t="n">
        <v>0.6324885265346839</v>
      </c>
      <c r="L3988" t="b">
        <v>0</v>
      </c>
      <c r="M3988" t="b">
        <v>0</v>
      </c>
      <c r="N3988" t="inlineStr">
        <is>
          <t>alt</t>
        </is>
      </c>
      <c r="O3988" t="n">
        <v>100</v>
      </c>
      <c r="P3988" t="n">
        <v>0.02737</v>
      </c>
      <c r="Q3988" t="n">
        <v>50</v>
      </c>
      <c r="R3988" t="n">
        <v>0.06274</v>
      </c>
      <c r="S3988">
        <f>IMAGE("https://mitra.stanford.edu/kundaje/oak/projects/neuro-variants/variant_position/credible/roussos_2024/variant_figures/roussos_2024.adolescence.GLU/rs800531_count_position.png",4,220,900)</f>
        <v/>
      </c>
      <c r="T3988">
        <f>IMAGE("https://mitra.stanford.edu/kundaje/oak/projects/neuro-variants/variant_position/credible/roussos_2024/variant_figures/roussos_2024.adolescence.GLU/rs800531_profile_position.png",4,220,900)</f>
        <v/>
      </c>
    </row>
    <row r="3989">
      <c r="A3989" t="inlineStr">
        <is>
          <t>chr8</t>
        </is>
      </c>
      <c r="B3989" t="n">
        <v>115835299</v>
      </c>
      <c r="C3989" t="inlineStr">
        <is>
          <t>T</t>
        </is>
      </c>
      <c r="D3989" t="inlineStr">
        <is>
          <t>C</t>
        </is>
      </c>
      <c r="E3989" t="inlineStr">
        <is>
          <t>rs800524</t>
        </is>
      </c>
      <c r="F3989" t="n">
        <v>0.0117529344</v>
      </c>
      <c r="G3989" t="n">
        <v>0.4510418795739662</v>
      </c>
      <c r="H3989" t="n">
        <v>0.0080513234120479</v>
      </c>
      <c r="I3989" t="n">
        <v>0.787702178088639</v>
      </c>
      <c r="J3989" t="n">
        <v>0.0899772095648383</v>
      </c>
      <c r="K3989" t="n">
        <v>0.592237860317782</v>
      </c>
      <c r="L3989" t="b">
        <v>0</v>
      </c>
      <c r="M3989" t="b">
        <v>0</v>
      </c>
      <c r="N3989" t="inlineStr">
        <is>
          <t>alt</t>
        </is>
      </c>
      <c r="O3989" t="n">
        <v>-95</v>
      </c>
      <c r="P3989" t="n">
        <v>0.00153</v>
      </c>
      <c r="Q3989" t="n">
        <v>90</v>
      </c>
      <c r="R3989" t="n">
        <v>0.1223</v>
      </c>
      <c r="S3989">
        <f>IMAGE("https://mitra.stanford.edu/kundaje/oak/projects/neuro-variants/variant_position/credible/roussos_2024/variant_figures/roussos_2024.adolescence.GLU/rs800524_count_position.png",4,220,900)</f>
        <v/>
      </c>
      <c r="T3989">
        <f>IMAGE("https://mitra.stanford.edu/kundaje/oak/projects/neuro-variants/variant_position/credible/roussos_2024/variant_figures/roussos_2024.adolescence.GLU/rs800524_profile_position.png",4,220,900)</f>
        <v/>
      </c>
    </row>
    <row r="3990">
      <c r="A3990" t="inlineStr">
        <is>
          <t>chr8</t>
        </is>
      </c>
      <c r="B3990" t="n">
        <v>115852305</v>
      </c>
      <c r="C3990" t="inlineStr">
        <is>
          <t>C</t>
        </is>
      </c>
      <c r="D3990" t="inlineStr">
        <is>
          <t>G</t>
        </is>
      </c>
      <c r="E3990" t="inlineStr">
        <is>
          <t>rs800582</t>
        </is>
      </c>
      <c r="F3990" t="n">
        <v>0.016714046</v>
      </c>
      <c r="G3990" t="n">
        <v>0.3401576909968374</v>
      </c>
      <c r="H3990" t="n">
        <v>0.0103520489785984</v>
      </c>
      <c r="I3990" t="n">
        <v>0.47415731313625</v>
      </c>
      <c r="J3990" t="n">
        <v>0.0254581306127697</v>
      </c>
      <c r="K3990" t="n">
        <v>0.7965447640275291</v>
      </c>
      <c r="L3990" t="b">
        <v>0</v>
      </c>
      <c r="M3990" t="b">
        <v>0</v>
      </c>
      <c r="N3990" t="inlineStr">
        <is>
          <t>alt</t>
        </is>
      </c>
      <c r="O3990" t="n">
        <v>65</v>
      </c>
      <c r="P3990" t="n">
        <v>0.01816</v>
      </c>
      <c r="Q3990" t="n">
        <v>-5</v>
      </c>
      <c r="R3990" t="n">
        <v>0.004726</v>
      </c>
      <c r="S3990">
        <f>IMAGE("https://mitra.stanford.edu/kundaje/oak/projects/neuro-variants/variant_position/credible/roussos_2024/variant_figures/roussos_2024.adolescence.GLU/rs800582_count_position.png",4,220,900)</f>
        <v/>
      </c>
      <c r="T3990">
        <f>IMAGE("https://mitra.stanford.edu/kundaje/oak/projects/neuro-variants/variant_position/credible/roussos_2024/variant_figures/roussos_2024.adolescence.GLU/rs800582_profile_position.png",4,220,900)</f>
        <v/>
      </c>
    </row>
    <row r="3991">
      <c r="A3991" t="inlineStr">
        <is>
          <t>chr8</t>
        </is>
      </c>
      <c r="B3991" t="n">
        <v>116058513</v>
      </c>
      <c r="C3991" t="inlineStr">
        <is>
          <t>G</t>
        </is>
      </c>
      <c r="D3991" t="inlineStr">
        <is>
          <t>T</t>
        </is>
      </c>
      <c r="E3991" t="inlineStr">
        <is>
          <t>rs4876349</t>
        </is>
      </c>
      <c r="F3991" t="n">
        <v>-0.00204683464</v>
      </c>
      <c r="G3991" t="n">
        <v>0.778600274972624</v>
      </c>
      <c r="H3991" t="n">
        <v>0.0198149187299693</v>
      </c>
      <c r="I3991" t="n">
        <v>0.0539604867383866</v>
      </c>
      <c r="J3991" t="n">
        <v>0.1488379735802416</v>
      </c>
      <c r="K3991" t="n">
        <v>0.4736460783290354</v>
      </c>
      <c r="L3991" t="b">
        <v>0</v>
      </c>
      <c r="M3991" t="b">
        <v>0</v>
      </c>
      <c r="N3991" t="inlineStr">
        <is>
          <t>ref</t>
        </is>
      </c>
      <c r="O3991" t="n">
        <v>-100</v>
      </c>
      <c r="P3991" t="n">
        <v>0.008019999999999999</v>
      </c>
      <c r="Q3991" t="n">
        <v>-30</v>
      </c>
      <c r="R3991" t="n">
        <v>0.0348</v>
      </c>
      <c r="S3991">
        <f>IMAGE("https://mitra.stanford.edu/kundaje/oak/projects/neuro-variants/variant_position/credible/roussos_2024/variant_figures/roussos_2024.adolescence.GLU/rs4876349_count_position.png",4,220,900)</f>
        <v/>
      </c>
      <c r="T3991">
        <f>IMAGE("https://mitra.stanford.edu/kundaje/oak/projects/neuro-variants/variant_position/credible/roussos_2024/variant_figures/roussos_2024.adolescence.GLU/rs4876349_profile_position.png",4,220,900)</f>
        <v/>
      </c>
    </row>
    <row r="3992">
      <c r="A3992" t="inlineStr">
        <is>
          <t>chr8</t>
        </is>
      </c>
      <c r="B3992" t="n">
        <v>116320147</v>
      </c>
      <c r="C3992" t="inlineStr">
        <is>
          <t>C</t>
        </is>
      </c>
      <c r="D3992" t="inlineStr">
        <is>
          <t>T</t>
        </is>
      </c>
      <c r="E3992" t="inlineStr">
        <is>
          <t>rs76032162</t>
        </is>
      </c>
      <c r="F3992" t="n">
        <v>-0.02308236</v>
      </c>
      <c r="G3992" t="n">
        <v>0.1452165112932931</v>
      </c>
      <c r="H3992" t="n">
        <v>0.0124074200668975</v>
      </c>
      <c r="I3992" t="n">
        <v>0.3477478397915399</v>
      </c>
      <c r="J3992" t="n">
        <v>0.0714162219316858</v>
      </c>
      <c r="K3992" t="n">
        <v>0.633428503712742</v>
      </c>
      <c r="L3992" t="b">
        <v>0</v>
      </c>
      <c r="M3992" t="b">
        <v>0</v>
      </c>
      <c r="N3992" t="inlineStr">
        <is>
          <t>ref</t>
        </is>
      </c>
      <c r="O3992" t="n">
        <v>-90</v>
      </c>
      <c r="P3992" t="n">
        <v>0.02153</v>
      </c>
      <c r="Q3992" t="n">
        <v>-25</v>
      </c>
      <c r="R3992" t="n">
        <v>0.02365</v>
      </c>
      <c r="S3992">
        <f>IMAGE("https://mitra.stanford.edu/kundaje/oak/projects/neuro-variants/variant_position/credible/roussos_2024/variant_figures/roussos_2024.adolescence.GLU/rs76032162_count_position.png",4,220,900)</f>
        <v/>
      </c>
      <c r="T3992">
        <f>IMAGE("https://mitra.stanford.edu/kundaje/oak/projects/neuro-variants/variant_position/credible/roussos_2024/variant_figures/roussos_2024.adolescence.GLU/rs76032162_profile_position.png",4,220,900)</f>
        <v/>
      </c>
    </row>
    <row r="3993">
      <c r="A3993" t="inlineStr">
        <is>
          <t>chr8</t>
        </is>
      </c>
      <c r="B3993" t="n">
        <v>134793233</v>
      </c>
      <c r="C3993" t="inlineStr">
        <is>
          <t>T</t>
        </is>
      </c>
      <c r="D3993" t="inlineStr">
        <is>
          <t>G</t>
        </is>
      </c>
      <c r="E3993" t="inlineStr">
        <is>
          <t>rs10099070</t>
        </is>
      </c>
      <c r="F3993" t="n">
        <v>-0.004615752108</v>
      </c>
      <c r="G3993" t="n">
        <v>0.7538388511497208</v>
      </c>
      <c r="H3993" t="n">
        <v>0.009641895895022101</v>
      </c>
      <c r="I3993" t="n">
        <v>0.5737314730536126</v>
      </c>
      <c r="J3993" t="n">
        <v>0.1054875652813796</v>
      </c>
      <c r="K3993" t="n">
        <v>0.5650982174283501</v>
      </c>
      <c r="L3993" t="b">
        <v>0</v>
      </c>
      <c r="M3993" t="b">
        <v>0</v>
      </c>
      <c r="N3993" t="inlineStr">
        <is>
          <t>ref</t>
        </is>
      </c>
      <c r="O3993" t="n">
        <v>-40</v>
      </c>
      <c r="P3993" t="n">
        <v>0.00628</v>
      </c>
      <c r="Q3993" t="n">
        <v>-95</v>
      </c>
      <c r="R3993" t="n">
        <v>0.09546</v>
      </c>
      <c r="S3993">
        <f>IMAGE("https://mitra.stanford.edu/kundaje/oak/projects/neuro-variants/variant_position/credible/roussos_2024/variant_figures/roussos_2024.adolescence.GLU/rs10099070_count_position.png",4,220,900)</f>
        <v/>
      </c>
      <c r="T3993">
        <f>IMAGE("https://mitra.stanford.edu/kundaje/oak/projects/neuro-variants/variant_position/credible/roussos_2024/variant_figures/roussos_2024.adolescence.GLU/rs10099070_profile_position.png",4,220,900)</f>
        <v/>
      </c>
    </row>
    <row r="3994">
      <c r="A3994" t="inlineStr">
        <is>
          <t>chr8</t>
        </is>
      </c>
      <c r="B3994" t="n">
        <v>134797509</v>
      </c>
      <c r="C3994" t="inlineStr">
        <is>
          <t>A</t>
        </is>
      </c>
      <c r="D3994" t="inlineStr">
        <is>
          <t>C</t>
        </is>
      </c>
      <c r="E3994" t="inlineStr">
        <is>
          <t>rs10111734</t>
        </is>
      </c>
      <c r="F3994" t="n">
        <v>-0.00146949968</v>
      </c>
      <c r="G3994" t="n">
        <v>0.6635347680106926</v>
      </c>
      <c r="H3994" t="n">
        <v>0.0375282396630254</v>
      </c>
      <c r="I3994" t="n">
        <v>0.0034163095407661</v>
      </c>
      <c r="J3994" t="n">
        <v>0.0013302755570796</v>
      </c>
      <c r="K3994" t="n">
        <v>0.9657694059463998</v>
      </c>
      <c r="L3994" t="b">
        <v>0</v>
      </c>
      <c r="M3994" t="b">
        <v>0</v>
      </c>
      <c r="N3994" t="inlineStr">
        <is>
          <t>ref</t>
        </is>
      </c>
      <c r="O3994" t="n">
        <v>-5</v>
      </c>
      <c r="P3994" t="n">
        <v>0.0002136</v>
      </c>
      <c r="Q3994" t="n">
        <v>-85</v>
      </c>
      <c r="R3994" t="n">
        <v>0.009950000000000001</v>
      </c>
      <c r="S3994">
        <f>IMAGE("https://mitra.stanford.edu/kundaje/oak/projects/neuro-variants/variant_position/credible/roussos_2024/variant_figures/roussos_2024.adolescence.GLU/rs10111734_count_position.png",4,220,900)</f>
        <v/>
      </c>
      <c r="T3994">
        <f>IMAGE("https://mitra.stanford.edu/kundaje/oak/projects/neuro-variants/variant_position/credible/roussos_2024/variant_figures/roussos_2024.adolescence.GLU/rs10111734_profile_position.png",4,220,900)</f>
        <v/>
      </c>
    </row>
    <row r="3995">
      <c r="A3995" t="inlineStr">
        <is>
          <t>chr8</t>
        </is>
      </c>
      <c r="B3995" t="n">
        <v>134799373</v>
      </c>
      <c r="C3995" t="inlineStr">
        <is>
          <t>C</t>
        </is>
      </c>
      <c r="D3995" t="inlineStr">
        <is>
          <t>T</t>
        </is>
      </c>
      <c r="E3995" t="inlineStr">
        <is>
          <t>rs6577846</t>
        </is>
      </c>
      <c r="F3995" t="n">
        <v>0.0262319338</v>
      </c>
      <c r="G3995" t="n">
        <v>0.2100412094865398</v>
      </c>
      <c r="H3995" t="n">
        <v>0.0212628548461995</v>
      </c>
      <c r="I3995" t="n">
        <v>0.0618499681963599</v>
      </c>
      <c r="J3995" t="n">
        <v>0.0491158882911459</v>
      </c>
      <c r="K3995" t="n">
        <v>0.7044643172707591</v>
      </c>
      <c r="L3995" t="b">
        <v>0</v>
      </c>
      <c r="M3995" t="b">
        <v>0</v>
      </c>
      <c r="N3995" t="inlineStr">
        <is>
          <t>alt</t>
        </is>
      </c>
      <c r="O3995" t="n">
        <v>40</v>
      </c>
      <c r="P3995" t="n">
        <v>0.00264</v>
      </c>
      <c r="Q3995" t="n">
        <v>5</v>
      </c>
      <c r="R3995" t="n">
        <v>0.004272</v>
      </c>
      <c r="S3995">
        <f>IMAGE("https://mitra.stanford.edu/kundaje/oak/projects/neuro-variants/variant_position/credible/roussos_2024/variant_figures/roussos_2024.adolescence.GLU/rs6577846_count_position.png",4,220,900)</f>
        <v/>
      </c>
      <c r="T3995">
        <f>IMAGE("https://mitra.stanford.edu/kundaje/oak/projects/neuro-variants/variant_position/credible/roussos_2024/variant_figures/roussos_2024.adolescence.GLU/rs6577846_profile_position.png",4,220,900)</f>
        <v/>
      </c>
    </row>
    <row r="3996">
      <c r="A3996" t="inlineStr">
        <is>
          <t>chr8</t>
        </is>
      </c>
      <c r="B3996" t="n">
        <v>134800305</v>
      </c>
      <c r="C3996" t="inlineStr">
        <is>
          <t>A</t>
        </is>
      </c>
      <c r="D3996" t="inlineStr">
        <is>
          <t>C</t>
        </is>
      </c>
      <c r="E3996" t="inlineStr">
        <is>
          <t>rs10095483</t>
        </is>
      </c>
      <c r="F3996" t="n">
        <v>-0.00248790457</v>
      </c>
      <c r="G3996" t="n">
        <v>0.7553747842920511</v>
      </c>
      <c r="H3996" t="n">
        <v>0.0109593788148402</v>
      </c>
      <c r="I3996" t="n">
        <v>0.4272300651882649</v>
      </c>
      <c r="J3996" t="n">
        <v>0.2826957012524023</v>
      </c>
      <c r="K3996" t="n">
        <v>0.288442512222746</v>
      </c>
      <c r="L3996" t="b">
        <v>0</v>
      </c>
      <c r="M3996" t="b">
        <v>0</v>
      </c>
      <c r="N3996" t="inlineStr">
        <is>
          <t>ref</t>
        </is>
      </c>
      <c r="O3996" t="n">
        <v>-25</v>
      </c>
      <c r="P3996" t="n">
        <v>0.003738</v>
      </c>
      <c r="Q3996" t="n">
        <v>100</v>
      </c>
      <c r="R3996" t="n">
        <v>0.0257</v>
      </c>
      <c r="S3996">
        <f>IMAGE("https://mitra.stanford.edu/kundaje/oak/projects/neuro-variants/variant_position/credible/roussos_2024/variant_figures/roussos_2024.adolescence.GLU/rs10095483_count_position.png",4,220,900)</f>
        <v/>
      </c>
      <c r="T3996">
        <f>IMAGE("https://mitra.stanford.edu/kundaje/oak/projects/neuro-variants/variant_position/credible/roussos_2024/variant_figures/roussos_2024.adolescence.GLU/rs10095483_profile_position.png",4,220,900)</f>
        <v/>
      </c>
    </row>
    <row r="3997">
      <c r="A3997" t="inlineStr">
        <is>
          <t>chr8</t>
        </is>
      </c>
      <c r="B3997" t="n">
        <v>134830526</v>
      </c>
      <c r="C3997" t="inlineStr">
        <is>
          <t>T</t>
        </is>
      </c>
      <c r="D3997" t="inlineStr">
        <is>
          <t>C</t>
        </is>
      </c>
      <c r="E3997" t="inlineStr">
        <is>
          <t>rs7844406</t>
        </is>
      </c>
      <c r="F3997" t="n">
        <v>0.0175142242</v>
      </c>
      <c r="G3997" t="n">
        <v>0.3575470277830643</v>
      </c>
      <c r="H3997" t="n">
        <v>0.0085564128442428</v>
      </c>
      <c r="I3997" t="n">
        <v>0.6998075005152987</v>
      </c>
      <c r="J3997" t="n">
        <v>0.1198491116016889</v>
      </c>
      <c r="K3997" t="n">
        <v>0.5316472869630094</v>
      </c>
      <c r="L3997" t="b">
        <v>0</v>
      </c>
      <c r="M3997" t="b">
        <v>0</v>
      </c>
      <c r="N3997" t="inlineStr">
        <is>
          <t>alt</t>
        </is>
      </c>
      <c r="O3997" t="n">
        <v>75</v>
      </c>
      <c r="P3997" t="n">
        <v>0.02283</v>
      </c>
      <c r="Q3997" t="n">
        <v>-65</v>
      </c>
      <c r="R3997" t="n">
        <v>0.02518</v>
      </c>
      <c r="S3997">
        <f>IMAGE("https://mitra.stanford.edu/kundaje/oak/projects/neuro-variants/variant_position/credible/roussos_2024/variant_figures/roussos_2024.adolescence.GLU/rs7844406_count_position.png",4,220,900)</f>
        <v/>
      </c>
      <c r="T3997">
        <f>IMAGE("https://mitra.stanford.edu/kundaje/oak/projects/neuro-variants/variant_position/credible/roussos_2024/variant_figures/roussos_2024.adolescence.GLU/rs7844406_profile_position.png",4,220,900)</f>
        <v/>
      </c>
    </row>
    <row r="3998">
      <c r="A3998" t="inlineStr">
        <is>
          <t>chr8</t>
        </is>
      </c>
      <c r="B3998" t="n">
        <v>134830700</v>
      </c>
      <c r="C3998" t="inlineStr">
        <is>
          <t>A</t>
        </is>
      </c>
      <c r="D3998" t="inlineStr">
        <is>
          <t>G</t>
        </is>
      </c>
      <c r="E3998" t="inlineStr">
        <is>
          <t>rs7840432</t>
        </is>
      </c>
      <c r="F3998" t="n">
        <v>-0.0064339779351999</v>
      </c>
      <c r="G3998" t="n">
        <v>0.6851797175437664</v>
      </c>
      <c r="H3998" t="n">
        <v>0.0277173702210717</v>
      </c>
      <c r="I3998" t="n">
        <v>0.0125070953271614</v>
      </c>
      <c r="J3998" t="n">
        <v>0.1736574004615241</v>
      </c>
      <c r="K3998" t="n">
        <v>0.4404057467204638</v>
      </c>
      <c r="L3998" t="b">
        <v>1</v>
      </c>
      <c r="M3998" t="b">
        <v>0</v>
      </c>
      <c r="N3998" t="inlineStr">
        <is>
          <t>ref</t>
        </is>
      </c>
      <c r="O3998" t="n">
        <v>-100</v>
      </c>
      <c r="P3998" t="n">
        <v>0.006897</v>
      </c>
      <c r="Q3998" t="n">
        <v>-50</v>
      </c>
      <c r="R3998" t="n">
        <v>0.0577</v>
      </c>
      <c r="S3998">
        <f>IMAGE("https://mitra.stanford.edu/kundaje/oak/projects/neuro-variants/variant_position/credible/roussos_2024/variant_figures/roussos_2024.adolescence.GLU/rs7840432_count_position.png",4,220,900)</f>
        <v/>
      </c>
      <c r="T3998">
        <f>IMAGE("https://mitra.stanford.edu/kundaje/oak/projects/neuro-variants/variant_position/credible/roussos_2024/variant_figures/roussos_2024.adolescence.GLU/rs7840432_profile_position.png",4,220,900)</f>
        <v/>
      </c>
    </row>
    <row r="3999">
      <c r="A3999" t="inlineStr">
        <is>
          <t>chr8</t>
        </is>
      </c>
      <c r="B3999" t="n">
        <v>139680130</v>
      </c>
      <c r="C3999" t="inlineStr">
        <is>
          <t>C</t>
        </is>
      </c>
      <c r="D3999" t="inlineStr">
        <is>
          <t>T</t>
        </is>
      </c>
      <c r="E3999" t="inlineStr">
        <is>
          <t>rs13274282</t>
        </is>
      </c>
      <c r="F3999" t="n">
        <v>-0.0394215536</v>
      </c>
      <c r="G3999" t="n">
        <v>0.1158467844007796</v>
      </c>
      <c r="H3999" t="n">
        <v>0.0090229461231913</v>
      </c>
      <c r="I3999" t="n">
        <v>0.6553153604833784</v>
      </c>
      <c r="J3999" t="n">
        <v>0.4871194747483406</v>
      </c>
      <c r="K3999" t="n">
        <v>0.0977111880047918</v>
      </c>
      <c r="L3999" t="b">
        <v>0</v>
      </c>
      <c r="M3999" t="b">
        <v>0</v>
      </c>
      <c r="N3999" t="inlineStr">
        <is>
          <t>ref</t>
        </is>
      </c>
      <c r="O3999" t="n">
        <v>85</v>
      </c>
      <c r="P3999" t="n">
        <v>0.005775</v>
      </c>
      <c r="Q3999" t="n">
        <v>80</v>
      </c>
      <c r="R3999" t="n">
        <v>0.07630000000000001</v>
      </c>
      <c r="S3999">
        <f>IMAGE("https://mitra.stanford.edu/kundaje/oak/projects/neuro-variants/variant_position/credible/roussos_2024/variant_figures/roussos_2024.adolescence.GLU/rs13274282_count_position.png",4,220,900)</f>
        <v/>
      </c>
      <c r="T3999">
        <f>IMAGE("https://mitra.stanford.edu/kundaje/oak/projects/neuro-variants/variant_position/credible/roussos_2024/variant_figures/roussos_2024.adolescence.GLU/rs13274282_profile_position.png",4,220,900)</f>
        <v/>
      </c>
    </row>
    <row r="4000">
      <c r="A4000" t="inlineStr">
        <is>
          <t>chr8</t>
        </is>
      </c>
      <c r="B4000" t="n">
        <v>139680274</v>
      </c>
      <c r="C4000" t="inlineStr">
        <is>
          <t>G</t>
        </is>
      </c>
      <c r="D4000" t="inlineStr">
        <is>
          <t>A</t>
        </is>
      </c>
      <c r="E4000" t="inlineStr">
        <is>
          <t>rs62520201</t>
        </is>
      </c>
      <c r="F4000" t="n">
        <v>-0.0362636251999999</v>
      </c>
      <c r="G4000" t="n">
        <v>0.1399910808806866</v>
      </c>
      <c r="H4000" t="n">
        <v>0.0135235637291277</v>
      </c>
      <c r="I4000" t="n">
        <v>0.2124940958473716</v>
      </c>
      <c r="J4000" t="n">
        <v>0.4843217523629895</v>
      </c>
      <c r="K4000" t="n">
        <v>0.09963875970892939</v>
      </c>
      <c r="L4000" t="b">
        <v>0</v>
      </c>
      <c r="M4000" t="b">
        <v>0</v>
      </c>
      <c r="N4000" t="inlineStr">
        <is>
          <t>ref</t>
        </is>
      </c>
      <c r="O4000" t="n">
        <v>-20</v>
      </c>
      <c r="P4000" t="n">
        <v>0.0001478</v>
      </c>
      <c r="Q4000" t="n">
        <v>-20</v>
      </c>
      <c r="R4000" t="n">
        <v>0.04578</v>
      </c>
      <c r="S4000">
        <f>IMAGE("https://mitra.stanford.edu/kundaje/oak/projects/neuro-variants/variant_position/credible/roussos_2024/variant_figures/roussos_2024.adolescence.GLU/rs62520201_count_position.png",4,220,900)</f>
        <v/>
      </c>
      <c r="T4000">
        <f>IMAGE("https://mitra.stanford.edu/kundaje/oak/projects/neuro-variants/variant_position/credible/roussos_2024/variant_figures/roussos_2024.adolescence.GLU/rs62520201_profile_position.png",4,220,900)</f>
        <v/>
      </c>
    </row>
    <row r="4001">
      <c r="A4001" t="inlineStr">
        <is>
          <t>chr8</t>
        </is>
      </c>
      <c r="B4001" t="n">
        <v>139683304</v>
      </c>
      <c r="C4001" t="inlineStr">
        <is>
          <t>A</t>
        </is>
      </c>
      <c r="D4001" t="inlineStr">
        <is>
          <t>G</t>
        </is>
      </c>
      <c r="E4001" t="inlineStr">
        <is>
          <t>rs2319423</t>
        </is>
      </c>
      <c r="F4001" t="n">
        <v>0.0908348315999999</v>
      </c>
      <c r="G4001" t="n">
        <v>0.0117938322023577</v>
      </c>
      <c r="H4001" t="n">
        <v>0.0203099772184208</v>
      </c>
      <c r="I4001" t="n">
        <v>0.0542248017465211</v>
      </c>
      <c r="J4001" t="n">
        <v>0.4399368440605554</v>
      </c>
      <c r="K4001" t="n">
        <v>0.1331472657238773</v>
      </c>
      <c r="L4001" t="b">
        <v>1</v>
      </c>
      <c r="M4001" t="b">
        <v>0</v>
      </c>
      <c r="N4001" t="inlineStr">
        <is>
          <t>alt</t>
        </is>
      </c>
      <c r="O4001" t="n">
        <v>35</v>
      </c>
      <c r="P4001" t="n">
        <v>0.00383</v>
      </c>
      <c r="Q4001" t="n">
        <v>-25</v>
      </c>
      <c r="R4001" t="n">
        <v>0.03198</v>
      </c>
      <c r="S4001">
        <f>IMAGE("https://mitra.stanford.edu/kundaje/oak/projects/neuro-variants/variant_position/credible/roussos_2024/variant_figures/roussos_2024.adolescence.GLU/rs2319423_count_position.png",4,220,900)</f>
        <v/>
      </c>
      <c r="T4001">
        <f>IMAGE("https://mitra.stanford.edu/kundaje/oak/projects/neuro-variants/variant_position/credible/roussos_2024/variant_figures/roussos_2024.adolescence.GLU/rs2319423_profile_position.png",4,220,900)</f>
        <v/>
      </c>
    </row>
    <row r="4002">
      <c r="A4002" t="inlineStr">
        <is>
          <t>chr8</t>
        </is>
      </c>
      <c r="B4002" t="n">
        <v>139683481</v>
      </c>
      <c r="C4002" t="inlineStr">
        <is>
          <t>C</t>
        </is>
      </c>
      <c r="D4002" t="inlineStr">
        <is>
          <t>T</t>
        </is>
      </c>
      <c r="E4002" t="inlineStr">
        <is>
          <t>rs10101804</t>
        </is>
      </c>
      <c r="F4002" t="n">
        <v>-0.0074846403199999</v>
      </c>
      <c r="G4002" t="n">
        <v>0.5841678857302418</v>
      </c>
      <c r="H4002" t="n">
        <v>0.0088757187844942</v>
      </c>
      <c r="I4002" t="n">
        <v>0.6735789497820363</v>
      </c>
      <c r="J4002" t="n">
        <v>0.3474991248187124</v>
      </c>
      <c r="K4002" t="n">
        <v>0.2184259796903573</v>
      </c>
      <c r="L4002" t="b">
        <v>0</v>
      </c>
      <c r="M4002" t="b">
        <v>0</v>
      </c>
      <c r="N4002" t="inlineStr">
        <is>
          <t>ref</t>
        </is>
      </c>
      <c r="O4002" t="n">
        <v>-90</v>
      </c>
      <c r="P4002" t="n">
        <v>0.0424</v>
      </c>
      <c r="Q4002" t="n">
        <v>-90</v>
      </c>
      <c r="R4002" t="n">
        <v>0.1532</v>
      </c>
      <c r="S4002">
        <f>IMAGE("https://mitra.stanford.edu/kundaje/oak/projects/neuro-variants/variant_position/credible/roussos_2024/variant_figures/roussos_2024.adolescence.GLU/rs10101804_count_position.png",4,220,900)</f>
        <v/>
      </c>
      <c r="T4002">
        <f>IMAGE("https://mitra.stanford.edu/kundaje/oak/projects/neuro-variants/variant_position/credible/roussos_2024/variant_figures/roussos_2024.adolescence.GLU/rs10101804_profile_position.png",4,220,900)</f>
        <v/>
      </c>
    </row>
    <row r="4003">
      <c r="A4003" t="inlineStr">
        <is>
          <t>chr8</t>
        </is>
      </c>
      <c r="B4003" t="n">
        <v>139686423</v>
      </c>
      <c r="C4003" t="inlineStr">
        <is>
          <t>A</t>
        </is>
      </c>
      <c r="D4003" t="inlineStr">
        <is>
          <t>G</t>
        </is>
      </c>
      <c r="E4003" t="inlineStr">
        <is>
          <t>rs9693845</t>
        </is>
      </c>
      <c r="F4003" t="n">
        <v>-0.0013748926113999</v>
      </c>
      <c r="G4003" t="n">
        <v>0.8468446723666914</v>
      </c>
      <c r="H4003" t="n">
        <v>0.0280121384752282</v>
      </c>
      <c r="I4003" t="n">
        <v>0.0125022498178519</v>
      </c>
      <c r="J4003" t="n">
        <v>0.0117895849854612</v>
      </c>
      <c r="K4003" t="n">
        <v>0.8638381659055373</v>
      </c>
      <c r="L4003" t="b">
        <v>1</v>
      </c>
      <c r="M4003" t="b">
        <v>0</v>
      </c>
      <c r="N4003" t="inlineStr">
        <is>
          <t>ref</t>
        </is>
      </c>
      <c r="O4003" t="n">
        <v>-10</v>
      </c>
      <c r="P4003" t="n">
        <v>0.0005264</v>
      </c>
      <c r="Q4003" t="n">
        <v>-5</v>
      </c>
      <c r="R4003" t="n">
        <v>0.01036</v>
      </c>
      <c r="S4003">
        <f>IMAGE("https://mitra.stanford.edu/kundaje/oak/projects/neuro-variants/variant_position/credible/roussos_2024/variant_figures/roussos_2024.adolescence.GLU/rs9693845_count_position.png",4,220,900)</f>
        <v/>
      </c>
      <c r="T4003">
        <f>IMAGE("https://mitra.stanford.edu/kundaje/oak/projects/neuro-variants/variant_position/credible/roussos_2024/variant_figures/roussos_2024.adolescence.GLU/rs9693845_profile_position.png",4,220,900)</f>
        <v/>
      </c>
    </row>
    <row r="4004">
      <c r="A4004" t="inlineStr">
        <is>
          <t>chr8</t>
        </is>
      </c>
      <c r="B4004" t="n">
        <v>139688714</v>
      </c>
      <c r="C4004" t="inlineStr">
        <is>
          <t>A</t>
        </is>
      </c>
      <c r="D4004" t="inlineStr">
        <is>
          <t>G</t>
        </is>
      </c>
      <c r="E4004" t="inlineStr">
        <is>
          <t>rs16893602</t>
        </is>
      </c>
      <c r="F4004" t="n">
        <v>0.01086521832</v>
      </c>
      <c r="G4004" t="n">
        <v>0.4724157460486937</v>
      </c>
      <c r="H4004" t="n">
        <v>0.009256575474484101</v>
      </c>
      <c r="I4004" t="n">
        <v>0.6069658932297303</v>
      </c>
      <c r="J4004" t="n">
        <v>0.1936915503925813</v>
      </c>
      <c r="K4004" t="n">
        <v>0.403415313811589</v>
      </c>
      <c r="L4004" t="b">
        <v>0</v>
      </c>
      <c r="M4004" t="b">
        <v>0</v>
      </c>
      <c r="N4004" t="inlineStr">
        <is>
          <t>alt</t>
        </is>
      </c>
      <c r="O4004" t="n">
        <v>-100</v>
      </c>
      <c r="P4004" t="n">
        <v>0.007744</v>
      </c>
      <c r="Q4004" t="n">
        <v>-100</v>
      </c>
      <c r="R4004" t="n">
        <v>0.0709</v>
      </c>
      <c r="S4004">
        <f>IMAGE("https://mitra.stanford.edu/kundaje/oak/projects/neuro-variants/variant_position/credible/roussos_2024/variant_figures/roussos_2024.adolescence.GLU/rs16893602_count_position.png",4,220,900)</f>
        <v/>
      </c>
      <c r="T4004">
        <f>IMAGE("https://mitra.stanford.edu/kundaje/oak/projects/neuro-variants/variant_position/credible/roussos_2024/variant_figures/roussos_2024.adolescence.GLU/rs16893602_profile_position.png",4,220,900)</f>
        <v/>
      </c>
    </row>
    <row r="4005">
      <c r="A4005" t="inlineStr">
        <is>
          <t>chr8</t>
        </is>
      </c>
      <c r="B4005" t="n">
        <v>139692798</v>
      </c>
      <c r="C4005" t="inlineStr">
        <is>
          <t>T</t>
        </is>
      </c>
      <c r="D4005" t="inlineStr">
        <is>
          <t>C</t>
        </is>
      </c>
      <c r="E4005" t="inlineStr">
        <is>
          <t>rs741469</t>
        </is>
      </c>
      <c r="F4005" t="n">
        <v>0.0599694267999999</v>
      </c>
      <c r="G4005" t="n">
        <v>0.0391191477957538</v>
      </c>
      <c r="H4005" t="n">
        <v>0.0139255044102437</v>
      </c>
      <c r="I4005" t="n">
        <v>0.2136237843115263</v>
      </c>
      <c r="J4005" t="n">
        <v>0.3652770931121447</v>
      </c>
      <c r="K4005" t="n">
        <v>0.1999165524208533</v>
      </c>
      <c r="L4005" t="b">
        <v>0</v>
      </c>
      <c r="M4005" t="b">
        <v>0</v>
      </c>
      <c r="N4005" t="inlineStr">
        <is>
          <t>alt</t>
        </is>
      </c>
      <c r="O4005" t="n">
        <v>90</v>
      </c>
      <c r="P4005" t="n">
        <v>0.002876</v>
      </c>
      <c r="Q4005" t="n">
        <v>-95</v>
      </c>
      <c r="R4005" t="n">
        <v>0.04608</v>
      </c>
      <c r="S4005">
        <f>IMAGE("https://mitra.stanford.edu/kundaje/oak/projects/neuro-variants/variant_position/credible/roussos_2024/variant_figures/roussos_2024.adolescence.GLU/rs741469_count_position.png",4,220,900)</f>
        <v/>
      </c>
      <c r="T4005">
        <f>IMAGE("https://mitra.stanford.edu/kundaje/oak/projects/neuro-variants/variant_position/credible/roussos_2024/variant_figures/roussos_2024.adolescence.GLU/rs741469_profile_position.png",4,220,900)</f>
        <v/>
      </c>
    </row>
    <row r="4006">
      <c r="A4006" t="inlineStr">
        <is>
          <t>chr8</t>
        </is>
      </c>
      <c r="B4006" t="n">
        <v>139700268</v>
      </c>
      <c r="C4006" t="inlineStr">
        <is>
          <t>G</t>
        </is>
      </c>
      <c r="D4006" t="inlineStr">
        <is>
          <t>C</t>
        </is>
      </c>
      <c r="E4006" t="inlineStr">
        <is>
          <t>rs199211</t>
        </is>
      </c>
      <c r="F4006" t="n">
        <v>-0.0297045042</v>
      </c>
      <c r="G4006" t="n">
        <v>0.1820643042551875</v>
      </c>
      <c r="H4006" t="n">
        <v>0.0133675186895107</v>
      </c>
      <c r="I4006" t="n">
        <v>0.2423151405445524</v>
      </c>
      <c r="J4006" t="n">
        <v>0.5965564295461203</v>
      </c>
      <c r="K4006" t="n">
        <v>0.0395108383989449</v>
      </c>
      <c r="L4006" t="b">
        <v>0</v>
      </c>
      <c r="M4006" t="b">
        <v>0</v>
      </c>
      <c r="N4006" t="inlineStr">
        <is>
          <t>ref</t>
        </is>
      </c>
      <c r="O4006" t="n">
        <v>-80</v>
      </c>
      <c r="P4006" t="n">
        <v>0.055</v>
      </c>
      <c r="Q4006" t="n">
        <v>10</v>
      </c>
      <c r="R4006" t="n">
        <v>0.0008545</v>
      </c>
      <c r="S4006">
        <f>IMAGE("https://mitra.stanford.edu/kundaje/oak/projects/neuro-variants/variant_position/credible/roussos_2024/variant_figures/roussos_2024.adolescence.GLU/rs199211_count_position.png",4,220,900)</f>
        <v/>
      </c>
      <c r="T4006">
        <f>IMAGE("https://mitra.stanford.edu/kundaje/oak/projects/neuro-variants/variant_position/credible/roussos_2024/variant_figures/roussos_2024.adolescence.GLU/rs199211_profile_position.png",4,220,900)</f>
        <v/>
      </c>
    </row>
    <row r="4007">
      <c r="A4007" t="inlineStr">
        <is>
          <t>chr8</t>
        </is>
      </c>
      <c r="B4007" t="n">
        <v>142221528</v>
      </c>
      <c r="C4007" t="inlineStr">
        <is>
          <t>T</t>
        </is>
      </c>
      <c r="D4007" t="inlineStr">
        <is>
          <t>C</t>
        </is>
      </c>
      <c r="E4007" t="inlineStr">
        <is>
          <t>rs11786405</t>
        </is>
      </c>
      <c r="F4007" t="n">
        <v>-0.008743110262</v>
      </c>
      <c r="G4007" t="n">
        <v>0.5608172615946316</v>
      </c>
      <c r="H4007" t="n">
        <v>0.010076146851656</v>
      </c>
      <c r="I4007" t="n">
        <v>0.5365946606539632</v>
      </c>
      <c r="J4007" t="n">
        <v>0.5605546863278822</v>
      </c>
      <c r="K4007" t="n">
        <v>0.0537941667582336</v>
      </c>
      <c r="L4007" t="b">
        <v>0</v>
      </c>
      <c r="M4007" t="b">
        <v>0</v>
      </c>
      <c r="N4007" t="inlineStr">
        <is>
          <t>ref</t>
        </is>
      </c>
      <c r="O4007" t="n">
        <v>100</v>
      </c>
      <c r="P4007" t="n">
        <v>0.02373</v>
      </c>
      <c r="Q4007" t="n">
        <v>100</v>
      </c>
      <c r="R4007" t="n">
        <v>0.10974</v>
      </c>
      <c r="S4007">
        <f>IMAGE("https://mitra.stanford.edu/kundaje/oak/projects/neuro-variants/variant_position/credible/roussos_2024/variant_figures/roussos_2024.adolescence.GLU/rs11786405_count_position.png",4,220,900)</f>
        <v/>
      </c>
      <c r="T4007">
        <f>IMAGE("https://mitra.stanford.edu/kundaje/oak/projects/neuro-variants/variant_position/credible/roussos_2024/variant_figures/roussos_2024.adolescence.GLU/rs11786405_profile_position.png",4,220,900)</f>
        <v/>
      </c>
    </row>
    <row r="4008">
      <c r="A4008" t="inlineStr">
        <is>
          <t>chr8</t>
        </is>
      </c>
      <c r="B4008" t="n">
        <v>142232905</v>
      </c>
      <c r="C4008" t="inlineStr">
        <is>
          <t>A</t>
        </is>
      </c>
      <c r="D4008" t="inlineStr">
        <is>
          <t>G</t>
        </is>
      </c>
      <c r="E4008" t="inlineStr">
        <is>
          <t>rs4976978</t>
        </is>
      </c>
      <c r="F4008" t="n">
        <v>0.049889749</v>
      </c>
      <c r="G4008" t="n">
        <v>0.0616385935936297</v>
      </c>
      <c r="H4008" t="n">
        <v>0.0111111422443546</v>
      </c>
      <c r="I4008" t="n">
        <v>0.4001761677444689</v>
      </c>
      <c r="J4008" t="n">
        <v>0.6432346700387936</v>
      </c>
      <c r="K4008" t="n">
        <v>0.0251486212502964</v>
      </c>
      <c r="L4008" t="b">
        <v>0</v>
      </c>
      <c r="M4008" t="b">
        <v>0</v>
      </c>
      <c r="N4008" t="inlineStr">
        <is>
          <t>alt</t>
        </is>
      </c>
      <c r="O4008" t="n">
        <v>-40</v>
      </c>
      <c r="P4008" t="n">
        <v>0.00537</v>
      </c>
      <c r="Q4008" t="n">
        <v>-100</v>
      </c>
      <c r="R4008" t="n">
        <v>0.1392</v>
      </c>
      <c r="S4008">
        <f>IMAGE("https://mitra.stanford.edu/kundaje/oak/projects/neuro-variants/variant_position/credible/roussos_2024/variant_figures/roussos_2024.adolescence.GLU/rs4976978_count_position.png",4,220,900)</f>
        <v/>
      </c>
      <c r="T4008">
        <f>IMAGE("https://mitra.stanford.edu/kundaje/oak/projects/neuro-variants/variant_position/credible/roussos_2024/variant_figures/roussos_2024.adolescence.GLU/rs4976978_profile_position.png",4,220,900)</f>
        <v/>
      </c>
    </row>
    <row r="4009">
      <c r="A4009" t="inlineStr">
        <is>
          <t>chr8</t>
        </is>
      </c>
      <c r="B4009" t="n">
        <v>142234411</v>
      </c>
      <c r="C4009" t="inlineStr">
        <is>
          <t>A</t>
        </is>
      </c>
      <c r="D4009" t="inlineStr">
        <is>
          <t>G</t>
        </is>
      </c>
      <c r="E4009" t="inlineStr">
        <is>
          <t>rs4976981</t>
        </is>
      </c>
      <c r="F4009" t="n">
        <v>0.0474678975999999</v>
      </c>
      <c r="G4009" t="n">
        <v>0.07682371297273111</v>
      </c>
      <c r="H4009" t="n">
        <v>0.0096486301424481</v>
      </c>
      <c r="I4009" t="n">
        <v>0.5658096547831385</v>
      </c>
      <c r="J4009" t="n">
        <v>0.3865486422187453</v>
      </c>
      <c r="K4009" t="n">
        <v>0.1785262204512974</v>
      </c>
      <c r="L4009" t="b">
        <v>0</v>
      </c>
      <c r="M4009" t="b">
        <v>0</v>
      </c>
      <c r="N4009" t="inlineStr">
        <is>
          <t>alt</t>
        </is>
      </c>
      <c r="O4009" t="n">
        <v>-20</v>
      </c>
      <c r="P4009" t="n">
        <v>0.006813</v>
      </c>
      <c r="Q4009" t="n">
        <v>0</v>
      </c>
      <c r="R4009" t="n">
        <v>0</v>
      </c>
      <c r="S4009">
        <f>IMAGE("https://mitra.stanford.edu/kundaje/oak/projects/neuro-variants/variant_position/credible/roussos_2024/variant_figures/roussos_2024.adolescence.GLU/rs4976981_count_position.png",4,220,900)</f>
        <v/>
      </c>
      <c r="T4009">
        <f>IMAGE("https://mitra.stanford.edu/kundaje/oak/projects/neuro-variants/variant_position/credible/roussos_2024/variant_figures/roussos_2024.adolescence.GLU/rs4976981_profile_position.png",4,220,900)</f>
        <v/>
      </c>
    </row>
    <row r="4010">
      <c r="A4010" t="inlineStr">
        <is>
          <t>chr8</t>
        </is>
      </c>
      <c r="B4010" t="n">
        <v>142241656</v>
      </c>
      <c r="C4010" t="inlineStr">
        <is>
          <t>G</t>
        </is>
      </c>
      <c r="D4010" t="inlineStr">
        <is>
          <t>A</t>
        </is>
      </c>
      <c r="E4010" t="inlineStr">
        <is>
          <t>rs7832212</t>
        </is>
      </c>
      <c r="F4010" t="n">
        <v>-0.0608449828</v>
      </c>
      <c r="G4010" t="n">
        <v>0.0412331914982033</v>
      </c>
      <c r="H4010" t="n">
        <v>0.0112069559982272</v>
      </c>
      <c r="I4010" t="n">
        <v>0.4069287777593789</v>
      </c>
      <c r="J4010" t="n">
        <v>0.1330118381664773</v>
      </c>
      <c r="K4010" t="n">
        <v>0.5090658263388195</v>
      </c>
      <c r="L4010" t="b">
        <v>0</v>
      </c>
      <c r="M4010" t="b">
        <v>0</v>
      </c>
      <c r="N4010" t="inlineStr">
        <is>
          <t>ref</t>
        </is>
      </c>
      <c r="O4010" t="n">
        <v>-55</v>
      </c>
      <c r="P4010" t="n">
        <v>0.03784</v>
      </c>
      <c r="Q4010" t="n">
        <v>85</v>
      </c>
      <c r="R4010" t="n">
        <v>0.1453</v>
      </c>
      <c r="S4010">
        <f>IMAGE("https://mitra.stanford.edu/kundaje/oak/projects/neuro-variants/variant_position/credible/roussos_2024/variant_figures/roussos_2024.adolescence.GLU/rs7832212_count_position.png",4,220,900)</f>
        <v/>
      </c>
      <c r="T4010">
        <f>IMAGE("https://mitra.stanford.edu/kundaje/oak/projects/neuro-variants/variant_position/credible/roussos_2024/variant_figures/roussos_2024.adolescence.GLU/rs7832212_profile_position.png",4,220,900)</f>
        <v/>
      </c>
    </row>
    <row r="4011">
      <c r="A4011" t="inlineStr">
        <is>
          <t>chr8</t>
        </is>
      </c>
      <c r="B4011" t="n">
        <v>142241748</v>
      </c>
      <c r="C4011" t="inlineStr">
        <is>
          <t>T</t>
        </is>
      </c>
      <c r="D4011" t="inlineStr">
        <is>
          <t>C</t>
        </is>
      </c>
      <c r="E4011" t="inlineStr">
        <is>
          <t>rs7822538</t>
        </is>
      </c>
      <c r="F4011" t="n">
        <v>0.0971198834</v>
      </c>
      <c r="G4011" t="n">
        <v>0.0106705323877457</v>
      </c>
      <c r="H4011" t="n">
        <v>0.0190540727230565</v>
      </c>
      <c r="I4011" t="n">
        <v>0.0790677334246201</v>
      </c>
      <c r="J4011" t="n">
        <v>0.1722656836058897</v>
      </c>
      <c r="K4011" t="n">
        <v>0.4419717616078851</v>
      </c>
      <c r="L4011" t="b">
        <v>1</v>
      </c>
      <c r="M4011" t="b">
        <v>0</v>
      </c>
      <c r="N4011" t="inlineStr">
        <is>
          <t>alt</t>
        </is>
      </c>
      <c r="O4011" t="n">
        <v>-15</v>
      </c>
      <c r="P4011" t="n">
        <v>0.0007305</v>
      </c>
      <c r="Q4011" t="n">
        <v>-10</v>
      </c>
      <c r="R4011" t="n">
        <v>0.005615</v>
      </c>
      <c r="S4011">
        <f>IMAGE("https://mitra.stanford.edu/kundaje/oak/projects/neuro-variants/variant_position/credible/roussos_2024/variant_figures/roussos_2024.adolescence.GLU/rs7822538_count_position.png",4,220,900)</f>
        <v/>
      </c>
      <c r="T4011">
        <f>IMAGE("https://mitra.stanford.edu/kundaje/oak/projects/neuro-variants/variant_position/credible/roussos_2024/variant_figures/roussos_2024.adolescence.GLU/rs7822538_profile_position.png",4,220,900)</f>
        <v/>
      </c>
    </row>
    <row r="4012">
      <c r="A4012" t="inlineStr">
        <is>
          <t>chr8</t>
        </is>
      </c>
      <c r="B4012" t="n">
        <v>143158840</v>
      </c>
      <c r="C4012" t="inlineStr">
        <is>
          <t>C</t>
        </is>
      </c>
      <c r="D4012" t="inlineStr">
        <is>
          <t>G</t>
        </is>
      </c>
      <c r="E4012" t="inlineStr">
        <is>
          <t>rs9694368</t>
        </is>
      </c>
      <c r="F4012" t="n">
        <v>0.01001075096</v>
      </c>
      <c r="G4012" t="n">
        <v>0.4929426124168325</v>
      </c>
      <c r="H4012" t="n">
        <v>0.009959291956997299</v>
      </c>
      <c r="I4012" t="n">
        <v>0.5150553297502742</v>
      </c>
      <c r="J4012" t="n">
        <v>0.5929399661358423</v>
      </c>
      <c r="K4012" t="n">
        <v>0.0406984106200343</v>
      </c>
      <c r="L4012" t="b">
        <v>0</v>
      </c>
      <c r="M4012" t="b">
        <v>0</v>
      </c>
      <c r="N4012" t="inlineStr">
        <is>
          <t>alt</t>
        </is>
      </c>
      <c r="O4012" t="n">
        <v>-80</v>
      </c>
      <c r="P4012" t="n">
        <v>0.00275</v>
      </c>
      <c r="Q4012" t="n">
        <v>-100</v>
      </c>
      <c r="R4012" t="n">
        <v>0.0537</v>
      </c>
      <c r="S4012">
        <f>IMAGE("https://mitra.stanford.edu/kundaje/oak/projects/neuro-variants/variant_position/credible/roussos_2024/variant_figures/roussos_2024.adolescence.GLU/rs9694368_count_position.png",4,220,900)</f>
        <v/>
      </c>
      <c r="T4012">
        <f>IMAGE("https://mitra.stanford.edu/kundaje/oak/projects/neuro-variants/variant_position/credible/roussos_2024/variant_figures/roussos_2024.adolescence.GLU/rs9694368_profile_position.png",4,220,900)</f>
        <v/>
      </c>
    </row>
    <row r="4013">
      <c r="A4013" t="inlineStr">
        <is>
          <t>chr8</t>
        </is>
      </c>
      <c r="B4013" t="n">
        <v>143169111</v>
      </c>
      <c r="C4013" t="inlineStr">
        <is>
          <t>G</t>
        </is>
      </c>
      <c r="D4013" t="inlineStr">
        <is>
          <t>A</t>
        </is>
      </c>
      <c r="E4013" t="inlineStr">
        <is>
          <t>rs7830479</t>
        </is>
      </c>
      <c r="F4013" t="n">
        <v>0.001729032</v>
      </c>
      <c r="G4013" t="n">
        <v>0.7974100060025007</v>
      </c>
      <c r="H4013" t="n">
        <v>0.0129958482939191</v>
      </c>
      <c r="I4013" t="n">
        <v>0.2699854167278058</v>
      </c>
      <c r="J4013" t="n">
        <v>0.4831115016682027</v>
      </c>
      <c r="K4013" t="n">
        <v>0.0967634165440785</v>
      </c>
      <c r="L4013" t="b">
        <v>0</v>
      </c>
      <c r="M4013" t="b">
        <v>0</v>
      </c>
      <c r="N4013" t="inlineStr">
        <is>
          <t>alt</t>
        </is>
      </c>
      <c r="O4013" t="n">
        <v>-70</v>
      </c>
      <c r="P4013" t="n">
        <v>0.00242</v>
      </c>
      <c r="Q4013" t="n">
        <v>100</v>
      </c>
      <c r="R4013" t="n">
        <v>0.07099999999999999</v>
      </c>
      <c r="S4013">
        <f>IMAGE("https://mitra.stanford.edu/kundaje/oak/projects/neuro-variants/variant_position/credible/roussos_2024/variant_figures/roussos_2024.adolescence.GLU/rs7830479_count_position.png",4,220,900)</f>
        <v/>
      </c>
      <c r="T4013">
        <f>IMAGE("https://mitra.stanford.edu/kundaje/oak/projects/neuro-variants/variant_position/credible/roussos_2024/variant_figures/roussos_2024.adolescence.GLU/rs7830479_profile_position.png",4,220,900)</f>
        <v/>
      </c>
    </row>
    <row r="4014">
      <c r="A4014" t="inlineStr">
        <is>
          <t>chr8</t>
        </is>
      </c>
      <c r="B4014" t="n">
        <v>143169632</v>
      </c>
      <c r="C4014" t="inlineStr">
        <is>
          <t>T</t>
        </is>
      </c>
      <c r="D4014" t="inlineStr">
        <is>
          <t>C</t>
        </is>
      </c>
      <c r="E4014" t="inlineStr">
        <is>
          <t>rs7824786</t>
        </is>
      </c>
      <c r="F4014" t="n">
        <v>0.0480964472</v>
      </c>
      <c r="G4014" t="n">
        <v>0.0672595881470603</v>
      </c>
      <c r="H4014" t="n">
        <v>0.0155887039306835</v>
      </c>
      <c r="I4014" t="n">
        <v>0.1329092607233117</v>
      </c>
      <c r="J4014" t="n">
        <v>0.5383786641518601</v>
      </c>
      <c r="K4014" t="n">
        <v>0.0635465647915381</v>
      </c>
      <c r="L4014" t="b">
        <v>0</v>
      </c>
      <c r="M4014" t="b">
        <v>0</v>
      </c>
      <c r="N4014" t="inlineStr">
        <is>
          <t>alt</t>
        </is>
      </c>
      <c r="O4014" t="n">
        <v>-70</v>
      </c>
      <c r="P4014" t="n">
        <v>0.002861</v>
      </c>
      <c r="Q4014" t="n">
        <v>45</v>
      </c>
      <c r="R4014" t="n">
        <v>0.02972</v>
      </c>
      <c r="S4014">
        <f>IMAGE("https://mitra.stanford.edu/kundaje/oak/projects/neuro-variants/variant_position/credible/roussos_2024/variant_figures/roussos_2024.adolescence.GLU/rs7824786_count_position.png",4,220,900)</f>
        <v/>
      </c>
      <c r="T4014">
        <f>IMAGE("https://mitra.stanford.edu/kundaje/oak/projects/neuro-variants/variant_position/credible/roussos_2024/variant_figures/roussos_2024.adolescence.GLU/rs7824786_profile_position.png",4,220,900)</f>
        <v/>
      </c>
    </row>
    <row r="4015">
      <c r="A4015" t="inlineStr">
        <is>
          <t>chr8</t>
        </is>
      </c>
      <c r="B4015" t="n">
        <v>143193560</v>
      </c>
      <c r="C4015" t="inlineStr">
        <is>
          <t>C</t>
        </is>
      </c>
      <c r="D4015" t="inlineStr">
        <is>
          <t>T</t>
        </is>
      </c>
      <c r="E4015" t="inlineStr">
        <is>
          <t>rs11996840</t>
        </is>
      </c>
      <c r="F4015" t="n">
        <v>-0.07769808219999989</v>
      </c>
      <c r="G4015" t="n">
        <v>0.0186920817686835</v>
      </c>
      <c r="H4015" t="n">
        <v>0.0119202747309251</v>
      </c>
      <c r="I4015" t="n">
        <v>0.3429634928595931</v>
      </c>
      <c r="J4015" t="n">
        <v>0.4899843539018796</v>
      </c>
      <c r="K4015" t="n">
        <v>0.0961057698378948</v>
      </c>
      <c r="L4015" t="b">
        <v>1</v>
      </c>
      <c r="M4015" t="b">
        <v>0</v>
      </c>
      <c r="N4015" t="inlineStr">
        <is>
          <t>ref</t>
        </is>
      </c>
      <c r="O4015" t="n">
        <v>85</v>
      </c>
      <c r="P4015" t="n">
        <v>0.008580000000000001</v>
      </c>
      <c r="Q4015" t="n">
        <v>95</v>
      </c>
      <c r="R4015" t="n">
        <v>0.1305</v>
      </c>
      <c r="S4015">
        <f>IMAGE("https://mitra.stanford.edu/kundaje/oak/projects/neuro-variants/variant_position/credible/roussos_2024/variant_figures/roussos_2024.adolescence.GLU/rs11996840_count_position.png",4,220,900)</f>
        <v/>
      </c>
      <c r="T4015">
        <f>IMAGE("https://mitra.stanford.edu/kundaje/oak/projects/neuro-variants/variant_position/credible/roussos_2024/variant_figures/roussos_2024.adolescence.GLU/rs11996840_profile_position.png",4,220,900)</f>
        <v/>
      </c>
    </row>
    <row r="4016">
      <c r="A4016" t="inlineStr">
        <is>
          <t>chr8</t>
        </is>
      </c>
      <c r="B4016" t="n">
        <v>143668507</v>
      </c>
      <c r="C4016" t="inlineStr">
        <is>
          <t>T</t>
        </is>
      </c>
      <c r="D4016" t="inlineStr">
        <is>
          <t>C</t>
        </is>
      </c>
      <c r="E4016" t="inlineStr">
        <is>
          <t>rs117423761</t>
        </is>
      </c>
      <c r="F4016" t="n">
        <v>0.0481397178</v>
      </c>
      <c r="G4016" t="n">
        <v>0.063289789918735</v>
      </c>
      <c r="H4016" t="n">
        <v>0.0082492401014657</v>
      </c>
      <c r="I4016" t="n">
        <v>0.7156529344094227</v>
      </c>
      <c r="J4016" t="n">
        <v>0.330718505976238</v>
      </c>
      <c r="K4016" t="n">
        <v>0.2366154574012949</v>
      </c>
      <c r="L4016" t="b">
        <v>0</v>
      </c>
      <c r="M4016" t="b">
        <v>0</v>
      </c>
      <c r="N4016" t="inlineStr">
        <is>
          <t>alt</t>
        </is>
      </c>
      <c r="O4016" t="n">
        <v>-60</v>
      </c>
      <c r="P4016" t="n">
        <v>0.00657</v>
      </c>
      <c r="Q4016" t="n">
        <v>40</v>
      </c>
      <c r="R4016" t="n">
        <v>0.0517</v>
      </c>
      <c r="S4016">
        <f>IMAGE("https://mitra.stanford.edu/kundaje/oak/projects/neuro-variants/variant_position/credible/roussos_2024/variant_figures/roussos_2024.adolescence.GLU/rs117423761_count_position.png",4,220,900)</f>
        <v/>
      </c>
      <c r="T4016">
        <f>IMAGE("https://mitra.stanford.edu/kundaje/oak/projects/neuro-variants/variant_position/credible/roussos_2024/variant_figures/roussos_2024.adolescence.GLU/rs117423761_profile_position.png",4,220,900)</f>
        <v/>
      </c>
    </row>
    <row r="4017">
      <c r="A4017" t="inlineStr">
        <is>
          <t>chr8</t>
        </is>
      </c>
      <c r="B4017" t="n">
        <v>143691909</v>
      </c>
      <c r="C4017" t="inlineStr">
        <is>
          <t>G</t>
        </is>
      </c>
      <c r="D4017" t="inlineStr">
        <is>
          <t>T</t>
        </is>
      </c>
      <c r="E4017" t="inlineStr">
        <is>
          <t>rs11136313</t>
        </is>
      </c>
      <c r="F4017" t="n">
        <v>-0.0679509076</v>
      </c>
      <c r="G4017" t="n">
        <v>0.0336210825065218</v>
      </c>
      <c r="H4017" t="n">
        <v>0.0232956111839675</v>
      </c>
      <c r="I4017" t="n">
        <v>0.0318383593557143</v>
      </c>
      <c r="J4017" t="n">
        <v>0.5684420344214158</v>
      </c>
      <c r="K4017" t="n">
        <v>0.0511429395002273</v>
      </c>
      <c r="L4017" t="b">
        <v>0</v>
      </c>
      <c r="M4017" t="b">
        <v>0</v>
      </c>
      <c r="N4017" t="inlineStr">
        <is>
          <t>ref</t>
        </is>
      </c>
      <c r="O4017" t="n">
        <v>-25</v>
      </c>
      <c r="P4017" t="n">
        <v>0.001186</v>
      </c>
      <c r="Q4017" t="n">
        <v>-50</v>
      </c>
      <c r="R4017" t="n">
        <v>0.01924</v>
      </c>
      <c r="S4017">
        <f>IMAGE("https://mitra.stanford.edu/kundaje/oak/projects/neuro-variants/variant_position/credible/roussos_2024/variant_figures/roussos_2024.adolescence.GLU/rs11136313_count_position.png",4,220,900)</f>
        <v/>
      </c>
      <c r="T4017">
        <f>IMAGE("https://mitra.stanford.edu/kundaje/oak/projects/neuro-variants/variant_position/credible/roussos_2024/variant_figures/roussos_2024.adolescence.GLU/rs11136313_profile_position.png",4,220,900)</f>
        <v/>
      </c>
    </row>
    <row r="4018">
      <c r="A4018" t="inlineStr">
        <is>
          <t>chr9</t>
        </is>
      </c>
      <c r="B4018" t="n">
        <v>10236246</v>
      </c>
      <c r="C4018" t="inlineStr">
        <is>
          <t>A</t>
        </is>
      </c>
      <c r="D4018" t="inlineStr">
        <is>
          <t>G</t>
        </is>
      </c>
      <c r="E4018" t="inlineStr">
        <is>
          <t>rs10756010</t>
        </is>
      </c>
      <c r="F4018" t="n">
        <v>0.0220029349999999</v>
      </c>
      <c r="G4018" t="n">
        <v>0.2490587533127285</v>
      </c>
      <c r="H4018" t="n">
        <v>0.0153549137591678</v>
      </c>
      <c r="I4018" t="n">
        <v>0.1433666854422725</v>
      </c>
      <c r="J4018" t="n">
        <v>0.0613155582227746</v>
      </c>
      <c r="K4018" t="n">
        <v>0.6662904443961407</v>
      </c>
      <c r="L4018" t="b">
        <v>0</v>
      </c>
      <c r="M4018" t="b">
        <v>0</v>
      </c>
      <c r="N4018" t="inlineStr">
        <is>
          <t>alt</t>
        </is>
      </c>
      <c r="O4018" t="n">
        <v>-100</v>
      </c>
      <c r="P4018" t="n">
        <v>0.00439</v>
      </c>
      <c r="Q4018" t="n">
        <v>15</v>
      </c>
      <c r="R4018" t="n">
        <v>0.01855</v>
      </c>
      <c r="S4018">
        <f>IMAGE("https://mitra.stanford.edu/kundaje/oak/projects/neuro-variants/variant_position/credible/roussos_2024/variant_figures/roussos_2024.adolescence.GLU/rs10756010_count_position.png",4,220,900)</f>
        <v/>
      </c>
      <c r="T4018">
        <f>IMAGE("https://mitra.stanford.edu/kundaje/oak/projects/neuro-variants/variant_position/credible/roussos_2024/variant_figures/roussos_2024.adolescence.GLU/rs10756010_profile_position.png",4,220,900)</f>
        <v/>
      </c>
    </row>
    <row r="4019">
      <c r="A4019" t="inlineStr">
        <is>
          <t>chr9</t>
        </is>
      </c>
      <c r="B4019" t="n">
        <v>10236249</v>
      </c>
      <c r="C4019" t="inlineStr">
        <is>
          <t>G</t>
        </is>
      </c>
      <c r="D4019" t="inlineStr">
        <is>
          <t>A</t>
        </is>
      </c>
      <c r="E4019" t="inlineStr">
        <is>
          <t>rs10958968</t>
        </is>
      </c>
      <c r="F4019" t="n">
        <v>-0.0094286399199999</v>
      </c>
      <c r="G4019" t="n">
        <v>0.550312864797269</v>
      </c>
      <c r="H4019" t="n">
        <v>0.0204904938990875</v>
      </c>
      <c r="I4019" t="n">
        <v>0.0474566345696419</v>
      </c>
      <c r="J4019" t="n">
        <v>0.0551599974280386</v>
      </c>
      <c r="K4019" t="n">
        <v>0.6841911648988592</v>
      </c>
      <c r="L4019" t="b">
        <v>0</v>
      </c>
      <c r="M4019" t="b">
        <v>0</v>
      </c>
      <c r="N4019" t="inlineStr">
        <is>
          <t>ref</t>
        </is>
      </c>
      <c r="O4019" t="n">
        <v>-40</v>
      </c>
      <c r="P4019" t="n">
        <v>0.001625</v>
      </c>
      <c r="Q4019" t="n">
        <v>10</v>
      </c>
      <c r="R4019" t="n">
        <v>0.01013</v>
      </c>
      <c r="S4019">
        <f>IMAGE("https://mitra.stanford.edu/kundaje/oak/projects/neuro-variants/variant_position/credible/roussos_2024/variant_figures/roussos_2024.adolescence.GLU/rs10958968_count_position.png",4,220,900)</f>
        <v/>
      </c>
      <c r="T4019">
        <f>IMAGE("https://mitra.stanford.edu/kundaje/oak/projects/neuro-variants/variant_position/credible/roussos_2024/variant_figures/roussos_2024.adolescence.GLU/rs10958968_profile_position.png",4,220,900)</f>
        <v/>
      </c>
    </row>
    <row r="4020">
      <c r="A4020" t="inlineStr">
        <is>
          <t>chr9</t>
        </is>
      </c>
      <c r="B4020" t="n">
        <v>10244630</v>
      </c>
      <c r="C4020" t="inlineStr">
        <is>
          <t>A</t>
        </is>
      </c>
      <c r="D4020" t="inlineStr">
        <is>
          <t>G</t>
        </is>
      </c>
      <c r="E4020" t="inlineStr">
        <is>
          <t>rs12237121</t>
        </is>
      </c>
      <c r="F4020" t="n">
        <v>-0.00452903248</v>
      </c>
      <c r="G4020" t="n">
        <v>0.7542495272449494</v>
      </c>
      <c r="H4020" t="n">
        <v>0.0195197032292152</v>
      </c>
      <c r="I4020" t="n">
        <v>0.0621871241145825</v>
      </c>
      <c r="J4020" t="n">
        <v>0.0112294689614276</v>
      </c>
      <c r="K4020" t="n">
        <v>0.8754232750706287</v>
      </c>
      <c r="L4020" t="b">
        <v>0</v>
      </c>
      <c r="M4020" t="b">
        <v>0</v>
      </c>
      <c r="N4020" t="inlineStr">
        <is>
          <t>ref</t>
        </is>
      </c>
      <c r="O4020" t="n">
        <v>-100</v>
      </c>
      <c r="P4020" t="n">
        <v>0.00898</v>
      </c>
      <c r="Q4020" t="n">
        <v>65</v>
      </c>
      <c r="R4020" t="n">
        <v>0.01776</v>
      </c>
      <c r="S4020">
        <f>IMAGE("https://mitra.stanford.edu/kundaje/oak/projects/neuro-variants/variant_position/credible/roussos_2024/variant_figures/roussos_2024.adolescence.GLU/rs12237121_count_position.png",4,220,900)</f>
        <v/>
      </c>
      <c r="T4020">
        <f>IMAGE("https://mitra.stanford.edu/kundaje/oak/projects/neuro-variants/variant_position/credible/roussos_2024/variant_figures/roussos_2024.adolescence.GLU/rs12237121_profile_position.png",4,220,900)</f>
        <v/>
      </c>
    </row>
    <row r="4021">
      <c r="A4021" t="inlineStr">
        <is>
          <t>chr9</t>
        </is>
      </c>
      <c r="B4021" t="n">
        <v>10246014</v>
      </c>
      <c r="C4021" t="inlineStr">
        <is>
          <t>T</t>
        </is>
      </c>
      <c r="D4021" t="inlineStr">
        <is>
          <t>G</t>
        </is>
      </c>
      <c r="E4021" t="inlineStr">
        <is>
          <t>rs7032426</t>
        </is>
      </c>
      <c r="F4021" t="n">
        <v>-0.008852065100000001</v>
      </c>
      <c r="G4021" t="n">
        <v>0.5490766357331005</v>
      </c>
      <c r="H4021" t="n">
        <v>0.0323304781280935</v>
      </c>
      <c r="I4021" t="n">
        <v>0.0059938316278065</v>
      </c>
      <c r="J4021" t="n">
        <v>0.0126583363696765</v>
      </c>
      <c r="K4021" t="n">
        <v>0.8646426742209886</v>
      </c>
      <c r="L4021" t="b">
        <v>1</v>
      </c>
      <c r="M4021" t="b">
        <v>0</v>
      </c>
      <c r="N4021" t="inlineStr">
        <is>
          <t>ref</t>
        </is>
      </c>
      <c r="O4021" t="n">
        <v>-90</v>
      </c>
      <c r="P4021" t="n">
        <v>0.004444</v>
      </c>
      <c r="Q4021" t="n">
        <v>-65</v>
      </c>
      <c r="R4021" t="n">
        <v>0.01942</v>
      </c>
      <c r="S4021">
        <f>IMAGE("https://mitra.stanford.edu/kundaje/oak/projects/neuro-variants/variant_position/credible/roussos_2024/variant_figures/roussos_2024.adolescence.GLU/rs7032426_count_position.png",4,220,900)</f>
        <v/>
      </c>
      <c r="T4021">
        <f>IMAGE("https://mitra.stanford.edu/kundaje/oak/projects/neuro-variants/variant_position/credible/roussos_2024/variant_figures/roussos_2024.adolescence.GLU/rs7032426_profile_position.png",4,220,900)</f>
        <v/>
      </c>
    </row>
    <row r="4022">
      <c r="A4022" t="inlineStr">
        <is>
          <t>chr9</t>
        </is>
      </c>
      <c r="B4022" t="n">
        <v>10251323</v>
      </c>
      <c r="C4022" t="inlineStr">
        <is>
          <t>G</t>
        </is>
      </c>
      <c r="D4022" t="inlineStr">
        <is>
          <t>A</t>
        </is>
      </c>
      <c r="E4022" t="inlineStr">
        <is>
          <t>rs1322146</t>
        </is>
      </c>
      <c r="F4022" t="n">
        <v>-0.00716645538</v>
      </c>
      <c r="G4022" t="n">
        <v>0.6327404989306483</v>
      </c>
      <c r="H4022" t="n">
        <v>0.0191181376290985</v>
      </c>
      <c r="I4022" t="n">
        <v>0.0667091319831397</v>
      </c>
      <c r="J4022" t="n">
        <v>0.0002400497245857</v>
      </c>
      <c r="K4022" t="n">
        <v>0.9888531696304692</v>
      </c>
      <c r="L4022" t="b">
        <v>0</v>
      </c>
      <c r="M4022" t="b">
        <v>0</v>
      </c>
      <c r="N4022" t="inlineStr">
        <is>
          <t>ref</t>
        </is>
      </c>
      <c r="O4022" t="n">
        <v>-25</v>
      </c>
      <c r="P4022" t="n">
        <v>0.002747</v>
      </c>
      <c r="Q4022" t="n">
        <v>65</v>
      </c>
      <c r="R4022" t="n">
        <v>0.0425</v>
      </c>
      <c r="S4022">
        <f>IMAGE("https://mitra.stanford.edu/kundaje/oak/projects/neuro-variants/variant_position/credible/roussos_2024/variant_figures/roussos_2024.adolescence.GLU/rs1322146_count_position.png",4,220,900)</f>
        <v/>
      </c>
      <c r="T4022">
        <f>IMAGE("https://mitra.stanford.edu/kundaje/oak/projects/neuro-variants/variant_position/credible/roussos_2024/variant_figures/roussos_2024.adolescence.GLU/rs1322146_profile_position.png",4,220,900)</f>
        <v/>
      </c>
    </row>
    <row r="4023">
      <c r="A4023" t="inlineStr">
        <is>
          <t>chr9</t>
        </is>
      </c>
      <c r="B4023" t="n">
        <v>22758754</v>
      </c>
      <c r="C4023" t="inlineStr">
        <is>
          <t>T</t>
        </is>
      </c>
      <c r="D4023" t="inlineStr">
        <is>
          <t>C</t>
        </is>
      </c>
      <c r="E4023" t="inlineStr">
        <is>
          <t>rs686870</t>
        </is>
      </c>
      <c r="F4023" t="n">
        <v>-0.0084981027528</v>
      </c>
      <c r="G4023" t="n">
        <v>0.6333398949487719</v>
      </c>
      <c r="H4023" t="n">
        <v>0.0110160244014988</v>
      </c>
      <c r="I4023" t="n">
        <v>0.4349682176639003</v>
      </c>
      <c r="J4023" t="n">
        <v>0.0062884454637031</v>
      </c>
      <c r="K4023" t="n">
        <v>0.9124038876003122</v>
      </c>
      <c r="L4023" t="b">
        <v>0</v>
      </c>
      <c r="M4023" t="b">
        <v>0</v>
      </c>
      <c r="N4023" t="inlineStr">
        <is>
          <t>ref</t>
        </is>
      </c>
      <c r="O4023" t="n">
        <v>-85</v>
      </c>
      <c r="P4023" t="n">
        <v>0.00437</v>
      </c>
      <c r="Q4023" t="n">
        <v>100</v>
      </c>
      <c r="R4023" t="n">
        <v>0.1304</v>
      </c>
      <c r="S4023">
        <f>IMAGE("https://mitra.stanford.edu/kundaje/oak/projects/neuro-variants/variant_position/credible/roussos_2024/variant_figures/roussos_2024.adolescence.GLU/rs686870_count_position.png",4,220,900)</f>
        <v/>
      </c>
      <c r="T4023">
        <f>IMAGE("https://mitra.stanford.edu/kundaje/oak/projects/neuro-variants/variant_position/credible/roussos_2024/variant_figures/roussos_2024.adolescence.GLU/rs686870_profile_position.png",4,220,900)</f>
        <v/>
      </c>
    </row>
    <row r="4024">
      <c r="A4024" t="inlineStr">
        <is>
          <t>chr9</t>
        </is>
      </c>
      <c r="B4024" t="n">
        <v>26668919</v>
      </c>
      <c r="C4024" t="inlineStr">
        <is>
          <t>T</t>
        </is>
      </c>
      <c r="D4024" t="inlineStr">
        <is>
          <t>C</t>
        </is>
      </c>
      <c r="E4024" t="inlineStr">
        <is>
          <t>rs1434479</t>
        </is>
      </c>
      <c r="F4024" t="n">
        <v>0.0194803066999999</v>
      </c>
      <c r="G4024" t="n">
        <v>0.3046840895236504</v>
      </c>
      <c r="H4024" t="n">
        <v>0.009598621906841199</v>
      </c>
      <c r="I4024" t="n">
        <v>0.5904156654956818</v>
      </c>
      <c r="J4024" t="n">
        <v>0.0409756306663522</v>
      </c>
      <c r="K4024" t="n">
        <v>0.7337634451120502</v>
      </c>
      <c r="L4024" t="b">
        <v>0</v>
      </c>
      <c r="M4024" t="b">
        <v>0</v>
      </c>
      <c r="N4024" t="inlineStr">
        <is>
          <t>alt</t>
        </is>
      </c>
      <c r="O4024" t="n">
        <v>50</v>
      </c>
      <c r="P4024" t="n">
        <v>0.000519</v>
      </c>
      <c r="Q4024" t="n">
        <v>-45</v>
      </c>
      <c r="R4024" t="n">
        <v>0.03622</v>
      </c>
      <c r="S4024">
        <f>IMAGE("https://mitra.stanford.edu/kundaje/oak/projects/neuro-variants/variant_position/credible/roussos_2024/variant_figures/roussos_2024.adolescence.GLU/rs1434479_count_position.png",4,220,900)</f>
        <v/>
      </c>
      <c r="T4024">
        <f>IMAGE("https://mitra.stanford.edu/kundaje/oak/projects/neuro-variants/variant_position/credible/roussos_2024/variant_figures/roussos_2024.adolescence.GLU/rs1434479_profile_position.png",4,220,900)</f>
        <v/>
      </c>
    </row>
    <row r="4025">
      <c r="A4025" t="inlineStr">
        <is>
          <t>chr9</t>
        </is>
      </c>
      <c r="B4025" t="n">
        <v>26676300</v>
      </c>
      <c r="C4025" t="inlineStr">
        <is>
          <t>T</t>
        </is>
      </c>
      <c r="D4025" t="inlineStr">
        <is>
          <t>C</t>
        </is>
      </c>
      <c r="E4025" t="inlineStr">
        <is>
          <t>rs10967473</t>
        </is>
      </c>
      <c r="F4025" t="n">
        <v>0.01817523762</v>
      </c>
      <c r="G4025" t="n">
        <v>0.3203009965662825</v>
      </c>
      <c r="H4025" t="n">
        <v>0.011045959320352</v>
      </c>
      <c r="I4025" t="n">
        <v>0.4253642118862875</v>
      </c>
      <c r="J4025" t="n">
        <v>0.0564345471561965</v>
      </c>
      <c r="K4025" t="n">
        <v>0.6803321519871144</v>
      </c>
      <c r="L4025" t="b">
        <v>0</v>
      </c>
      <c r="M4025" t="b">
        <v>0</v>
      </c>
      <c r="N4025" t="inlineStr">
        <is>
          <t>alt</t>
        </is>
      </c>
      <c r="O4025" t="n">
        <v>-75</v>
      </c>
      <c r="P4025" t="n">
        <v>0.0038</v>
      </c>
      <c r="Q4025" t="n">
        <v>5</v>
      </c>
      <c r="R4025" t="n">
        <v>0.0006104</v>
      </c>
      <c r="S4025">
        <f>IMAGE("https://mitra.stanford.edu/kundaje/oak/projects/neuro-variants/variant_position/credible/roussos_2024/variant_figures/roussos_2024.adolescence.GLU/rs10967473_count_position.png",4,220,900)</f>
        <v/>
      </c>
      <c r="T4025">
        <f>IMAGE("https://mitra.stanford.edu/kundaje/oak/projects/neuro-variants/variant_position/credible/roussos_2024/variant_figures/roussos_2024.adolescence.GLU/rs10967473_profile_position.png",4,220,900)</f>
        <v/>
      </c>
    </row>
    <row r="4026">
      <c r="A4026" t="inlineStr">
        <is>
          <t>chr9</t>
        </is>
      </c>
      <c r="B4026" t="n">
        <v>36307780</v>
      </c>
      <c r="C4026" t="inlineStr">
        <is>
          <t>T</t>
        </is>
      </c>
      <c r="D4026" t="inlineStr">
        <is>
          <t>C</t>
        </is>
      </c>
      <c r="E4026" t="inlineStr">
        <is>
          <t>rs7865569</t>
        </is>
      </c>
      <c r="F4026" t="n">
        <v>0.059186951</v>
      </c>
      <c r="G4026" t="n">
        <v>0.0398519027897675</v>
      </c>
      <c r="H4026" t="n">
        <v>0.0158751159286507</v>
      </c>
      <c r="I4026" t="n">
        <v>0.1385938011540702</v>
      </c>
      <c r="J4026" t="n">
        <v>0.26336741182102</v>
      </c>
      <c r="K4026" t="n">
        <v>0.3153570077820241</v>
      </c>
      <c r="L4026" t="b">
        <v>0</v>
      </c>
      <c r="M4026" t="b">
        <v>0</v>
      </c>
      <c r="N4026" t="inlineStr">
        <is>
          <t>alt</t>
        </is>
      </c>
      <c r="O4026" t="n">
        <v>-100</v>
      </c>
      <c r="P4026" t="n">
        <v>0.00348</v>
      </c>
      <c r="Q4026" t="n">
        <v>55</v>
      </c>
      <c r="R4026" t="n">
        <v>0.05316</v>
      </c>
      <c r="S4026">
        <f>IMAGE("https://mitra.stanford.edu/kundaje/oak/projects/neuro-variants/variant_position/credible/roussos_2024/variant_figures/roussos_2024.adolescence.GLU/rs7865569_count_position.png",4,220,900)</f>
        <v/>
      </c>
      <c r="T4026">
        <f>IMAGE("https://mitra.stanford.edu/kundaje/oak/projects/neuro-variants/variant_position/credible/roussos_2024/variant_figures/roussos_2024.adolescence.GLU/rs7865569_profile_position.png",4,220,900)</f>
        <v/>
      </c>
    </row>
    <row r="4027">
      <c r="A4027" t="inlineStr">
        <is>
          <t>chr9</t>
        </is>
      </c>
      <c r="B4027" t="n">
        <v>36351697</v>
      </c>
      <c r="C4027" t="inlineStr">
        <is>
          <t>G</t>
        </is>
      </c>
      <c r="D4027" t="inlineStr">
        <is>
          <t>A</t>
        </is>
      </c>
      <c r="E4027" t="inlineStr">
        <is>
          <t>rs10972866</t>
        </is>
      </c>
      <c r="F4027" t="n">
        <v>-0.1208440531999999</v>
      </c>
      <c r="G4027" t="n">
        <v>0.0061517426974531</v>
      </c>
      <c r="H4027" t="n">
        <v>0.0252507108043616</v>
      </c>
      <c r="I4027" t="n">
        <v>0.027201632374662</v>
      </c>
      <c r="J4027" t="n">
        <v>0.1127633581241828</v>
      </c>
      <c r="K4027" t="n">
        <v>0.5535410833081913</v>
      </c>
      <c r="L4027" t="b">
        <v>1</v>
      </c>
      <c r="M4027" t="b">
        <v>1</v>
      </c>
      <c r="N4027" t="inlineStr">
        <is>
          <t>ref</t>
        </is>
      </c>
      <c r="O4027" t="n">
        <v>-50</v>
      </c>
      <c r="P4027" t="n">
        <v>0.00928</v>
      </c>
      <c r="Q4027" t="n">
        <v>65</v>
      </c>
      <c r="R4027" t="n">
        <v>0.0614</v>
      </c>
      <c r="S4027">
        <f>IMAGE("https://mitra.stanford.edu/kundaje/oak/projects/neuro-variants/variant_position/credible/roussos_2024/variant_figures/roussos_2024.adolescence.GLU/rs10972866_count_position.png",4,220,900)</f>
        <v/>
      </c>
      <c r="T4027">
        <f>IMAGE("https://mitra.stanford.edu/kundaje/oak/projects/neuro-variants/variant_position/credible/roussos_2024/variant_figures/roussos_2024.adolescence.GLU/rs10972866_profile_position.png",4,220,900)</f>
        <v/>
      </c>
    </row>
    <row r="4028">
      <c r="A4028" t="inlineStr">
        <is>
          <t>chr9</t>
        </is>
      </c>
      <c r="B4028" t="n">
        <v>36399023</v>
      </c>
      <c r="C4028" t="inlineStr">
        <is>
          <t>T</t>
        </is>
      </c>
      <c r="D4028" t="inlineStr">
        <is>
          <t>C</t>
        </is>
      </c>
      <c r="E4028" t="inlineStr">
        <is>
          <t>rs4144593</t>
        </is>
      </c>
      <c r="F4028" t="n">
        <v>0.012302072</v>
      </c>
      <c r="G4028" t="n">
        <v>0.07564706570300669</v>
      </c>
      <c r="H4028" t="n">
        <v>0.0155350273789401</v>
      </c>
      <c r="I4028" t="n">
        <v>0.1421293120868161</v>
      </c>
      <c r="J4028" t="n">
        <v>0.1163040915618234</v>
      </c>
      <c r="K4028" t="n">
        <v>0.5335063869327911</v>
      </c>
      <c r="L4028" t="b">
        <v>0</v>
      </c>
      <c r="M4028" t="b">
        <v>0</v>
      </c>
      <c r="N4028" t="inlineStr">
        <is>
          <t>alt</t>
        </is>
      </c>
      <c r="O4028" t="n">
        <v>5</v>
      </c>
      <c r="P4028" t="n">
        <v>0.001038</v>
      </c>
      <c r="Q4028" t="n">
        <v>-20</v>
      </c>
      <c r="R4028" t="n">
        <v>0.009155</v>
      </c>
      <c r="S4028">
        <f>IMAGE("https://mitra.stanford.edu/kundaje/oak/projects/neuro-variants/variant_position/credible/roussos_2024/variant_figures/roussos_2024.adolescence.GLU/rs4144593_count_position.png",4,220,900)</f>
        <v/>
      </c>
      <c r="T4028">
        <f>IMAGE("https://mitra.stanford.edu/kundaje/oak/projects/neuro-variants/variant_position/credible/roussos_2024/variant_figures/roussos_2024.adolescence.GLU/rs4144593_profile_position.png",4,220,900)</f>
        <v/>
      </c>
    </row>
    <row r="4029">
      <c r="A4029" t="inlineStr">
        <is>
          <t>chr9</t>
        </is>
      </c>
      <c r="B4029" t="n">
        <v>36409392</v>
      </c>
      <c r="C4029" t="inlineStr">
        <is>
          <t>T</t>
        </is>
      </c>
      <c r="D4029" t="inlineStr">
        <is>
          <t>C</t>
        </is>
      </c>
      <c r="E4029" t="inlineStr">
        <is>
          <t>rs10814385</t>
        </is>
      </c>
      <c r="F4029" t="n">
        <v>-0.0399195664</v>
      </c>
      <c r="G4029" t="n">
        <v>0.0921471346098129</v>
      </c>
      <c r="H4029" t="n">
        <v>0.0156580265988556</v>
      </c>
      <c r="I4029" t="n">
        <v>0.1458236295142438</v>
      </c>
      <c r="J4029" t="n">
        <v>0.1025969665144922</v>
      </c>
      <c r="K4029" t="n">
        <v>0.569783808744975</v>
      </c>
      <c r="L4029" t="b">
        <v>0</v>
      </c>
      <c r="M4029" t="b">
        <v>0</v>
      </c>
      <c r="N4029" t="inlineStr">
        <is>
          <t>ref</t>
        </is>
      </c>
      <c r="O4029" t="n">
        <v>10</v>
      </c>
      <c r="P4029" t="n">
        <v>0.001373</v>
      </c>
      <c r="Q4029" t="n">
        <v>100</v>
      </c>
      <c r="R4029" t="n">
        <v>0.03577</v>
      </c>
      <c r="S4029">
        <f>IMAGE("https://mitra.stanford.edu/kundaje/oak/projects/neuro-variants/variant_position/credible/roussos_2024/variant_figures/roussos_2024.adolescence.GLU/rs10814385_count_position.png",4,220,900)</f>
        <v/>
      </c>
      <c r="T4029">
        <f>IMAGE("https://mitra.stanford.edu/kundaje/oak/projects/neuro-variants/variant_position/credible/roussos_2024/variant_figures/roussos_2024.adolescence.GLU/rs10814385_profile_position.png",4,220,900)</f>
        <v/>
      </c>
    </row>
    <row r="4030">
      <c r="A4030" t="inlineStr">
        <is>
          <t>chr9</t>
        </is>
      </c>
      <c r="B4030" t="n">
        <v>36415389</v>
      </c>
      <c r="C4030" t="inlineStr">
        <is>
          <t>T</t>
        </is>
      </c>
      <c r="D4030" t="inlineStr">
        <is>
          <t>C</t>
        </is>
      </c>
      <c r="E4030" t="inlineStr">
        <is>
          <t>rs2483657</t>
        </is>
      </c>
      <c r="F4030" t="n">
        <v>0.00638407444</v>
      </c>
      <c r="G4030" t="n">
        <v>0.6411472302590062</v>
      </c>
      <c r="H4030" t="n">
        <v>0.016219069736598</v>
      </c>
      <c r="I4030" t="n">
        <v>0.1188158537132815</v>
      </c>
      <c r="J4030" t="n">
        <v>0.1982953611819591</v>
      </c>
      <c r="K4030" t="n">
        <v>0.402239404556549</v>
      </c>
      <c r="L4030" t="b">
        <v>0</v>
      </c>
      <c r="M4030" t="b">
        <v>0</v>
      </c>
      <c r="N4030" t="inlineStr">
        <is>
          <t>alt</t>
        </is>
      </c>
      <c r="O4030" t="n">
        <v>0</v>
      </c>
      <c r="P4030" t="n">
        <v>0</v>
      </c>
      <c r="Q4030" t="n">
        <v>95</v>
      </c>
      <c r="R4030" t="n">
        <v>0.05896</v>
      </c>
      <c r="S4030">
        <f>IMAGE("https://mitra.stanford.edu/kundaje/oak/projects/neuro-variants/variant_position/credible/roussos_2024/variant_figures/roussos_2024.adolescence.GLU/rs2483657_count_position.png",4,220,900)</f>
        <v/>
      </c>
      <c r="T4030">
        <f>IMAGE("https://mitra.stanford.edu/kundaje/oak/projects/neuro-variants/variant_position/credible/roussos_2024/variant_figures/roussos_2024.adolescence.GLU/rs2483657_profile_position.png",4,220,900)</f>
        <v/>
      </c>
    </row>
    <row r="4031">
      <c r="A4031" t="inlineStr">
        <is>
          <t>chr9</t>
        </is>
      </c>
      <c r="B4031" t="n">
        <v>36422433</v>
      </c>
      <c r="C4031" t="inlineStr">
        <is>
          <t>A</t>
        </is>
      </c>
      <c r="D4031" t="inlineStr">
        <is>
          <t>C</t>
        </is>
      </c>
      <c r="E4031" t="inlineStr">
        <is>
          <t>rs4446808</t>
        </is>
      </c>
      <c r="F4031" t="n">
        <v>-0.0033158050199999</v>
      </c>
      <c r="G4031" t="n">
        <v>0.6811799707634481</v>
      </c>
      <c r="H4031" t="n">
        <v>0.0352913079519736</v>
      </c>
      <c r="I4031" t="n">
        <v>0.0047788716085974</v>
      </c>
      <c r="J4031" t="n">
        <v>0.0275485636310378</v>
      </c>
      <c r="K4031" t="n">
        <v>0.7821121762911007</v>
      </c>
      <c r="L4031" t="b">
        <v>1</v>
      </c>
      <c r="M4031" t="b">
        <v>0</v>
      </c>
      <c r="N4031" t="inlineStr">
        <is>
          <t>ref</t>
        </is>
      </c>
      <c r="O4031" t="n">
        <v>-70</v>
      </c>
      <c r="P4031" t="n">
        <v>0.02138</v>
      </c>
      <c r="Q4031" t="n">
        <v>45</v>
      </c>
      <c r="R4031" t="n">
        <v>0.013855</v>
      </c>
      <c r="S4031">
        <f>IMAGE("https://mitra.stanford.edu/kundaje/oak/projects/neuro-variants/variant_position/credible/roussos_2024/variant_figures/roussos_2024.adolescence.GLU/rs4446808_count_position.png",4,220,900)</f>
        <v/>
      </c>
      <c r="T4031">
        <f>IMAGE("https://mitra.stanford.edu/kundaje/oak/projects/neuro-variants/variant_position/credible/roussos_2024/variant_figures/roussos_2024.adolescence.GLU/rs4446808_profile_position.png",4,220,900)</f>
        <v/>
      </c>
    </row>
    <row r="4032">
      <c r="A4032" t="inlineStr">
        <is>
          <t>chr9</t>
        </is>
      </c>
      <c r="B4032" t="n">
        <v>36435008</v>
      </c>
      <c r="C4032" t="inlineStr">
        <is>
          <t>C</t>
        </is>
      </c>
      <c r="D4032" t="inlineStr">
        <is>
          <t>T</t>
        </is>
      </c>
      <c r="E4032" t="inlineStr">
        <is>
          <t>rs6476556</t>
        </is>
      </c>
      <c r="F4032" t="n">
        <v>-0.0160470048</v>
      </c>
      <c r="G4032" t="n">
        <v>0.3928451704012207</v>
      </c>
      <c r="H4032" t="n">
        <v>0.0101634833662305</v>
      </c>
      <c r="I4032" t="n">
        <v>0.5022330368788058</v>
      </c>
      <c r="J4032" t="n">
        <v>0.235438769459388</v>
      </c>
      <c r="K4032" t="n">
        <v>0.3523447796764904</v>
      </c>
      <c r="L4032" t="b">
        <v>0</v>
      </c>
      <c r="M4032" t="b">
        <v>0</v>
      </c>
      <c r="N4032" t="inlineStr">
        <is>
          <t>ref</t>
        </is>
      </c>
      <c r="O4032" t="n">
        <v>100</v>
      </c>
      <c r="P4032" t="n">
        <v>0.006245</v>
      </c>
      <c r="Q4032" t="n">
        <v>80</v>
      </c>
      <c r="R4032" t="n">
        <v>0.05676</v>
      </c>
      <c r="S4032">
        <f>IMAGE("https://mitra.stanford.edu/kundaje/oak/projects/neuro-variants/variant_position/credible/roussos_2024/variant_figures/roussos_2024.adolescence.GLU/rs6476556_count_position.png",4,220,900)</f>
        <v/>
      </c>
      <c r="T4032">
        <f>IMAGE("https://mitra.stanford.edu/kundaje/oak/projects/neuro-variants/variant_position/credible/roussos_2024/variant_figures/roussos_2024.adolescence.GLU/rs6476556_profile_position.png",4,220,900)</f>
        <v/>
      </c>
    </row>
    <row r="4033">
      <c r="A4033" t="inlineStr">
        <is>
          <t>chr9</t>
        </is>
      </c>
      <c r="B4033" t="n">
        <v>36442935</v>
      </c>
      <c r="C4033" t="inlineStr">
        <is>
          <t>G</t>
        </is>
      </c>
      <c r="D4033" t="inlineStr">
        <is>
          <t>C</t>
        </is>
      </c>
      <c r="E4033" t="inlineStr">
        <is>
          <t>rs7856743</t>
        </is>
      </c>
      <c r="F4033" t="n">
        <v>0.01636196836</v>
      </c>
      <c r="G4033" t="n">
        <v>0.3371294961335966</v>
      </c>
      <c r="H4033" t="n">
        <v>0.010881418090996</v>
      </c>
      <c r="I4033" t="n">
        <v>0.4273230538239719</v>
      </c>
      <c r="J4033" t="n">
        <v>0.3359738803037772</v>
      </c>
      <c r="K4033" t="n">
        <v>0.2316353833304045</v>
      </c>
      <c r="L4033" t="b">
        <v>0</v>
      </c>
      <c r="M4033" t="b">
        <v>0</v>
      </c>
      <c r="N4033" t="inlineStr">
        <is>
          <t>alt</t>
        </is>
      </c>
      <c r="O4033" t="n">
        <v>-85</v>
      </c>
      <c r="P4033" t="n">
        <v>0.02115</v>
      </c>
      <c r="Q4033" t="n">
        <v>-85</v>
      </c>
      <c r="R4033" t="n">
        <v>0.1034</v>
      </c>
      <c r="S4033">
        <f>IMAGE("https://mitra.stanford.edu/kundaje/oak/projects/neuro-variants/variant_position/credible/roussos_2024/variant_figures/roussos_2024.adolescence.GLU/rs7856743_count_position.png",4,220,900)</f>
        <v/>
      </c>
      <c r="T4033">
        <f>IMAGE("https://mitra.stanford.edu/kundaje/oak/projects/neuro-variants/variant_position/credible/roussos_2024/variant_figures/roussos_2024.adolescence.GLU/rs7856743_profile_position.png",4,220,900)</f>
        <v/>
      </c>
    </row>
    <row r="4034">
      <c r="A4034" t="inlineStr">
        <is>
          <t>chr9</t>
        </is>
      </c>
      <c r="B4034" t="n">
        <v>80492272</v>
      </c>
      <c r="C4034" t="inlineStr">
        <is>
          <t>A</t>
        </is>
      </c>
      <c r="D4034" t="inlineStr">
        <is>
          <t>G</t>
        </is>
      </c>
      <c r="E4034" t="inlineStr">
        <is>
          <t>rs11138693</t>
        </is>
      </c>
      <c r="F4034" t="n">
        <v>-0.0275105996</v>
      </c>
      <c r="G4034" t="n">
        <v>0.2067812319942771</v>
      </c>
      <c r="H4034" t="n">
        <v>0.0251908433922812</v>
      </c>
      <c r="I4034" t="n">
        <v>0.0205408076678869</v>
      </c>
      <c r="J4034" t="n">
        <v>0.2685099056233077</v>
      </c>
      <c r="K4034" t="n">
        <v>0.3038706640556076</v>
      </c>
      <c r="L4034" t="b">
        <v>0</v>
      </c>
      <c r="M4034" t="b">
        <v>0</v>
      </c>
      <c r="N4034" t="inlineStr">
        <is>
          <t>ref</t>
        </is>
      </c>
      <c r="O4034" t="n">
        <v>-75</v>
      </c>
      <c r="P4034" t="n">
        <v>0.01933</v>
      </c>
      <c r="Q4034" t="n">
        <v>95</v>
      </c>
      <c r="R4034" t="n">
        <v>0.03003</v>
      </c>
      <c r="S4034">
        <f>IMAGE("https://mitra.stanford.edu/kundaje/oak/projects/neuro-variants/variant_position/credible/roussos_2024/variant_figures/roussos_2024.adolescence.GLU/rs11138693_count_position.png",4,220,900)</f>
        <v/>
      </c>
      <c r="T4034">
        <f>IMAGE("https://mitra.stanford.edu/kundaje/oak/projects/neuro-variants/variant_position/credible/roussos_2024/variant_figures/roussos_2024.adolescence.GLU/rs11138693_profile_position.png",4,220,900)</f>
        <v/>
      </c>
    </row>
    <row r="4035">
      <c r="A4035" t="inlineStr">
        <is>
          <t>chr9</t>
        </is>
      </c>
      <c r="B4035" t="n">
        <v>80492929</v>
      </c>
      <c r="C4035" t="inlineStr">
        <is>
          <t>C</t>
        </is>
      </c>
      <c r="D4035" t="inlineStr">
        <is>
          <t>T</t>
        </is>
      </c>
      <c r="E4035" t="inlineStr">
        <is>
          <t>rs10867555</t>
        </is>
      </c>
      <c r="F4035" t="n">
        <v>-0.00402168562</v>
      </c>
      <c r="G4035" t="n">
        <v>0.7189924408382586</v>
      </c>
      <c r="H4035" t="n">
        <v>0.0188956844609411</v>
      </c>
      <c r="I4035" t="n">
        <v>0.0684057201028648</v>
      </c>
      <c r="J4035" t="n">
        <v>0.1344978602710561</v>
      </c>
      <c r="K4035" t="n">
        <v>0.5082070828471689</v>
      </c>
      <c r="L4035" t="b">
        <v>0</v>
      </c>
      <c r="M4035" t="b">
        <v>0</v>
      </c>
      <c r="N4035" t="inlineStr">
        <is>
          <t>ref</t>
        </is>
      </c>
      <c r="O4035" t="n">
        <v>-100</v>
      </c>
      <c r="P4035" t="n">
        <v>0.001999</v>
      </c>
      <c r="Q4035" t="n">
        <v>100</v>
      </c>
      <c r="R4035" t="n">
        <v>0.132</v>
      </c>
      <c r="S4035">
        <f>IMAGE("https://mitra.stanford.edu/kundaje/oak/projects/neuro-variants/variant_position/credible/roussos_2024/variant_figures/roussos_2024.adolescence.GLU/rs10867555_count_position.png",4,220,900)</f>
        <v/>
      </c>
      <c r="T4035">
        <f>IMAGE("https://mitra.stanford.edu/kundaje/oak/projects/neuro-variants/variant_position/credible/roussos_2024/variant_figures/roussos_2024.adolescence.GLU/rs10867555_profile_position.png",4,220,900)</f>
        <v/>
      </c>
    </row>
    <row r="4036">
      <c r="A4036" t="inlineStr">
        <is>
          <t>chr9</t>
        </is>
      </c>
      <c r="B4036" t="n">
        <v>80505747</v>
      </c>
      <c r="C4036" t="inlineStr">
        <is>
          <t>C</t>
        </is>
      </c>
      <c r="D4036" t="inlineStr">
        <is>
          <t>T</t>
        </is>
      </c>
      <c r="E4036" t="inlineStr">
        <is>
          <t>rs11138702</t>
        </is>
      </c>
      <c r="F4036" t="n">
        <v>-0.0680725294</v>
      </c>
      <c r="G4036" t="n">
        <v>0.0300368574289353</v>
      </c>
      <c r="H4036" t="n">
        <v>0.0126669449298345</v>
      </c>
      <c r="I4036" t="n">
        <v>0.2707228716510908</v>
      </c>
      <c r="J4036" t="n">
        <v>0.0223889234198511</v>
      </c>
      <c r="K4036" t="n">
        <v>0.8210426738251811</v>
      </c>
      <c r="L4036" t="b">
        <v>0</v>
      </c>
      <c r="M4036" t="b">
        <v>0</v>
      </c>
      <c r="N4036" t="inlineStr">
        <is>
          <t>ref</t>
        </is>
      </c>
      <c r="O4036" t="n">
        <v>100</v>
      </c>
      <c r="P4036" t="n">
        <v>0.005016</v>
      </c>
      <c r="Q4036" t="n">
        <v>-100</v>
      </c>
      <c r="R4036" t="n">
        <v>0.1067</v>
      </c>
      <c r="S4036">
        <f>IMAGE("https://mitra.stanford.edu/kundaje/oak/projects/neuro-variants/variant_position/credible/roussos_2024/variant_figures/roussos_2024.adolescence.GLU/rs11138702_count_position.png",4,220,900)</f>
        <v/>
      </c>
      <c r="T4036">
        <f>IMAGE("https://mitra.stanford.edu/kundaje/oak/projects/neuro-variants/variant_position/credible/roussos_2024/variant_figures/roussos_2024.adolescence.GLU/rs11138702_profile_position.png",4,220,900)</f>
        <v/>
      </c>
    </row>
    <row r="4037">
      <c r="A4037" t="inlineStr">
        <is>
          <t>chr9</t>
        </is>
      </c>
      <c r="B4037" t="n">
        <v>80564618</v>
      </c>
      <c r="C4037" t="inlineStr">
        <is>
          <t>C</t>
        </is>
      </c>
      <c r="D4037" t="inlineStr">
        <is>
          <t>A</t>
        </is>
      </c>
      <c r="E4037" t="inlineStr">
        <is>
          <t>rs145585805</t>
        </is>
      </c>
      <c r="F4037" t="n">
        <v>-0.0219452874</v>
      </c>
      <c r="G4037" t="n">
        <v>0.2726088499923101</v>
      </c>
      <c r="H4037" t="n">
        <v>0.0133770762175456</v>
      </c>
      <c r="I4037" t="n">
        <v>0.2380473722623538</v>
      </c>
      <c r="J4037" t="n">
        <v>0.4097677376027892</v>
      </c>
      <c r="K4037" t="n">
        <v>0.1579935254098374</v>
      </c>
      <c r="L4037" t="b">
        <v>0</v>
      </c>
      <c r="M4037" t="b">
        <v>0</v>
      </c>
      <c r="N4037" t="inlineStr">
        <is>
          <t>ref</t>
        </is>
      </c>
      <c r="O4037" t="n">
        <v>-100</v>
      </c>
      <c r="P4037" t="n">
        <v>0.01715</v>
      </c>
      <c r="Q4037" t="n">
        <v>-95</v>
      </c>
      <c r="R4037" t="n">
        <v>0.1355</v>
      </c>
      <c r="S4037">
        <f>IMAGE("https://mitra.stanford.edu/kundaje/oak/projects/neuro-variants/variant_position/credible/roussos_2024/variant_figures/roussos_2024.adolescence.GLU/rs145585805_count_position.png",4,220,900)</f>
        <v/>
      </c>
      <c r="T4037">
        <f>IMAGE("https://mitra.stanford.edu/kundaje/oak/projects/neuro-variants/variant_position/credible/roussos_2024/variant_figures/roussos_2024.adolescence.GLU/rs145585805_profile_position.png",4,220,900)</f>
        <v/>
      </c>
    </row>
    <row r="4038">
      <c r="A4038" t="inlineStr">
        <is>
          <t>chr9</t>
        </is>
      </c>
      <c r="B4038" t="n">
        <v>82145230</v>
      </c>
      <c r="C4038" t="inlineStr">
        <is>
          <t>A</t>
        </is>
      </c>
      <c r="D4038" t="inlineStr">
        <is>
          <t>G</t>
        </is>
      </c>
      <c r="E4038" t="inlineStr">
        <is>
          <t>rs7853639</t>
        </is>
      </c>
      <c r="F4038" t="n">
        <v>0.0130017496</v>
      </c>
      <c r="G4038" t="n">
        <v>0.4130924380515444</v>
      </c>
      <c r="H4038" t="n">
        <v>0.0114794452216446</v>
      </c>
      <c r="I4038" t="n">
        <v>0.3562651454018415</v>
      </c>
      <c r="J4038" t="n">
        <v>0.1623293396489272</v>
      </c>
      <c r="K4038" t="n">
        <v>0.4622486295760328</v>
      </c>
      <c r="L4038" t="b">
        <v>0</v>
      </c>
      <c r="M4038" t="b">
        <v>0</v>
      </c>
      <c r="N4038" t="inlineStr">
        <is>
          <t>alt</t>
        </is>
      </c>
      <c r="O4038" t="n">
        <v>-80</v>
      </c>
      <c r="P4038" t="n">
        <v>0.007126</v>
      </c>
      <c r="Q4038" t="n">
        <v>80</v>
      </c>
      <c r="R4038" t="n">
        <v>0.03564</v>
      </c>
      <c r="S4038">
        <f>IMAGE("https://mitra.stanford.edu/kundaje/oak/projects/neuro-variants/variant_position/credible/roussos_2024/variant_figures/roussos_2024.adolescence.GLU/rs7853639_count_position.png",4,220,900)</f>
        <v/>
      </c>
      <c r="T4038">
        <f>IMAGE("https://mitra.stanford.edu/kundaje/oak/projects/neuro-variants/variant_position/credible/roussos_2024/variant_figures/roussos_2024.adolescence.GLU/rs7853639_profile_position.png",4,220,900)</f>
        <v/>
      </c>
    </row>
    <row r="4039">
      <c r="A4039" t="inlineStr">
        <is>
          <t>chr9</t>
        </is>
      </c>
      <c r="B4039" t="n">
        <v>82148110</v>
      </c>
      <c r="C4039" t="inlineStr">
        <is>
          <t>C</t>
        </is>
      </c>
      <c r="D4039" t="inlineStr">
        <is>
          <t>T</t>
        </is>
      </c>
      <c r="E4039" t="inlineStr">
        <is>
          <t>rs11139500</t>
        </is>
      </c>
      <c r="F4039" t="n">
        <v>-0.0333273465999999</v>
      </c>
      <c r="G4039" t="n">
        <v>0.1517065691674798</v>
      </c>
      <c r="H4039" t="n">
        <v>0.0109070912255233</v>
      </c>
      <c r="I4039" t="n">
        <v>0.420697062372643</v>
      </c>
      <c r="J4039" t="n">
        <v>0.156643876231505</v>
      </c>
      <c r="K4039" t="n">
        <v>0.4621017676729457</v>
      </c>
      <c r="L4039" t="b">
        <v>0</v>
      </c>
      <c r="M4039" t="b">
        <v>0</v>
      </c>
      <c r="N4039" t="inlineStr">
        <is>
          <t>ref</t>
        </is>
      </c>
      <c r="O4039" t="n">
        <v>30</v>
      </c>
      <c r="P4039" t="n">
        <v>0.007446</v>
      </c>
      <c r="Q4039" t="n">
        <v>30</v>
      </c>
      <c r="R4039" t="n">
        <v>0.0415</v>
      </c>
      <c r="S4039">
        <f>IMAGE("https://mitra.stanford.edu/kundaje/oak/projects/neuro-variants/variant_position/credible/roussos_2024/variant_figures/roussos_2024.adolescence.GLU/rs11139500_count_position.png",4,220,900)</f>
        <v/>
      </c>
      <c r="T4039">
        <f>IMAGE("https://mitra.stanford.edu/kundaje/oak/projects/neuro-variants/variant_position/credible/roussos_2024/variant_figures/roussos_2024.adolescence.GLU/rs11139500_profile_position.png",4,220,900)</f>
        <v/>
      </c>
    </row>
    <row r="4040">
      <c r="A4040" t="inlineStr">
        <is>
          <t>chr9</t>
        </is>
      </c>
      <c r="B4040" t="n">
        <v>82151895</v>
      </c>
      <c r="C4040" t="inlineStr">
        <is>
          <t>A</t>
        </is>
      </c>
      <c r="D4040" t="inlineStr">
        <is>
          <t>G</t>
        </is>
      </c>
      <c r="E4040" t="inlineStr">
        <is>
          <t>rs1409880</t>
        </is>
      </c>
      <c r="F4040" t="n">
        <v>0.00318175938</v>
      </c>
      <c r="G4040" t="n">
        <v>0.7551452041031324</v>
      </c>
      <c r="H4040" t="n">
        <v>0.0114858100479481</v>
      </c>
      <c r="I4040" t="n">
        <v>0.374826365315774</v>
      </c>
      <c r="J4040" t="n">
        <v>0.1303698623286251</v>
      </c>
      <c r="K4040" t="n">
        <v>0.514405253767619</v>
      </c>
      <c r="L4040" t="b">
        <v>0</v>
      </c>
      <c r="M4040" t="b">
        <v>0</v>
      </c>
      <c r="N4040" t="inlineStr">
        <is>
          <t>alt</t>
        </is>
      </c>
      <c r="O4040" t="n">
        <v>85</v>
      </c>
      <c r="P4040" t="n">
        <v>0.005478</v>
      </c>
      <c r="Q4040" t="n">
        <v>50</v>
      </c>
      <c r="R4040" t="n">
        <v>0.0848</v>
      </c>
      <c r="S4040">
        <f>IMAGE("https://mitra.stanford.edu/kundaje/oak/projects/neuro-variants/variant_position/credible/roussos_2024/variant_figures/roussos_2024.adolescence.GLU/rs1409880_count_position.png",4,220,900)</f>
        <v/>
      </c>
      <c r="T4040">
        <f>IMAGE("https://mitra.stanford.edu/kundaje/oak/projects/neuro-variants/variant_position/credible/roussos_2024/variant_figures/roussos_2024.adolescence.GLU/rs1409880_profile_position.png",4,220,900)</f>
        <v/>
      </c>
    </row>
    <row r="4041">
      <c r="A4041" t="inlineStr">
        <is>
          <t>chr9</t>
        </is>
      </c>
      <c r="B4041" t="n">
        <v>82173221</v>
      </c>
      <c r="C4041" t="inlineStr">
        <is>
          <t>C</t>
        </is>
      </c>
      <c r="D4041" t="inlineStr">
        <is>
          <t>A</t>
        </is>
      </c>
      <c r="E4041" t="inlineStr">
        <is>
          <t>rs2788116</t>
        </is>
      </c>
      <c r="F4041" t="n">
        <v>-0.0276929246</v>
      </c>
      <c r="G4041" t="n">
        <v>0.2028539518987307</v>
      </c>
      <c r="H4041" t="n">
        <v>0.009588785362905699</v>
      </c>
      <c r="I4041" t="n">
        <v>0.5974262095613061</v>
      </c>
      <c r="J4041" t="n">
        <v>0.0279943702624114</v>
      </c>
      <c r="K4041" t="n">
        <v>0.7785291630681406</v>
      </c>
      <c r="L4041" t="b">
        <v>0</v>
      </c>
      <c r="M4041" t="b">
        <v>0</v>
      </c>
      <c r="N4041" t="inlineStr">
        <is>
          <t>ref</t>
        </is>
      </c>
      <c r="O4041" t="n">
        <v>45</v>
      </c>
      <c r="P4041" t="n">
        <v>0.01529</v>
      </c>
      <c r="Q4041" t="n">
        <v>55</v>
      </c>
      <c r="R4041" t="n">
        <v>0.06419999999999999</v>
      </c>
      <c r="S4041">
        <f>IMAGE("https://mitra.stanford.edu/kundaje/oak/projects/neuro-variants/variant_position/credible/roussos_2024/variant_figures/roussos_2024.adolescence.GLU/rs2788116_count_position.png",4,220,900)</f>
        <v/>
      </c>
      <c r="T4041">
        <f>IMAGE("https://mitra.stanford.edu/kundaje/oak/projects/neuro-variants/variant_position/credible/roussos_2024/variant_figures/roussos_2024.adolescence.GLU/rs2788116_profile_position.png",4,220,900)</f>
        <v/>
      </c>
    </row>
    <row r="4042">
      <c r="A4042" t="inlineStr">
        <is>
          <t>chr9</t>
        </is>
      </c>
      <c r="B4042" t="n">
        <v>82176422</v>
      </c>
      <c r="C4042" t="inlineStr">
        <is>
          <t>C</t>
        </is>
      </c>
      <c r="D4042" t="inlineStr">
        <is>
          <t>T</t>
        </is>
      </c>
      <c r="E4042" t="inlineStr">
        <is>
          <t>rs2767717</t>
        </is>
      </c>
      <c r="F4042" t="n">
        <v>-0.0263344672</v>
      </c>
      <c r="G4042" t="n">
        <v>0.2261958059291399</v>
      </c>
      <c r="H4042" t="n">
        <v>0.008168695758531999</v>
      </c>
      <c r="I4042" t="n">
        <v>0.7587887328865939</v>
      </c>
      <c r="J4042" t="n">
        <v>0.0516735609519114</v>
      </c>
      <c r="K4042" t="n">
        <v>0.6961515591812598</v>
      </c>
      <c r="L4042" t="b">
        <v>0</v>
      </c>
      <c r="M4042" t="b">
        <v>0</v>
      </c>
      <c r="N4042" t="inlineStr">
        <is>
          <t>ref</t>
        </is>
      </c>
      <c r="O4042" t="n">
        <v>65</v>
      </c>
      <c r="P4042" t="n">
        <v>0.00164</v>
      </c>
      <c r="Q4042" t="n">
        <v>20</v>
      </c>
      <c r="R4042" t="n">
        <v>0.01239</v>
      </c>
      <c r="S4042">
        <f>IMAGE("https://mitra.stanford.edu/kundaje/oak/projects/neuro-variants/variant_position/credible/roussos_2024/variant_figures/roussos_2024.adolescence.GLU/rs2767717_count_position.png",4,220,900)</f>
        <v/>
      </c>
      <c r="T4042">
        <f>IMAGE("https://mitra.stanford.edu/kundaje/oak/projects/neuro-variants/variant_position/credible/roussos_2024/variant_figures/roussos_2024.adolescence.GLU/rs2767717_profile_position.png",4,220,900)</f>
        <v/>
      </c>
    </row>
    <row r="4043">
      <c r="A4043" t="inlineStr">
        <is>
          <t>chr9</t>
        </is>
      </c>
      <c r="B4043" t="n">
        <v>82178446</v>
      </c>
      <c r="C4043" t="inlineStr">
        <is>
          <t>C</t>
        </is>
      </c>
      <c r="D4043" t="inlineStr">
        <is>
          <t>T</t>
        </is>
      </c>
      <c r="E4043" t="inlineStr">
        <is>
          <t>rs2767715</t>
        </is>
      </c>
      <c r="F4043" t="n">
        <v>-0.01161360565</v>
      </c>
      <c r="G4043" t="n">
        <v>0.4496055584057124</v>
      </c>
      <c r="H4043" t="n">
        <v>0.0131305044310099</v>
      </c>
      <c r="I4043" t="n">
        <v>0.262779049440107</v>
      </c>
      <c r="J4043" t="n">
        <v>0.0015517500053582</v>
      </c>
      <c r="K4043" t="n">
        <v>0.9693660649483336</v>
      </c>
      <c r="L4043" t="b">
        <v>0</v>
      </c>
      <c r="M4043" t="b">
        <v>0</v>
      </c>
      <c r="N4043" t="inlineStr">
        <is>
          <t>ref</t>
        </is>
      </c>
      <c r="O4043" t="n">
        <v>50</v>
      </c>
      <c r="P4043" t="n">
        <v>0.002972</v>
      </c>
      <c r="Q4043" t="n">
        <v>-55</v>
      </c>
      <c r="R4043" t="n">
        <v>0.048</v>
      </c>
      <c r="S4043">
        <f>IMAGE("https://mitra.stanford.edu/kundaje/oak/projects/neuro-variants/variant_position/credible/roussos_2024/variant_figures/roussos_2024.adolescence.GLU/rs2767715_count_position.png",4,220,900)</f>
        <v/>
      </c>
      <c r="T4043">
        <f>IMAGE("https://mitra.stanford.edu/kundaje/oak/projects/neuro-variants/variant_position/credible/roussos_2024/variant_figures/roussos_2024.adolescence.GLU/rs2767715_profile_position.png",4,220,900)</f>
        <v/>
      </c>
    </row>
    <row r="4044">
      <c r="A4044" t="inlineStr">
        <is>
          <t>chr9</t>
        </is>
      </c>
      <c r="B4044" t="n">
        <v>82184622</v>
      </c>
      <c r="C4044" t="inlineStr">
        <is>
          <t>A</t>
        </is>
      </c>
      <c r="D4044" t="inlineStr">
        <is>
          <t>C</t>
        </is>
      </c>
      <c r="E4044" t="inlineStr">
        <is>
          <t>rs2767713</t>
        </is>
      </c>
      <c r="F4044" t="n">
        <v>-0.012320742399</v>
      </c>
      <c r="G4044" t="n">
        <v>0.530350711578654</v>
      </c>
      <c r="H4044" t="n">
        <v>0.0157388323665419</v>
      </c>
      <c r="I4044" t="n">
        <v>0.1932399584983823</v>
      </c>
      <c r="J4044" t="n">
        <v>0.0873752420144172</v>
      </c>
      <c r="K4044" t="n">
        <v>0.5955507402790683</v>
      </c>
      <c r="L4044" t="b">
        <v>0</v>
      </c>
      <c r="M4044" t="b">
        <v>0</v>
      </c>
      <c r="N4044" t="inlineStr">
        <is>
          <t>ref</t>
        </is>
      </c>
      <c r="O4044" t="n">
        <v>-40</v>
      </c>
      <c r="P4044" t="n">
        <v>0.008026</v>
      </c>
      <c r="Q4044" t="n">
        <v>65</v>
      </c>
      <c r="R4044" t="n">
        <v>0.03027</v>
      </c>
      <c r="S4044">
        <f>IMAGE("https://mitra.stanford.edu/kundaje/oak/projects/neuro-variants/variant_position/credible/roussos_2024/variant_figures/roussos_2024.adolescence.GLU/rs2767713_count_position.png",4,220,900)</f>
        <v/>
      </c>
      <c r="T4044">
        <f>IMAGE("https://mitra.stanford.edu/kundaje/oak/projects/neuro-variants/variant_position/credible/roussos_2024/variant_figures/roussos_2024.adolescence.GLU/rs2767713_profile_position.png",4,220,900)</f>
        <v/>
      </c>
    </row>
    <row r="4045">
      <c r="A4045" t="inlineStr">
        <is>
          <t>chr9</t>
        </is>
      </c>
      <c r="B4045" t="n">
        <v>82336311</v>
      </c>
      <c r="C4045" t="inlineStr">
        <is>
          <t>T</t>
        </is>
      </c>
      <c r="D4045" t="inlineStr">
        <is>
          <t>C</t>
        </is>
      </c>
      <c r="E4045" t="inlineStr">
        <is>
          <t>rs1933580</t>
        </is>
      </c>
      <c r="F4045" t="n">
        <v>-0.0424588101999999</v>
      </c>
      <c r="G4045" t="n">
        <v>0.09384312649069459</v>
      </c>
      <c r="H4045" t="n">
        <v>0.0140711731470015</v>
      </c>
      <c r="I4045" t="n">
        <v>0.2028319479817246</v>
      </c>
      <c r="J4045" t="n">
        <v>0.0199855684391766</v>
      </c>
      <c r="K4045" t="n">
        <v>0.820705567772278</v>
      </c>
      <c r="L4045" t="b">
        <v>0</v>
      </c>
      <c r="M4045" t="b">
        <v>0</v>
      </c>
      <c r="N4045" t="inlineStr">
        <is>
          <t>ref</t>
        </is>
      </c>
      <c r="O4045" t="n">
        <v>-20</v>
      </c>
      <c r="P4045" t="n">
        <v>0.00235</v>
      </c>
      <c r="Q4045" t="n">
        <v>90</v>
      </c>
      <c r="R4045" t="n">
        <v>0.00873</v>
      </c>
      <c r="S4045">
        <f>IMAGE("https://mitra.stanford.edu/kundaje/oak/projects/neuro-variants/variant_position/credible/roussos_2024/variant_figures/roussos_2024.adolescence.GLU/rs1933580_count_position.png",4,220,900)</f>
        <v/>
      </c>
      <c r="T4045">
        <f>IMAGE("https://mitra.stanford.edu/kundaje/oak/projects/neuro-variants/variant_position/credible/roussos_2024/variant_figures/roussos_2024.adolescence.GLU/rs1933580_profile_position.png",4,220,900)</f>
        <v/>
      </c>
    </row>
    <row r="4046">
      <c r="A4046" t="inlineStr">
        <is>
          <t>chr9</t>
        </is>
      </c>
      <c r="B4046" t="n">
        <v>82344732</v>
      </c>
      <c r="C4046" t="inlineStr">
        <is>
          <t>A</t>
        </is>
      </c>
      <c r="D4046" t="inlineStr">
        <is>
          <t>G</t>
        </is>
      </c>
      <c r="E4046" t="inlineStr">
        <is>
          <t>rs1330834</t>
        </is>
      </c>
      <c r="F4046" t="n">
        <v>0.0173861363</v>
      </c>
      <c r="G4046" t="n">
        <v>0.3353293384915117</v>
      </c>
      <c r="H4046" t="n">
        <v>0.0151942275969601</v>
      </c>
      <c r="I4046" t="n">
        <v>0.1588006032521398</v>
      </c>
      <c r="J4046" t="n">
        <v>0.128037950718363</v>
      </c>
      <c r="K4046" t="n">
        <v>0.5144037933365685</v>
      </c>
      <c r="L4046" t="b">
        <v>0</v>
      </c>
      <c r="M4046" t="b">
        <v>0</v>
      </c>
      <c r="N4046" t="inlineStr">
        <is>
          <t>alt</t>
        </is>
      </c>
      <c r="O4046" t="n">
        <v>-100</v>
      </c>
      <c r="P4046" t="n">
        <v>0.00274</v>
      </c>
      <c r="Q4046" t="n">
        <v>100</v>
      </c>
      <c r="R4046" t="n">
        <v>0.07294</v>
      </c>
      <c r="S4046">
        <f>IMAGE("https://mitra.stanford.edu/kundaje/oak/projects/neuro-variants/variant_position/credible/roussos_2024/variant_figures/roussos_2024.adolescence.GLU/rs1330834_count_position.png",4,220,900)</f>
        <v/>
      </c>
      <c r="T4046">
        <f>IMAGE("https://mitra.stanford.edu/kundaje/oak/projects/neuro-variants/variant_position/credible/roussos_2024/variant_figures/roussos_2024.adolescence.GLU/rs1330834_profile_position.png",4,220,900)</f>
        <v/>
      </c>
    </row>
    <row r="4047">
      <c r="A4047" t="inlineStr">
        <is>
          <t>chr9</t>
        </is>
      </c>
      <c r="B4047" t="n">
        <v>82365229</v>
      </c>
      <c r="C4047" t="inlineStr">
        <is>
          <t>T</t>
        </is>
      </c>
      <c r="D4047" t="inlineStr">
        <is>
          <t>C</t>
        </is>
      </c>
      <c r="E4047" t="inlineStr">
        <is>
          <t>rs4877231</t>
        </is>
      </c>
      <c r="F4047" t="n">
        <v>0.0252527972</v>
      </c>
      <c r="G4047" t="n">
        <v>0.2153297348431828</v>
      </c>
      <c r="H4047" t="n">
        <v>0.0111400476879107</v>
      </c>
      <c r="I4047" t="n">
        <v>0.4125010545118924</v>
      </c>
      <c r="J4047" t="n">
        <v>0.0274099634924376</v>
      </c>
      <c r="K4047" t="n">
        <v>0.7853242725817524</v>
      </c>
      <c r="L4047" t="b">
        <v>0</v>
      </c>
      <c r="M4047" t="b">
        <v>0</v>
      </c>
      <c r="N4047" t="inlineStr">
        <is>
          <t>alt</t>
        </is>
      </c>
      <c r="O4047" t="n">
        <v>90</v>
      </c>
      <c r="P4047" t="n">
        <v>0.000763</v>
      </c>
      <c r="Q4047" t="n">
        <v>70</v>
      </c>
      <c r="R4047" t="n">
        <v>0.05225</v>
      </c>
      <c r="S4047">
        <f>IMAGE("https://mitra.stanford.edu/kundaje/oak/projects/neuro-variants/variant_position/credible/roussos_2024/variant_figures/roussos_2024.adolescence.GLU/rs4877231_count_position.png",4,220,900)</f>
        <v/>
      </c>
      <c r="T4047">
        <f>IMAGE("https://mitra.stanford.edu/kundaje/oak/projects/neuro-variants/variant_position/credible/roussos_2024/variant_figures/roussos_2024.adolescence.GLU/rs4877231_profile_position.png",4,220,900)</f>
        <v/>
      </c>
    </row>
    <row r="4048">
      <c r="A4048" t="inlineStr">
        <is>
          <t>chr9</t>
        </is>
      </c>
      <c r="B4048" t="n">
        <v>82379894</v>
      </c>
      <c r="C4048" t="inlineStr">
        <is>
          <t>A</t>
        </is>
      </c>
      <c r="D4048" t="inlineStr">
        <is>
          <t>T</t>
        </is>
      </c>
      <c r="E4048" t="inlineStr">
        <is>
          <t>rs7848263</t>
        </is>
      </c>
      <c r="F4048" t="n">
        <v>-0.0252132719899999</v>
      </c>
      <c r="G4048" t="n">
        <v>0.2624341326593369</v>
      </c>
      <c r="H4048" t="n">
        <v>0.0128892985922082</v>
      </c>
      <c r="I4048" t="n">
        <v>0.2961369382623232</v>
      </c>
      <c r="J4048" t="n">
        <v>0.0561402004700973</v>
      </c>
      <c r="K4048" t="n">
        <v>0.685158166480473</v>
      </c>
      <c r="L4048" t="b">
        <v>0</v>
      </c>
      <c r="M4048" t="b">
        <v>0</v>
      </c>
      <c r="N4048" t="inlineStr">
        <is>
          <t>ref</t>
        </is>
      </c>
      <c r="O4048" t="n">
        <v>-5</v>
      </c>
      <c r="P4048" t="n">
        <v>0.0001678</v>
      </c>
      <c r="Q4048" t="n">
        <v>100</v>
      </c>
      <c r="R4048" t="n">
        <v>0.10266</v>
      </c>
      <c r="S4048">
        <f>IMAGE("https://mitra.stanford.edu/kundaje/oak/projects/neuro-variants/variant_position/credible/roussos_2024/variant_figures/roussos_2024.adolescence.GLU/rs7848263_count_position.png",4,220,900)</f>
        <v/>
      </c>
      <c r="T4048">
        <f>IMAGE("https://mitra.stanford.edu/kundaje/oak/projects/neuro-variants/variant_position/credible/roussos_2024/variant_figures/roussos_2024.adolescence.GLU/rs7848263_profile_position.png",4,220,900)</f>
        <v/>
      </c>
    </row>
    <row r="4049">
      <c r="A4049" t="inlineStr">
        <is>
          <t>chr9</t>
        </is>
      </c>
      <c r="B4049" t="n">
        <v>82380322</v>
      </c>
      <c r="C4049" t="inlineStr">
        <is>
          <t>A</t>
        </is>
      </c>
      <c r="D4049" t="inlineStr">
        <is>
          <t>C</t>
        </is>
      </c>
      <c r="E4049" t="inlineStr">
        <is>
          <t>rs7020546</t>
        </is>
      </c>
      <c r="F4049" t="n">
        <v>-0.0452104626</v>
      </c>
      <c r="G4049" t="n">
        <v>0.0886678294163387</v>
      </c>
      <c r="H4049" t="n">
        <v>0.0298140822664316</v>
      </c>
      <c r="I4049" t="n">
        <v>0.0105527849700542</v>
      </c>
      <c r="J4049" t="n">
        <v>0.0588479042087289</v>
      </c>
      <c r="K4049" t="n">
        <v>0.6741505970026496</v>
      </c>
      <c r="L4049" t="b">
        <v>1</v>
      </c>
      <c r="M4049" t="b">
        <v>0</v>
      </c>
      <c r="N4049" t="inlineStr">
        <is>
          <t>ref</t>
        </is>
      </c>
      <c r="O4049" t="n">
        <v>70</v>
      </c>
      <c r="P4049" t="n">
        <v>0.007515</v>
      </c>
      <c r="Q4049" t="n">
        <v>80</v>
      </c>
      <c r="R4049" t="n">
        <v>0.03098</v>
      </c>
      <c r="S4049">
        <f>IMAGE("https://mitra.stanford.edu/kundaje/oak/projects/neuro-variants/variant_position/credible/roussos_2024/variant_figures/roussos_2024.adolescence.GLU/rs7020546_count_position.png",4,220,900)</f>
        <v/>
      </c>
      <c r="T4049">
        <f>IMAGE("https://mitra.stanford.edu/kundaje/oak/projects/neuro-variants/variant_position/credible/roussos_2024/variant_figures/roussos_2024.adolescence.GLU/rs7020546_profile_position.png",4,220,900)</f>
        <v/>
      </c>
    </row>
    <row r="4050">
      <c r="A4050" t="inlineStr">
        <is>
          <t>chr9</t>
        </is>
      </c>
      <c r="B4050" t="n">
        <v>82400432</v>
      </c>
      <c r="C4050" t="inlineStr">
        <is>
          <t>G</t>
        </is>
      </c>
      <c r="D4050" t="inlineStr">
        <is>
          <t>A</t>
        </is>
      </c>
      <c r="E4050" t="inlineStr">
        <is>
          <t>rs80020015</t>
        </is>
      </c>
      <c r="F4050" t="n">
        <v>-0.0120482756</v>
      </c>
      <c r="G4050" t="n">
        <v>0.4599263402515188</v>
      </c>
      <c r="H4050" t="n">
        <v>0.0142764897575667</v>
      </c>
      <c r="I4050" t="n">
        <v>0.1852037144164658</v>
      </c>
      <c r="J4050" t="n">
        <v>0.0051067721170813</v>
      </c>
      <c r="K4050" t="n">
        <v>0.918286173568872</v>
      </c>
      <c r="L4050" t="b">
        <v>0</v>
      </c>
      <c r="M4050" t="b">
        <v>0</v>
      </c>
      <c r="N4050" t="inlineStr">
        <is>
          <t>ref</t>
        </is>
      </c>
      <c r="O4050" t="n">
        <v>90</v>
      </c>
      <c r="P4050" t="n">
        <v>0.01608</v>
      </c>
      <c r="Q4050" t="n">
        <v>50</v>
      </c>
      <c r="R4050" t="n">
        <v>0.04916</v>
      </c>
      <c r="S4050">
        <f>IMAGE("https://mitra.stanford.edu/kundaje/oak/projects/neuro-variants/variant_position/credible/roussos_2024/variant_figures/roussos_2024.adolescence.GLU/rs80020015_count_position.png",4,220,900)</f>
        <v/>
      </c>
      <c r="T4050">
        <f>IMAGE("https://mitra.stanford.edu/kundaje/oak/projects/neuro-variants/variant_position/credible/roussos_2024/variant_figures/roussos_2024.adolescence.GLU/rs80020015_profile_position.png",4,220,900)</f>
        <v/>
      </c>
    </row>
    <row r="4051">
      <c r="A4051" t="inlineStr">
        <is>
          <t>chr9</t>
        </is>
      </c>
      <c r="B4051" t="n">
        <v>82404112</v>
      </c>
      <c r="C4051" t="inlineStr">
        <is>
          <t>G</t>
        </is>
      </c>
      <c r="D4051" t="inlineStr">
        <is>
          <t>A</t>
        </is>
      </c>
      <c r="E4051" t="inlineStr">
        <is>
          <t>rs10113923</t>
        </is>
      </c>
      <c r="F4051" t="n">
        <v>-0.07057302460000001</v>
      </c>
      <c r="G4051" t="n">
        <v>0.0294188029772096</v>
      </c>
      <c r="H4051" t="n">
        <v>0.0171085682192173</v>
      </c>
      <c r="I4051" t="n">
        <v>0.1108556523698618</v>
      </c>
      <c r="J4051" t="n">
        <v>0.0268412742639546</v>
      </c>
      <c r="K4051" t="n">
        <v>0.7891881175663856</v>
      </c>
      <c r="L4051" t="b">
        <v>0</v>
      </c>
      <c r="M4051" t="b">
        <v>0</v>
      </c>
      <c r="N4051" t="inlineStr">
        <is>
          <t>ref</t>
        </is>
      </c>
      <c r="O4051" t="n">
        <v>-50</v>
      </c>
      <c r="P4051" t="n">
        <v>0.001587</v>
      </c>
      <c r="Q4051" t="n">
        <v>0</v>
      </c>
      <c r="R4051" t="n">
        <v>0</v>
      </c>
      <c r="S4051">
        <f>IMAGE("https://mitra.stanford.edu/kundaje/oak/projects/neuro-variants/variant_position/credible/roussos_2024/variant_figures/roussos_2024.adolescence.GLU/rs10113923_count_position.png",4,220,900)</f>
        <v/>
      </c>
      <c r="T4051">
        <f>IMAGE("https://mitra.stanford.edu/kundaje/oak/projects/neuro-variants/variant_position/credible/roussos_2024/variant_figures/roussos_2024.adolescence.GLU/rs10113923_profile_position.png",4,220,900)</f>
        <v/>
      </c>
    </row>
    <row r="4052">
      <c r="A4052" t="inlineStr">
        <is>
          <t>chr9</t>
        </is>
      </c>
      <c r="B4052" t="n">
        <v>93426142</v>
      </c>
      <c r="C4052" t="inlineStr">
        <is>
          <t>G</t>
        </is>
      </c>
      <c r="D4052" t="inlineStr">
        <is>
          <t>A</t>
        </is>
      </c>
      <c r="E4052" t="inlineStr">
        <is>
          <t>rs10116211</t>
        </is>
      </c>
      <c r="F4052" t="n">
        <v>-0.071000005</v>
      </c>
      <c r="G4052" t="n">
        <v>0.0239287872258975</v>
      </c>
      <c r="H4052" t="n">
        <v>0.0140411537395318</v>
      </c>
      <c r="I4052" t="n">
        <v>0.2122053620465719</v>
      </c>
      <c r="J4052" t="n">
        <v>0.0425373827435682</v>
      </c>
      <c r="K4052" t="n">
        <v>0.7262717009180499</v>
      </c>
      <c r="L4052" t="b">
        <v>0</v>
      </c>
      <c r="M4052" t="b">
        <v>0</v>
      </c>
      <c r="N4052" t="inlineStr">
        <is>
          <t>ref</t>
        </is>
      </c>
      <c r="O4052" t="n">
        <v>-20</v>
      </c>
      <c r="P4052" t="n">
        <v>0.003021</v>
      </c>
      <c r="Q4052" t="n">
        <v>40</v>
      </c>
      <c r="R4052" t="n">
        <v>0.03845</v>
      </c>
      <c r="S4052">
        <f>IMAGE("https://mitra.stanford.edu/kundaje/oak/projects/neuro-variants/variant_position/credible/roussos_2024/variant_figures/roussos_2024.adolescence.GLU/rs10116211_count_position.png",4,220,900)</f>
        <v/>
      </c>
      <c r="T4052">
        <f>IMAGE("https://mitra.stanford.edu/kundaje/oak/projects/neuro-variants/variant_position/credible/roussos_2024/variant_figures/roussos_2024.adolescence.GLU/rs10116211_profile_position.png",4,220,900)</f>
        <v/>
      </c>
    </row>
    <row r="4053">
      <c r="A4053" t="inlineStr">
        <is>
          <t>chr9</t>
        </is>
      </c>
      <c r="B4053" t="n">
        <v>93435814</v>
      </c>
      <c r="C4053" t="inlineStr">
        <is>
          <t>T</t>
        </is>
      </c>
      <c r="D4053" t="inlineStr">
        <is>
          <t>C</t>
        </is>
      </c>
      <c r="E4053" t="inlineStr">
        <is>
          <t>rs6479482</t>
        </is>
      </c>
      <c r="F4053" t="n">
        <v>-0.00326286334</v>
      </c>
      <c r="G4053" t="n">
        <v>0.7188262546340024</v>
      </c>
      <c r="H4053" t="n">
        <v>0.0230981273478552</v>
      </c>
      <c r="I4053" t="n">
        <v>0.0312351755893578</v>
      </c>
      <c r="J4053" t="n">
        <v>0.3524801566038679</v>
      </c>
      <c r="K4053" t="n">
        <v>0.2129638887691301</v>
      </c>
      <c r="L4053" t="b">
        <v>0</v>
      </c>
      <c r="M4053" t="b">
        <v>0</v>
      </c>
      <c r="N4053" t="inlineStr">
        <is>
          <t>ref</t>
        </is>
      </c>
      <c r="O4053" t="n">
        <v>100</v>
      </c>
      <c r="P4053" t="n">
        <v>0.004276</v>
      </c>
      <c r="Q4053" t="n">
        <v>-75</v>
      </c>
      <c r="R4053" t="n">
        <v>0.0861</v>
      </c>
      <c r="S4053">
        <f>IMAGE("https://mitra.stanford.edu/kundaje/oak/projects/neuro-variants/variant_position/credible/roussos_2024/variant_figures/roussos_2024.adolescence.GLU/rs6479482_count_position.png",4,220,900)</f>
        <v/>
      </c>
      <c r="T4053">
        <f>IMAGE("https://mitra.stanford.edu/kundaje/oak/projects/neuro-variants/variant_position/credible/roussos_2024/variant_figures/roussos_2024.adolescence.GLU/rs6479482_profile_position.png",4,220,900)</f>
        <v/>
      </c>
    </row>
    <row r="4054">
      <c r="A4054" t="inlineStr">
        <is>
          <t>chr9</t>
        </is>
      </c>
      <c r="B4054" t="n">
        <v>93457832</v>
      </c>
      <c r="C4054" t="inlineStr">
        <is>
          <t>C</t>
        </is>
      </c>
      <c r="D4054" t="inlineStr">
        <is>
          <t>T</t>
        </is>
      </c>
      <c r="E4054" t="inlineStr">
        <is>
          <t>rs12344021</t>
        </is>
      </c>
      <c r="F4054" t="n">
        <v>-0.01240068548</v>
      </c>
      <c r="G4054" t="n">
        <v>0.4682242066760461</v>
      </c>
      <c r="H4054" t="n">
        <v>0.0173624476626505</v>
      </c>
      <c r="I4054" t="n">
        <v>0.1025278229153142</v>
      </c>
      <c r="J4054" t="n">
        <v>0.0527980796022032</v>
      </c>
      <c r="K4054" t="n">
        <v>0.6946078091760804</v>
      </c>
      <c r="L4054" t="b">
        <v>0</v>
      </c>
      <c r="M4054" t="b">
        <v>0</v>
      </c>
      <c r="N4054" t="inlineStr">
        <is>
          <t>ref</t>
        </is>
      </c>
      <c r="O4054" t="n">
        <v>-60</v>
      </c>
      <c r="P4054" t="n">
        <v>0.05463</v>
      </c>
      <c r="Q4054" t="n">
        <v>-60</v>
      </c>
      <c r="R4054" t="n">
        <v>0.02435</v>
      </c>
      <c r="S4054">
        <f>IMAGE("https://mitra.stanford.edu/kundaje/oak/projects/neuro-variants/variant_position/credible/roussos_2024/variant_figures/roussos_2024.adolescence.GLU/rs12344021_count_position.png",4,220,900)</f>
        <v/>
      </c>
      <c r="T4054">
        <f>IMAGE("https://mitra.stanford.edu/kundaje/oak/projects/neuro-variants/variant_position/credible/roussos_2024/variant_figures/roussos_2024.adolescence.GLU/rs12344021_profile_position.png",4,220,900)</f>
        <v/>
      </c>
    </row>
    <row r="4055">
      <c r="A4055" t="inlineStr">
        <is>
          <t>chr9</t>
        </is>
      </c>
      <c r="B4055" t="n">
        <v>93462293</v>
      </c>
      <c r="C4055" t="inlineStr">
        <is>
          <t>T</t>
        </is>
      </c>
      <c r="D4055" t="inlineStr">
        <is>
          <t>A</t>
        </is>
      </c>
      <c r="E4055" t="inlineStr">
        <is>
          <t>rs12336645</t>
        </is>
      </c>
      <c r="F4055" t="n">
        <v>-0.00127718028</v>
      </c>
      <c r="G4055" t="n">
        <v>0.824344715297972</v>
      </c>
      <c r="H4055" t="n">
        <v>0.0209361662817458</v>
      </c>
      <c r="I4055" t="n">
        <v>0.0447337145916488</v>
      </c>
      <c r="J4055" t="n">
        <v>0.08866836701888239</v>
      </c>
      <c r="K4055" t="n">
        <v>0.597557713742245</v>
      </c>
      <c r="L4055" t="b">
        <v>0</v>
      </c>
      <c r="M4055" t="b">
        <v>0</v>
      </c>
      <c r="N4055" t="inlineStr">
        <is>
          <t>ref</t>
        </is>
      </c>
      <c r="O4055" t="n">
        <v>40</v>
      </c>
      <c r="P4055" t="n">
        <v>0.0044</v>
      </c>
      <c r="Q4055" t="n">
        <v>50</v>
      </c>
      <c r="R4055" t="n">
        <v>0.0322</v>
      </c>
      <c r="S4055">
        <f>IMAGE("https://mitra.stanford.edu/kundaje/oak/projects/neuro-variants/variant_position/credible/roussos_2024/variant_figures/roussos_2024.adolescence.GLU/rs12336645_count_position.png",4,220,900)</f>
        <v/>
      </c>
      <c r="T4055">
        <f>IMAGE("https://mitra.stanford.edu/kundaje/oak/projects/neuro-variants/variant_position/credible/roussos_2024/variant_figures/roussos_2024.adolescence.GLU/rs12336645_profile_position.png",4,220,900)</f>
        <v/>
      </c>
    </row>
    <row r="4056">
      <c r="A4056" t="inlineStr">
        <is>
          <t>chr9</t>
        </is>
      </c>
      <c r="B4056" t="n">
        <v>93463196</v>
      </c>
      <c r="C4056" t="inlineStr">
        <is>
          <t>A</t>
        </is>
      </c>
      <c r="D4056" t="inlineStr">
        <is>
          <t>T</t>
        </is>
      </c>
      <c r="E4056" t="inlineStr">
        <is>
          <t>rs7023933</t>
        </is>
      </c>
      <c r="F4056" t="n">
        <v>-0.004218932</v>
      </c>
      <c r="G4056" t="n">
        <v>0.791710312258171</v>
      </c>
      <c r="H4056" t="n">
        <v>0.0210918317058355</v>
      </c>
      <c r="I4056" t="n">
        <v>0.0483101188379703</v>
      </c>
      <c r="J4056" t="n">
        <v>0.1236541855098555</v>
      </c>
      <c r="K4056" t="n">
        <v>0.5241686454340377</v>
      </c>
      <c r="L4056" t="b">
        <v>0</v>
      </c>
      <c r="M4056" t="b">
        <v>0</v>
      </c>
      <c r="N4056" t="inlineStr">
        <is>
          <t>ref</t>
        </is>
      </c>
      <c r="O4056" t="n">
        <v>70</v>
      </c>
      <c r="P4056" t="n">
        <v>0.00467</v>
      </c>
      <c r="Q4056" t="n">
        <v>-90</v>
      </c>
      <c r="R4056" t="n">
        <v>0.07556</v>
      </c>
      <c r="S4056">
        <f>IMAGE("https://mitra.stanford.edu/kundaje/oak/projects/neuro-variants/variant_position/credible/roussos_2024/variant_figures/roussos_2024.adolescence.GLU/rs7023933_count_position.png",4,220,900)</f>
        <v/>
      </c>
      <c r="T4056">
        <f>IMAGE("https://mitra.stanford.edu/kundaje/oak/projects/neuro-variants/variant_position/credible/roussos_2024/variant_figures/roussos_2024.adolescence.GLU/rs7023933_profile_position.png",4,220,900)</f>
        <v/>
      </c>
    </row>
    <row r="4057">
      <c r="A4057" t="inlineStr">
        <is>
          <t>chr9</t>
        </is>
      </c>
      <c r="B4057" t="n">
        <v>93485602</v>
      </c>
      <c r="C4057" t="inlineStr">
        <is>
          <t>A</t>
        </is>
      </c>
      <c r="D4057" t="inlineStr">
        <is>
          <t>G</t>
        </is>
      </c>
      <c r="E4057" t="inlineStr">
        <is>
          <t>rs10125504</t>
        </is>
      </c>
      <c r="F4057" t="n">
        <v>0.0170317578</v>
      </c>
      <c r="G4057" t="n">
        <v>0.3232541102262736</v>
      </c>
      <c r="H4057" t="n">
        <v>0.0197417823990965</v>
      </c>
      <c r="I4057" t="n">
        <v>0.0584776432888535</v>
      </c>
      <c r="J4057" t="n">
        <v>0.1190475169856613</v>
      </c>
      <c r="K4057" t="n">
        <v>0.5391368994574969</v>
      </c>
      <c r="L4057" t="b">
        <v>0</v>
      </c>
      <c r="M4057" t="b">
        <v>0</v>
      </c>
      <c r="N4057" t="inlineStr">
        <is>
          <t>alt</t>
        </is>
      </c>
      <c r="O4057" t="n">
        <v>-35</v>
      </c>
      <c r="P4057" t="n">
        <v>0.01581</v>
      </c>
      <c r="Q4057" t="n">
        <v>65</v>
      </c>
      <c r="R4057" t="n">
        <v>0.09125</v>
      </c>
      <c r="S4057">
        <f>IMAGE("https://mitra.stanford.edu/kundaje/oak/projects/neuro-variants/variant_position/credible/roussos_2024/variant_figures/roussos_2024.adolescence.GLU/rs10125504_count_position.png",4,220,900)</f>
        <v/>
      </c>
      <c r="T4057">
        <f>IMAGE("https://mitra.stanford.edu/kundaje/oak/projects/neuro-variants/variant_position/credible/roussos_2024/variant_figures/roussos_2024.adolescence.GLU/rs10125504_profile_position.png",4,220,900)</f>
        <v/>
      </c>
    </row>
    <row r="4058">
      <c r="A4058" t="inlineStr">
        <is>
          <t>chr9</t>
        </is>
      </c>
      <c r="B4058" t="n">
        <v>93507955</v>
      </c>
      <c r="C4058" t="inlineStr">
        <is>
          <t>G</t>
        </is>
      </c>
      <c r="D4058" t="inlineStr">
        <is>
          <t>C</t>
        </is>
      </c>
      <c r="E4058" t="inlineStr">
        <is>
          <t>rs12554020</t>
        </is>
      </c>
      <c r="F4058" t="n">
        <v>0.0658431132</v>
      </c>
      <c r="G4058" t="n">
        <v>0.0293234521309406</v>
      </c>
      <c r="H4058" t="n">
        <v>0.0160876341747843</v>
      </c>
      <c r="I4058" t="n">
        <v>0.124880269614709</v>
      </c>
      <c r="J4058" t="n">
        <v>0.3966664523365554</v>
      </c>
      <c r="K4058" t="n">
        <v>0.1706115261820899</v>
      </c>
      <c r="L4058" t="b">
        <v>0</v>
      </c>
      <c r="M4058" t="b">
        <v>0</v>
      </c>
      <c r="N4058" t="inlineStr">
        <is>
          <t>alt</t>
        </is>
      </c>
      <c r="O4058" t="n">
        <v>-5</v>
      </c>
      <c r="P4058" t="n">
        <v>0.000946</v>
      </c>
      <c r="Q4058" t="n">
        <v>-100</v>
      </c>
      <c r="R4058" t="n">
        <v>0.03174</v>
      </c>
      <c r="S4058">
        <f>IMAGE("https://mitra.stanford.edu/kundaje/oak/projects/neuro-variants/variant_position/credible/roussos_2024/variant_figures/roussos_2024.adolescence.GLU/rs12554020_count_position.png",4,220,900)</f>
        <v/>
      </c>
      <c r="T4058">
        <f>IMAGE("https://mitra.stanford.edu/kundaje/oak/projects/neuro-variants/variant_position/credible/roussos_2024/variant_figures/roussos_2024.adolescence.GLU/rs12554020_profile_position.png",4,220,900)</f>
        <v/>
      </c>
    </row>
    <row r="4059">
      <c r="A4059" t="inlineStr">
        <is>
          <t>chr9</t>
        </is>
      </c>
      <c r="B4059" t="n">
        <v>93541696</v>
      </c>
      <c r="C4059" t="inlineStr">
        <is>
          <t>A</t>
        </is>
      </c>
      <c r="D4059" t="inlineStr">
        <is>
          <t>G</t>
        </is>
      </c>
      <c r="E4059" t="inlineStr">
        <is>
          <t>rs28464341</t>
        </is>
      </c>
      <c r="F4059" t="n">
        <v>-0.0070791989999999</v>
      </c>
      <c r="G4059" t="n">
        <v>0.6607330772517161</v>
      </c>
      <c r="H4059" t="n">
        <v>0.0294714827419278</v>
      </c>
      <c r="I4059" t="n">
        <v>0.009396912686458699</v>
      </c>
      <c r="J4059" t="n">
        <v>0.1892091933329046</v>
      </c>
      <c r="K4059" t="n">
        <v>0.4164517276744557</v>
      </c>
      <c r="L4059" t="b">
        <v>1</v>
      </c>
      <c r="M4059" t="b">
        <v>1</v>
      </c>
      <c r="N4059" t="inlineStr">
        <is>
          <t>ref</t>
        </is>
      </c>
      <c r="O4059" t="n">
        <v>70</v>
      </c>
      <c r="P4059" t="n">
        <v>0.00659</v>
      </c>
      <c r="Q4059" t="n">
        <v>90</v>
      </c>
      <c r="R4059" t="n">
        <v>0.05984</v>
      </c>
      <c r="S4059">
        <f>IMAGE("https://mitra.stanford.edu/kundaje/oak/projects/neuro-variants/variant_position/credible/roussos_2024/variant_figures/roussos_2024.adolescence.GLU/rs28464341_count_position.png",4,220,900)</f>
        <v/>
      </c>
      <c r="T4059">
        <f>IMAGE("https://mitra.stanford.edu/kundaje/oak/projects/neuro-variants/variant_position/credible/roussos_2024/variant_figures/roussos_2024.adolescence.GLU/rs28464341_profile_position.png",4,220,900)</f>
        <v/>
      </c>
    </row>
    <row r="4060">
      <c r="A4060" t="inlineStr">
        <is>
          <t>chr9</t>
        </is>
      </c>
      <c r="B4060" t="n">
        <v>98302833</v>
      </c>
      <c r="C4060" t="inlineStr">
        <is>
          <t>T</t>
        </is>
      </c>
      <c r="D4060" t="inlineStr">
        <is>
          <t>G</t>
        </is>
      </c>
      <c r="E4060" t="inlineStr">
        <is>
          <t>rs7869257</t>
        </is>
      </c>
      <c r="F4060" t="n">
        <v>0.033511627</v>
      </c>
      <c r="G4060" t="n">
        <v>0.1479698810578875</v>
      </c>
      <c r="H4060" t="n">
        <v>0.0117264686185435</v>
      </c>
      <c r="I4060" t="n">
        <v>0.3472227787770666</v>
      </c>
      <c r="J4060" t="n">
        <v>0.4102063998971215</v>
      </c>
      <c r="K4060" t="n">
        <v>0.158651203006455</v>
      </c>
      <c r="L4060" t="b">
        <v>0</v>
      </c>
      <c r="M4060" t="b">
        <v>0</v>
      </c>
      <c r="N4060" t="inlineStr">
        <is>
          <t>alt</t>
        </is>
      </c>
      <c r="O4060" t="n">
        <v>100</v>
      </c>
      <c r="P4060" t="n">
        <v>0.002274</v>
      </c>
      <c r="Q4060" t="n">
        <v>85</v>
      </c>
      <c r="R4060" t="n">
        <v>0.01694</v>
      </c>
      <c r="S4060">
        <f>IMAGE("https://mitra.stanford.edu/kundaje/oak/projects/neuro-variants/variant_position/credible/roussos_2024/variant_figures/roussos_2024.adolescence.GLU/rs7869257_count_position.png",4,220,900)</f>
        <v/>
      </c>
      <c r="T4060">
        <f>IMAGE("https://mitra.stanford.edu/kundaje/oak/projects/neuro-variants/variant_position/credible/roussos_2024/variant_figures/roussos_2024.adolescence.GLU/rs7869257_profile_position.png",4,220,900)</f>
        <v/>
      </c>
    </row>
    <row r="4061">
      <c r="A4061" t="inlineStr">
        <is>
          <t>chr9</t>
        </is>
      </c>
      <c r="B4061" t="n">
        <v>98307051</v>
      </c>
      <c r="C4061" t="inlineStr">
        <is>
          <t>C</t>
        </is>
      </c>
      <c r="D4061" t="inlineStr">
        <is>
          <t>T</t>
        </is>
      </c>
      <c r="E4061" t="inlineStr">
        <is>
          <t>rs7867834</t>
        </is>
      </c>
      <c r="F4061" t="n">
        <v>-0.0789554564</v>
      </c>
      <c r="G4061" t="n">
        <v>0.0184283098454122</v>
      </c>
      <c r="H4061" t="n">
        <v>0.0148632352921805</v>
      </c>
      <c r="I4061" t="n">
        <v>0.1771584039847994</v>
      </c>
      <c r="J4061" t="n">
        <v>0.4600695858427817</v>
      </c>
      <c r="K4061" t="n">
        <v>0.118070044575892</v>
      </c>
      <c r="L4061" t="b">
        <v>1</v>
      </c>
      <c r="M4061" t="b">
        <v>0</v>
      </c>
      <c r="N4061" t="inlineStr">
        <is>
          <t>ref</t>
        </is>
      </c>
      <c r="O4061" t="n">
        <v>-90</v>
      </c>
      <c r="P4061" t="n">
        <v>0.01266</v>
      </c>
      <c r="Q4061" t="n">
        <v>-90</v>
      </c>
      <c r="R4061" t="n">
        <v>0.1587</v>
      </c>
      <c r="S4061">
        <f>IMAGE("https://mitra.stanford.edu/kundaje/oak/projects/neuro-variants/variant_position/credible/roussos_2024/variant_figures/roussos_2024.adolescence.GLU/rs7867834_count_position.png",4,220,900)</f>
        <v/>
      </c>
      <c r="T4061">
        <f>IMAGE("https://mitra.stanford.edu/kundaje/oak/projects/neuro-variants/variant_position/credible/roussos_2024/variant_figures/roussos_2024.adolescence.GLU/rs7867834_profile_position.png",4,220,900)</f>
        <v/>
      </c>
    </row>
    <row r="4062">
      <c r="A4062" t="inlineStr">
        <is>
          <t>chr9</t>
        </is>
      </c>
      <c r="B4062" t="n">
        <v>98308808</v>
      </c>
      <c r="C4062" t="inlineStr">
        <is>
          <t>T</t>
        </is>
      </c>
      <c r="D4062" t="inlineStr">
        <is>
          <t>C</t>
        </is>
      </c>
      <c r="E4062" t="inlineStr">
        <is>
          <t>rs10985817</t>
        </is>
      </c>
      <c r="F4062" t="n">
        <v>0.0034664223</v>
      </c>
      <c r="G4062" t="n">
        <v>0.6898259632482453</v>
      </c>
      <c r="H4062" t="n">
        <v>0.0137705424575819</v>
      </c>
      <c r="I4062" t="n">
        <v>0.2084119773346771</v>
      </c>
      <c r="J4062" t="n">
        <v>0.2400925906080545</v>
      </c>
      <c r="K4062" t="n">
        <v>0.3471748065586187</v>
      </c>
      <c r="L4062" t="b">
        <v>0</v>
      </c>
      <c r="M4062" t="b">
        <v>0</v>
      </c>
      <c r="N4062" t="inlineStr">
        <is>
          <t>alt</t>
        </is>
      </c>
      <c r="O4062" t="n">
        <v>70</v>
      </c>
      <c r="P4062" t="n">
        <v>0.010956</v>
      </c>
      <c r="Q4062" t="n">
        <v>-25</v>
      </c>
      <c r="R4062" t="n">
        <v>0.01611</v>
      </c>
      <c r="S4062">
        <f>IMAGE("https://mitra.stanford.edu/kundaje/oak/projects/neuro-variants/variant_position/credible/roussos_2024/variant_figures/roussos_2024.adolescence.GLU/rs10985817_count_position.png",4,220,900)</f>
        <v/>
      </c>
      <c r="T4062">
        <f>IMAGE("https://mitra.stanford.edu/kundaje/oak/projects/neuro-variants/variant_position/credible/roussos_2024/variant_figures/roussos_2024.adolescence.GLU/rs10985817_profile_position.png",4,220,900)</f>
        <v/>
      </c>
    </row>
    <row r="4063">
      <c r="A4063" t="inlineStr">
        <is>
          <t>chr9</t>
        </is>
      </c>
      <c r="B4063" t="n">
        <v>98309453</v>
      </c>
      <c r="C4063" t="inlineStr">
        <is>
          <t>G</t>
        </is>
      </c>
      <c r="D4063" t="inlineStr">
        <is>
          <t>A</t>
        </is>
      </c>
      <c r="E4063" t="inlineStr">
        <is>
          <t>rs3780444</t>
        </is>
      </c>
      <c r="F4063" t="n">
        <v>0.0005191478999999</v>
      </c>
      <c r="G4063" t="n">
        <v>0.7471264982641005</v>
      </c>
      <c r="H4063" t="n">
        <v>0.0067059183961625</v>
      </c>
      <c r="I4063" t="n">
        <v>0.9345700886678276</v>
      </c>
      <c r="J4063" t="n">
        <v>0.2072114938094319</v>
      </c>
      <c r="K4063" t="n">
        <v>0.3881382747206503</v>
      </c>
      <c r="L4063" t="b">
        <v>0</v>
      </c>
      <c r="M4063" t="b">
        <v>0</v>
      </c>
      <c r="N4063" t="inlineStr">
        <is>
          <t>alt</t>
        </is>
      </c>
      <c r="O4063" t="n">
        <v>-100</v>
      </c>
      <c r="P4063" t="n">
        <v>0.02528</v>
      </c>
      <c r="Q4063" t="n">
        <v>10</v>
      </c>
      <c r="R4063" t="n">
        <v>0.0344</v>
      </c>
      <c r="S4063">
        <f>IMAGE("https://mitra.stanford.edu/kundaje/oak/projects/neuro-variants/variant_position/credible/roussos_2024/variant_figures/roussos_2024.adolescence.GLU/rs3780444_count_position.png",4,220,900)</f>
        <v/>
      </c>
      <c r="T4063">
        <f>IMAGE("https://mitra.stanford.edu/kundaje/oak/projects/neuro-variants/variant_position/credible/roussos_2024/variant_figures/roussos_2024.adolescence.GLU/rs3780444_profile_position.png",4,220,900)</f>
        <v/>
      </c>
    </row>
    <row r="4064">
      <c r="A4064" t="inlineStr">
        <is>
          <t>chr9</t>
        </is>
      </c>
      <c r="B4064" t="n">
        <v>112194636</v>
      </c>
      <c r="C4064" t="inlineStr">
        <is>
          <t>A</t>
        </is>
      </c>
      <c r="D4064" t="inlineStr">
        <is>
          <t>C</t>
        </is>
      </c>
      <c r="E4064" t="inlineStr">
        <is>
          <t>rs10817282</t>
        </is>
      </c>
      <c r="F4064" t="n">
        <v>0.009773500799999999</v>
      </c>
      <c r="G4064" t="n">
        <v>0.5186044033970828</v>
      </c>
      <c r="H4064" t="n">
        <v>0.0129921462175506</v>
      </c>
      <c r="I4064" t="n">
        <v>0.2474326017567066</v>
      </c>
      <c r="J4064" t="n">
        <v>0.1912167520414943</v>
      </c>
      <c r="K4064" t="n">
        <v>0.411517450567542</v>
      </c>
      <c r="L4064" t="b">
        <v>0</v>
      </c>
      <c r="M4064" t="b">
        <v>0</v>
      </c>
      <c r="N4064" t="inlineStr">
        <is>
          <t>alt</t>
        </is>
      </c>
      <c r="O4064" t="n">
        <v>60</v>
      </c>
      <c r="P4064" t="n">
        <v>0.002993</v>
      </c>
      <c r="Q4064" t="n">
        <v>-70</v>
      </c>
      <c r="R4064" t="n">
        <v>0.0418</v>
      </c>
      <c r="S4064">
        <f>IMAGE("https://mitra.stanford.edu/kundaje/oak/projects/neuro-variants/variant_position/credible/roussos_2024/variant_figures/roussos_2024.adolescence.GLU/rs10817282_count_position.png",4,220,900)</f>
        <v/>
      </c>
      <c r="T4064">
        <f>IMAGE("https://mitra.stanford.edu/kundaje/oak/projects/neuro-variants/variant_position/credible/roussos_2024/variant_figures/roussos_2024.adolescence.GLU/rs10817282_profile_position.png",4,220,900)</f>
        <v/>
      </c>
    </row>
    <row r="4065">
      <c r="A4065" t="inlineStr">
        <is>
          <t>chr9</t>
        </is>
      </c>
      <c r="B4065" t="n">
        <v>112195177</v>
      </c>
      <c r="C4065" t="inlineStr">
        <is>
          <t>A</t>
        </is>
      </c>
      <c r="D4065" t="inlineStr">
        <is>
          <t>G</t>
        </is>
      </c>
      <c r="E4065" t="inlineStr">
        <is>
          <t>rs1887518</t>
        </is>
      </c>
      <c r="F4065" t="n">
        <v>0.08030042079999999</v>
      </c>
      <c r="G4065" t="n">
        <v>0.0144390542148698</v>
      </c>
      <c r="H4065" t="n">
        <v>0.0138757108349206</v>
      </c>
      <c r="I4065" t="n">
        <v>0.2089689393663717</v>
      </c>
      <c r="J4065" t="n">
        <v>0.2880582406355602</v>
      </c>
      <c r="K4065" t="n">
        <v>0.2800243760909527</v>
      </c>
      <c r="L4065" t="b">
        <v>1</v>
      </c>
      <c r="M4065" t="b">
        <v>0</v>
      </c>
      <c r="N4065" t="inlineStr">
        <is>
          <t>alt</t>
        </is>
      </c>
      <c r="O4065" t="n">
        <v>-95</v>
      </c>
      <c r="P4065" t="n">
        <v>0.013275</v>
      </c>
      <c r="Q4065" t="n">
        <v>50</v>
      </c>
      <c r="R4065" t="n">
        <v>0.0525</v>
      </c>
      <c r="S4065">
        <f>IMAGE("https://mitra.stanford.edu/kundaje/oak/projects/neuro-variants/variant_position/credible/roussos_2024/variant_figures/roussos_2024.adolescence.GLU/rs1887518_count_position.png",4,220,900)</f>
        <v/>
      </c>
      <c r="T4065">
        <f>IMAGE("https://mitra.stanford.edu/kundaje/oak/projects/neuro-variants/variant_position/credible/roussos_2024/variant_figures/roussos_2024.adolescence.GLU/rs1887518_profile_position.png",4,220,900)</f>
        <v/>
      </c>
    </row>
    <row r="4066">
      <c r="A4066" t="inlineStr">
        <is>
          <t>chr9</t>
        </is>
      </c>
      <c r="B4066" t="n">
        <v>112204377</v>
      </c>
      <c r="C4066" t="inlineStr">
        <is>
          <t>T</t>
        </is>
      </c>
      <c r="D4066" t="inlineStr">
        <is>
          <t>C</t>
        </is>
      </c>
      <c r="E4066" t="inlineStr">
        <is>
          <t>rs10114558</t>
        </is>
      </c>
      <c r="F4066" t="n">
        <v>0.0629629258</v>
      </c>
      <c r="G4066" t="n">
        <v>0.0317419259452469</v>
      </c>
      <c r="H4066" t="n">
        <v>0.0117247745816394</v>
      </c>
      <c r="I4066" t="n">
        <v>0.3575886001654408</v>
      </c>
      <c r="J4066" t="n">
        <v>0.1126933436211786</v>
      </c>
      <c r="K4066" t="n">
        <v>0.5506049701893586</v>
      </c>
      <c r="L4066" t="b">
        <v>0</v>
      </c>
      <c r="M4066" t="b">
        <v>0</v>
      </c>
      <c r="N4066" t="inlineStr">
        <is>
          <t>alt</t>
        </is>
      </c>
      <c r="O4066" t="n">
        <v>-20</v>
      </c>
      <c r="P4066" t="n">
        <v>0.0008229999999999999</v>
      </c>
      <c r="Q4066" t="n">
        <v>-30</v>
      </c>
      <c r="R4066" t="n">
        <v>0.04538</v>
      </c>
      <c r="S4066">
        <f>IMAGE("https://mitra.stanford.edu/kundaje/oak/projects/neuro-variants/variant_position/credible/roussos_2024/variant_figures/roussos_2024.adolescence.GLU/rs10114558_count_position.png",4,220,900)</f>
        <v/>
      </c>
      <c r="T4066">
        <f>IMAGE("https://mitra.stanford.edu/kundaje/oak/projects/neuro-variants/variant_position/credible/roussos_2024/variant_figures/roussos_2024.adolescence.GLU/rs10114558_profile_position.png",4,220,900)</f>
        <v/>
      </c>
    </row>
    <row r="4067">
      <c r="A4067" t="inlineStr">
        <is>
          <t>chr9</t>
        </is>
      </c>
      <c r="B4067" t="n">
        <v>112207436</v>
      </c>
      <c r="C4067" t="inlineStr">
        <is>
          <t>A</t>
        </is>
      </c>
      <c r="D4067" t="inlineStr">
        <is>
          <t>G</t>
        </is>
      </c>
      <c r="E4067" t="inlineStr">
        <is>
          <t>rs7861162</t>
        </is>
      </c>
      <c r="F4067" t="n">
        <v>-0.0291459012</v>
      </c>
      <c r="G4067" t="n">
        <v>0.1908568873334098</v>
      </c>
      <c r="H4067" t="n">
        <v>0.0173805439685466</v>
      </c>
      <c r="I4067" t="n">
        <v>0.106565906718599</v>
      </c>
      <c r="J4067" t="n">
        <v>0.0585206935722399</v>
      </c>
      <c r="K4067" t="n">
        <v>0.6787325761696802</v>
      </c>
      <c r="L4067" t="b">
        <v>0</v>
      </c>
      <c r="M4067" t="b">
        <v>0</v>
      </c>
      <c r="N4067" t="inlineStr">
        <is>
          <t>ref</t>
        </is>
      </c>
      <c r="O4067" t="n">
        <v>55</v>
      </c>
      <c r="P4067" t="n">
        <v>0.03064</v>
      </c>
      <c r="Q4067" t="n">
        <v>55</v>
      </c>
      <c r="R4067" t="n">
        <v>0.04572</v>
      </c>
      <c r="S4067">
        <f>IMAGE("https://mitra.stanford.edu/kundaje/oak/projects/neuro-variants/variant_position/credible/roussos_2024/variant_figures/roussos_2024.adolescence.GLU/rs7861162_count_position.png",4,220,900)</f>
        <v/>
      </c>
      <c r="T4067">
        <f>IMAGE("https://mitra.stanford.edu/kundaje/oak/projects/neuro-variants/variant_position/credible/roussos_2024/variant_figures/roussos_2024.adolescence.GLU/rs7861162_profile_position.png",4,220,900)</f>
        <v/>
      </c>
    </row>
    <row r="4068">
      <c r="A4068" t="inlineStr">
        <is>
          <t>chr9</t>
        </is>
      </c>
      <c r="B4068" t="n">
        <v>112207709</v>
      </c>
      <c r="C4068" t="inlineStr">
        <is>
          <t>G</t>
        </is>
      </c>
      <c r="D4068" t="inlineStr">
        <is>
          <t>C</t>
        </is>
      </c>
      <c r="E4068" t="inlineStr">
        <is>
          <t>rs7861788</t>
        </is>
      </c>
      <c r="F4068" t="n">
        <v>0.0131489572</v>
      </c>
      <c r="G4068" t="n">
        <v>0.4061793868635323</v>
      </c>
      <c r="H4068" t="n">
        <v>0.008824462466950201</v>
      </c>
      <c r="I4068" t="n">
        <v>0.6862970498575175</v>
      </c>
      <c r="J4068" t="n">
        <v>0.0385408406026962</v>
      </c>
      <c r="K4068" t="n">
        <v>0.7407680384992861</v>
      </c>
      <c r="L4068" t="b">
        <v>0</v>
      </c>
      <c r="M4068" t="b">
        <v>0</v>
      </c>
      <c r="N4068" t="inlineStr">
        <is>
          <t>alt</t>
        </is>
      </c>
      <c r="O4068" t="n">
        <v>-50</v>
      </c>
      <c r="P4068" t="n">
        <v>0.02429</v>
      </c>
      <c r="Q4068" t="n">
        <v>-45</v>
      </c>
      <c r="R4068" t="n">
        <v>0.03354</v>
      </c>
      <c r="S4068">
        <f>IMAGE("https://mitra.stanford.edu/kundaje/oak/projects/neuro-variants/variant_position/credible/roussos_2024/variant_figures/roussos_2024.adolescence.GLU/rs7861788_count_position.png",4,220,900)</f>
        <v/>
      </c>
      <c r="T4068">
        <f>IMAGE("https://mitra.stanford.edu/kundaje/oak/projects/neuro-variants/variant_position/credible/roussos_2024/variant_figures/roussos_2024.adolescence.GLU/rs7861788_profile_position.png",4,220,900)</f>
        <v/>
      </c>
    </row>
    <row r="4069">
      <c r="A4069" t="inlineStr">
        <is>
          <t>chr9</t>
        </is>
      </c>
      <c r="B4069" t="n">
        <v>112220269</v>
      </c>
      <c r="C4069" t="inlineStr">
        <is>
          <t>C</t>
        </is>
      </c>
      <c r="D4069" t="inlineStr">
        <is>
          <t>T</t>
        </is>
      </c>
      <c r="E4069" t="inlineStr">
        <is>
          <t>rs7869523</t>
        </is>
      </c>
      <c r="F4069" t="n">
        <v>-0.00752558028</v>
      </c>
      <c r="G4069" t="n">
        <v>0.6337772543072645</v>
      </c>
      <c r="H4069" t="n">
        <v>0.008777365940561299</v>
      </c>
      <c r="I4069" t="n">
        <v>0.7006960458098213</v>
      </c>
      <c r="J4069" t="n">
        <v>0.1585285523429853</v>
      </c>
      <c r="K4069" t="n">
        <v>0.4607002207366326</v>
      </c>
      <c r="L4069" t="b">
        <v>0</v>
      </c>
      <c r="M4069" t="b">
        <v>0</v>
      </c>
      <c r="N4069" t="inlineStr">
        <is>
          <t>ref</t>
        </is>
      </c>
      <c r="O4069" t="n">
        <v>-70</v>
      </c>
      <c r="P4069" t="n">
        <v>0.008514000000000001</v>
      </c>
      <c r="Q4069" t="n">
        <v>-75</v>
      </c>
      <c r="R4069" t="n">
        <v>0.1357</v>
      </c>
      <c r="S4069">
        <f>IMAGE("https://mitra.stanford.edu/kundaje/oak/projects/neuro-variants/variant_position/credible/roussos_2024/variant_figures/roussos_2024.adolescence.GLU/rs7869523_count_position.png",4,220,900)</f>
        <v/>
      </c>
      <c r="T4069">
        <f>IMAGE("https://mitra.stanford.edu/kundaje/oak/projects/neuro-variants/variant_position/credible/roussos_2024/variant_figures/roussos_2024.adolescence.GLU/rs7869523_profile_position.png",4,220,900)</f>
        <v/>
      </c>
    </row>
    <row r="4070">
      <c r="A4070" t="inlineStr">
        <is>
          <t>chr9</t>
        </is>
      </c>
      <c r="B4070" t="n">
        <v>112225574</v>
      </c>
      <c r="C4070" t="inlineStr">
        <is>
          <t>A</t>
        </is>
      </c>
      <c r="D4070" t="inlineStr">
        <is>
          <t>C</t>
        </is>
      </c>
      <c r="E4070" t="inlineStr">
        <is>
          <t>rs7871559</t>
        </is>
      </c>
      <c r="F4070" t="n">
        <v>0.004278260432</v>
      </c>
      <c r="G4070" t="n">
        <v>0.7122109414726548</v>
      </c>
      <c r="H4070" t="n">
        <v>0.0201856808325777</v>
      </c>
      <c r="I4070" t="n">
        <v>0.0541173897889705</v>
      </c>
      <c r="J4070" t="n">
        <v>0.0810382150588335</v>
      </c>
      <c r="K4070" t="n">
        <v>0.6141824487902053</v>
      </c>
      <c r="L4070" t="b">
        <v>0</v>
      </c>
      <c r="M4070" t="b">
        <v>0</v>
      </c>
      <c r="N4070" t="inlineStr">
        <is>
          <t>alt</t>
        </is>
      </c>
      <c r="O4070" t="n">
        <v>-100</v>
      </c>
      <c r="P4070" t="n">
        <v>0.006622</v>
      </c>
      <c r="Q4070" t="n">
        <v>90</v>
      </c>
      <c r="R4070" t="n">
        <v>0.0674</v>
      </c>
      <c r="S4070">
        <f>IMAGE("https://mitra.stanford.edu/kundaje/oak/projects/neuro-variants/variant_position/credible/roussos_2024/variant_figures/roussos_2024.adolescence.GLU/rs7871559_count_position.png",4,220,900)</f>
        <v/>
      </c>
      <c r="T4070">
        <f>IMAGE("https://mitra.stanford.edu/kundaje/oak/projects/neuro-variants/variant_position/credible/roussos_2024/variant_figures/roussos_2024.adolescence.GLU/rs7871559_profile_position.png",4,220,900)</f>
        <v/>
      </c>
    </row>
    <row r="4071">
      <c r="A4071" t="inlineStr">
        <is>
          <t>chr9</t>
        </is>
      </c>
      <c r="B4071" t="n">
        <v>112226051</v>
      </c>
      <c r="C4071" t="inlineStr">
        <is>
          <t>A</t>
        </is>
      </c>
      <c r="D4071" t="inlineStr">
        <is>
          <t>T</t>
        </is>
      </c>
      <c r="E4071" t="inlineStr">
        <is>
          <t>rs3780514</t>
        </is>
      </c>
      <c r="F4071" t="n">
        <v>-0.0057018689799999</v>
      </c>
      <c r="G4071" t="n">
        <v>0.7119390361064116</v>
      </c>
      <c r="H4071" t="n">
        <v>0.0289392734230446</v>
      </c>
      <c r="I4071" t="n">
        <v>0.0103409531809461</v>
      </c>
      <c r="J4071" t="n">
        <v>0.09062448650077511</v>
      </c>
      <c r="K4071" t="n">
        <v>0.5925874420736205</v>
      </c>
      <c r="L4071" t="b">
        <v>1</v>
      </c>
      <c r="M4071" t="b">
        <v>0</v>
      </c>
      <c r="N4071" t="inlineStr">
        <is>
          <t>ref</t>
        </is>
      </c>
      <c r="O4071" t="n">
        <v>-100</v>
      </c>
      <c r="P4071" t="n">
        <v>0.02353</v>
      </c>
      <c r="Q4071" t="n">
        <v>-100</v>
      </c>
      <c r="R4071" t="n">
        <v>0.0606</v>
      </c>
      <c r="S4071">
        <f>IMAGE("https://mitra.stanford.edu/kundaje/oak/projects/neuro-variants/variant_position/credible/roussos_2024/variant_figures/roussos_2024.adolescence.GLU/rs3780514_count_position.png",4,220,900)</f>
        <v/>
      </c>
      <c r="T4071">
        <f>IMAGE("https://mitra.stanford.edu/kundaje/oak/projects/neuro-variants/variant_position/credible/roussos_2024/variant_figures/roussos_2024.adolescence.GLU/rs3780514_profile_position.png",4,220,900)</f>
        <v/>
      </c>
    </row>
    <row r="4072">
      <c r="A4072" t="inlineStr">
        <is>
          <t>chr9</t>
        </is>
      </c>
      <c r="B4072" t="n">
        <v>112228093</v>
      </c>
      <c r="C4072" t="inlineStr">
        <is>
          <t>A</t>
        </is>
      </c>
      <c r="D4072" t="inlineStr">
        <is>
          <t>G</t>
        </is>
      </c>
      <c r="E4072" t="inlineStr">
        <is>
          <t>rs3736985</t>
        </is>
      </c>
      <c r="F4072" t="n">
        <v>0.003034791974</v>
      </c>
      <c r="G4072" t="n">
        <v>0.7440968357642394</v>
      </c>
      <c r="H4072" t="n">
        <v>0.0261180842062364</v>
      </c>
      <c r="I4072" t="n">
        <v>0.0180585334549625</v>
      </c>
      <c r="J4072" t="n">
        <v>0.0403054918518835</v>
      </c>
      <c r="K4072" t="n">
        <v>0.7356678826948609</v>
      </c>
      <c r="L4072" t="b">
        <v>1</v>
      </c>
      <c r="M4072" t="b">
        <v>0</v>
      </c>
      <c r="N4072" t="inlineStr">
        <is>
          <t>alt</t>
        </is>
      </c>
      <c r="O4072" t="n">
        <v>-30</v>
      </c>
      <c r="P4072" t="n">
        <v>0.00211</v>
      </c>
      <c r="Q4072" t="n">
        <v>85</v>
      </c>
      <c r="R4072" t="n">
        <v>0.02588</v>
      </c>
      <c r="S4072">
        <f>IMAGE("https://mitra.stanford.edu/kundaje/oak/projects/neuro-variants/variant_position/credible/roussos_2024/variant_figures/roussos_2024.adolescence.GLU/rs3736985_count_position.png",4,220,900)</f>
        <v/>
      </c>
      <c r="T4072">
        <f>IMAGE("https://mitra.stanford.edu/kundaje/oak/projects/neuro-variants/variant_position/credible/roussos_2024/variant_figures/roussos_2024.adolescence.GLU/rs3736985_profile_position.png",4,220,900)</f>
        <v/>
      </c>
    </row>
    <row r="4073">
      <c r="A4073" t="inlineStr">
        <is>
          <t>chr9</t>
        </is>
      </c>
      <c r="B4073" t="n">
        <v>112228592</v>
      </c>
      <c r="C4073" t="inlineStr">
        <is>
          <t>C</t>
        </is>
      </c>
      <c r="D4073" t="inlineStr">
        <is>
          <t>T</t>
        </is>
      </c>
      <c r="E4073" t="inlineStr">
        <is>
          <t>rs7026917</t>
        </is>
      </c>
      <c r="F4073" t="n">
        <v>0.0023690133199999</v>
      </c>
      <c r="G4073" t="n">
        <v>0.686429311649272</v>
      </c>
      <c r="H4073" t="n">
        <v>0.0105959672154208</v>
      </c>
      <c r="I4073" t="n">
        <v>0.4660623537944782</v>
      </c>
      <c r="J4073" t="n">
        <v>0.0498831900893756</v>
      </c>
      <c r="K4073" t="n">
        <v>0.7027628844332473</v>
      </c>
      <c r="L4073" t="b">
        <v>0</v>
      </c>
      <c r="M4073" t="b">
        <v>0</v>
      </c>
      <c r="N4073" t="inlineStr">
        <is>
          <t>alt</t>
        </is>
      </c>
      <c r="O4073" t="n">
        <v>20</v>
      </c>
      <c r="P4073" t="n">
        <v>0.001437</v>
      </c>
      <c r="Q4073" t="n">
        <v>95</v>
      </c>
      <c r="R4073" t="n">
        <v>0.077</v>
      </c>
      <c r="S4073">
        <f>IMAGE("https://mitra.stanford.edu/kundaje/oak/projects/neuro-variants/variant_position/credible/roussos_2024/variant_figures/roussos_2024.adolescence.GLU/rs7026917_count_position.png",4,220,900)</f>
        <v/>
      </c>
      <c r="T4073">
        <f>IMAGE("https://mitra.stanford.edu/kundaje/oak/projects/neuro-variants/variant_position/credible/roussos_2024/variant_figures/roussos_2024.adolescence.GLU/rs7026917_profile_position.png",4,220,900)</f>
        <v/>
      </c>
    </row>
    <row r="4074">
      <c r="A4074" t="inlineStr">
        <is>
          <t>chr9</t>
        </is>
      </c>
      <c r="B4074" t="n">
        <v>112240034</v>
      </c>
      <c r="C4074" t="inlineStr">
        <is>
          <t>C</t>
        </is>
      </c>
      <c r="D4074" t="inlineStr">
        <is>
          <t>A</t>
        </is>
      </c>
      <c r="E4074" t="inlineStr">
        <is>
          <t>rs7021564</t>
        </is>
      </c>
      <c r="F4074" t="n">
        <v>-0.000574900172</v>
      </c>
      <c r="G4074" t="n">
        <v>0.9061707020504908</v>
      </c>
      <c r="H4074" t="n">
        <v>0.009191085811128701</v>
      </c>
      <c r="I4074" t="n">
        <v>0.6031108301785589</v>
      </c>
      <c r="J4074" t="n">
        <v>0.061225539576055</v>
      </c>
      <c r="K4074" t="n">
        <v>0.6724697234409245</v>
      </c>
      <c r="L4074" t="b">
        <v>0</v>
      </c>
      <c r="M4074" t="b">
        <v>0</v>
      </c>
      <c r="N4074" t="inlineStr">
        <is>
          <t>ref</t>
        </is>
      </c>
      <c r="O4074" t="n">
        <v>-100</v>
      </c>
      <c r="P4074" t="n">
        <v>0.02338</v>
      </c>
      <c r="Q4074" t="n">
        <v>-100</v>
      </c>
      <c r="R4074" t="n">
        <v>0.1465</v>
      </c>
      <c r="S4074">
        <f>IMAGE("https://mitra.stanford.edu/kundaje/oak/projects/neuro-variants/variant_position/credible/roussos_2024/variant_figures/roussos_2024.adolescence.GLU/rs7021564_count_position.png",4,220,900)</f>
        <v/>
      </c>
      <c r="T4074">
        <f>IMAGE("https://mitra.stanford.edu/kundaje/oak/projects/neuro-variants/variant_position/credible/roussos_2024/variant_figures/roussos_2024.adolescence.GLU/rs7021564_profile_position.png",4,220,900)</f>
        <v/>
      </c>
    </row>
    <row r="4075">
      <c r="A4075" t="inlineStr">
        <is>
          <t>chr9</t>
        </is>
      </c>
      <c r="B4075" t="n">
        <v>112248027</v>
      </c>
      <c r="C4075" t="inlineStr">
        <is>
          <t>C</t>
        </is>
      </c>
      <c r="D4075" t="inlineStr">
        <is>
          <t>A</t>
        </is>
      </c>
      <c r="E4075" t="inlineStr">
        <is>
          <t>rs7033486</t>
        </is>
      </c>
      <c r="F4075" t="n">
        <v>0.0002938613345999</v>
      </c>
      <c r="G4075" t="n">
        <v>0.8589448571850068</v>
      </c>
      <c r="H4075" t="n">
        <v>0.0066007111214651</v>
      </c>
      <c r="I4075" t="n">
        <v>0.9424420366474464</v>
      </c>
      <c r="J4075" t="n">
        <v>0.0010173535946731</v>
      </c>
      <c r="K4075" t="n">
        <v>0.9726816051894877</v>
      </c>
      <c r="L4075" t="b">
        <v>0</v>
      </c>
      <c r="M4075" t="b">
        <v>0</v>
      </c>
      <c r="N4075" t="inlineStr">
        <is>
          <t>alt</t>
        </is>
      </c>
      <c r="O4075" t="n">
        <v>-5</v>
      </c>
      <c r="P4075" t="n">
        <v>0.0006256</v>
      </c>
      <c r="Q4075" t="n">
        <v>-95</v>
      </c>
      <c r="R4075" t="n">
        <v>0.0835</v>
      </c>
      <c r="S4075">
        <f>IMAGE("https://mitra.stanford.edu/kundaje/oak/projects/neuro-variants/variant_position/credible/roussos_2024/variant_figures/roussos_2024.adolescence.GLU/rs7033486_count_position.png",4,220,900)</f>
        <v/>
      </c>
      <c r="T4075">
        <f>IMAGE("https://mitra.stanford.edu/kundaje/oak/projects/neuro-variants/variant_position/credible/roussos_2024/variant_figures/roussos_2024.adolescence.GLU/rs7033486_profile_position.png",4,220,900)</f>
        <v/>
      </c>
    </row>
    <row r="4076">
      <c r="A4076" t="inlineStr">
        <is>
          <t>chr9</t>
        </is>
      </c>
      <c r="B4076" t="n">
        <v>112253684</v>
      </c>
      <c r="C4076" t="inlineStr">
        <is>
          <t>T</t>
        </is>
      </c>
      <c r="D4076" t="inlineStr">
        <is>
          <t>A</t>
        </is>
      </c>
      <c r="E4076" t="inlineStr">
        <is>
          <t>rs11792718</t>
        </is>
      </c>
      <c r="F4076" t="n">
        <v>-0.007480636</v>
      </c>
      <c r="G4076" t="n">
        <v>0.6286540183040161</v>
      </c>
      <c r="H4076" t="n">
        <v>0.0137856037555285</v>
      </c>
      <c r="I4076" t="n">
        <v>0.2103843172363172</v>
      </c>
      <c r="J4076" t="n">
        <v>0.07548134970815371</v>
      </c>
      <c r="K4076" t="n">
        <v>0.6323334178439624</v>
      </c>
      <c r="L4076" t="b">
        <v>0</v>
      </c>
      <c r="M4076" t="b">
        <v>0</v>
      </c>
      <c r="N4076" t="inlineStr">
        <is>
          <t>ref</t>
        </is>
      </c>
      <c r="O4076" t="n">
        <v>100</v>
      </c>
      <c r="P4076" t="n">
        <v>0.002449</v>
      </c>
      <c r="Q4076" t="n">
        <v>40</v>
      </c>
      <c r="R4076" t="n">
        <v>0.04218</v>
      </c>
      <c r="S4076">
        <f>IMAGE("https://mitra.stanford.edu/kundaje/oak/projects/neuro-variants/variant_position/credible/roussos_2024/variant_figures/roussos_2024.adolescence.GLU/rs11792718_count_position.png",4,220,900)</f>
        <v/>
      </c>
      <c r="T4076">
        <f>IMAGE("https://mitra.stanford.edu/kundaje/oak/projects/neuro-variants/variant_position/credible/roussos_2024/variant_figures/roussos_2024.adolescence.GLU/rs11792718_profile_position.png",4,220,900)</f>
        <v/>
      </c>
    </row>
    <row r="4077">
      <c r="A4077" t="inlineStr">
        <is>
          <t>chr9</t>
        </is>
      </c>
      <c r="B4077" t="n">
        <v>112254581</v>
      </c>
      <c r="C4077" t="inlineStr">
        <is>
          <t>T</t>
        </is>
      </c>
      <c r="D4077" t="inlineStr">
        <is>
          <t>C</t>
        </is>
      </c>
      <c r="E4077" t="inlineStr">
        <is>
          <t>rs6477903</t>
        </is>
      </c>
      <c r="F4077" t="n">
        <v>-0.00529823946</v>
      </c>
      <c r="G4077" t="n">
        <v>0.69351609330666</v>
      </c>
      <c r="H4077" t="n">
        <v>0.0152151224762391</v>
      </c>
      <c r="I4077" t="n">
        <v>0.1542509727693765</v>
      </c>
      <c r="J4077" t="n">
        <v>0.0081802659122246</v>
      </c>
      <c r="K4077" t="n">
        <v>0.8940459841845061</v>
      </c>
      <c r="L4077" t="b">
        <v>0</v>
      </c>
      <c r="M4077" t="b">
        <v>0</v>
      </c>
      <c r="N4077" t="inlineStr">
        <is>
          <t>ref</t>
        </is>
      </c>
      <c r="O4077" t="n">
        <v>90</v>
      </c>
      <c r="P4077" t="n">
        <v>0.002098</v>
      </c>
      <c r="Q4077" t="n">
        <v>75</v>
      </c>
      <c r="R4077" t="n">
        <v>0.06383999999999999</v>
      </c>
      <c r="S4077">
        <f>IMAGE("https://mitra.stanford.edu/kundaje/oak/projects/neuro-variants/variant_position/credible/roussos_2024/variant_figures/roussos_2024.adolescence.GLU/rs6477903_count_position.png",4,220,900)</f>
        <v/>
      </c>
      <c r="T4077">
        <f>IMAGE("https://mitra.stanford.edu/kundaje/oak/projects/neuro-variants/variant_position/credible/roussos_2024/variant_figures/roussos_2024.adolescence.GLU/rs6477903_profile_position.png",4,220,900)</f>
        <v/>
      </c>
    </row>
    <row r="4078">
      <c r="A4078" t="inlineStr">
        <is>
          <t>chr9</t>
        </is>
      </c>
      <c r="B4078" t="n">
        <v>112257991</v>
      </c>
      <c r="C4078" t="inlineStr">
        <is>
          <t>G</t>
        </is>
      </c>
      <c r="D4078" t="inlineStr">
        <is>
          <t>A</t>
        </is>
      </c>
      <c r="E4078" t="inlineStr">
        <is>
          <t>rs4979090</t>
        </is>
      </c>
      <c r="F4078" t="n">
        <v>-0.00689926732</v>
      </c>
      <c r="G4078" t="n">
        <v>0.6470898643053949</v>
      </c>
      <c r="H4078" t="n">
        <v>0.0157374108559324</v>
      </c>
      <c r="I4078" t="n">
        <v>0.1469594801791273</v>
      </c>
      <c r="J4078" t="n">
        <v>0.0386351458516406</v>
      </c>
      <c r="K4078" t="n">
        <v>0.736106983521454</v>
      </c>
      <c r="L4078" t="b">
        <v>0</v>
      </c>
      <c r="M4078" t="b">
        <v>0</v>
      </c>
      <c r="N4078" t="inlineStr">
        <is>
          <t>ref</t>
        </is>
      </c>
      <c r="O4078" t="n">
        <v>-85</v>
      </c>
      <c r="P4078" t="n">
        <v>0.006165</v>
      </c>
      <c r="Q4078" t="n">
        <v>-100</v>
      </c>
      <c r="R4078" t="n">
        <v>0.04602</v>
      </c>
      <c r="S4078">
        <f>IMAGE("https://mitra.stanford.edu/kundaje/oak/projects/neuro-variants/variant_position/credible/roussos_2024/variant_figures/roussos_2024.adolescence.GLU/rs4979090_count_position.png",4,220,900)</f>
        <v/>
      </c>
      <c r="T4078">
        <f>IMAGE("https://mitra.stanford.edu/kundaje/oak/projects/neuro-variants/variant_position/credible/roussos_2024/variant_figures/roussos_2024.adolescence.GLU/rs4979090_profile_position.png",4,220,900)</f>
        <v/>
      </c>
    </row>
    <row r="4079">
      <c r="A4079" t="inlineStr">
        <is>
          <t>chr9</t>
        </is>
      </c>
      <c r="B4079" t="n">
        <v>112258733</v>
      </c>
      <c r="C4079" t="inlineStr">
        <is>
          <t>G</t>
        </is>
      </c>
      <c r="D4079" t="inlineStr">
        <is>
          <t>A</t>
        </is>
      </c>
      <c r="E4079" t="inlineStr">
        <is>
          <t>rs7027240</t>
        </is>
      </c>
      <c r="F4079" t="n">
        <v>-0.02003577268</v>
      </c>
      <c r="G4079" t="n">
        <v>0.3397054577537048</v>
      </c>
      <c r="H4079" t="n">
        <v>0.0145915695173324</v>
      </c>
      <c r="I4079" t="n">
        <v>0.203107222846833</v>
      </c>
      <c r="J4079" t="n">
        <v>0.0579934414985961</v>
      </c>
      <c r="K4079" t="n">
        <v>0.6758236932649805</v>
      </c>
      <c r="L4079" t="b">
        <v>0</v>
      </c>
      <c r="M4079" t="b">
        <v>0</v>
      </c>
      <c r="N4079" t="inlineStr">
        <is>
          <t>ref</t>
        </is>
      </c>
      <c r="O4079" t="n">
        <v>100</v>
      </c>
      <c r="P4079" t="n">
        <v>0.004734</v>
      </c>
      <c r="Q4079" t="n">
        <v>10</v>
      </c>
      <c r="R4079" t="n">
        <v>0.01697</v>
      </c>
      <c r="S4079">
        <f>IMAGE("https://mitra.stanford.edu/kundaje/oak/projects/neuro-variants/variant_position/credible/roussos_2024/variant_figures/roussos_2024.adolescence.GLU/rs7027240_count_position.png",4,220,900)</f>
        <v/>
      </c>
      <c r="T4079">
        <f>IMAGE("https://mitra.stanford.edu/kundaje/oak/projects/neuro-variants/variant_position/credible/roussos_2024/variant_figures/roussos_2024.adolescence.GLU/rs7027240_profile_position.png",4,220,900)</f>
        <v/>
      </c>
    </row>
    <row r="4080">
      <c r="A4080" t="inlineStr">
        <is>
          <t>chr9</t>
        </is>
      </c>
      <c r="B4080" t="n">
        <v>112273585</v>
      </c>
      <c r="C4080" t="inlineStr">
        <is>
          <t>C</t>
        </is>
      </c>
      <c r="D4080" t="inlineStr">
        <is>
          <t>T</t>
        </is>
      </c>
      <c r="E4080" t="inlineStr">
        <is>
          <t>rs10817308</t>
        </is>
      </c>
      <c r="F4080" t="n">
        <v>-0.0274045851999999</v>
      </c>
      <c r="G4080" t="n">
        <v>0.2118353807955564</v>
      </c>
      <c r="H4080" t="n">
        <v>0.012064980542306</v>
      </c>
      <c r="I4080" t="n">
        <v>0.3307702038049981</v>
      </c>
      <c r="J4080" t="n">
        <v>0.0291617549349507</v>
      </c>
      <c r="K4080" t="n">
        <v>0.7760023985970378</v>
      </c>
      <c r="L4080" t="b">
        <v>0</v>
      </c>
      <c r="M4080" t="b">
        <v>0</v>
      </c>
      <c r="N4080" t="inlineStr">
        <is>
          <t>ref</t>
        </is>
      </c>
      <c r="O4080" t="n">
        <v>15</v>
      </c>
      <c r="P4080" t="n">
        <v>0.0005875</v>
      </c>
      <c r="Q4080" t="n">
        <v>65</v>
      </c>
      <c r="R4080" t="n">
        <v>0.0394</v>
      </c>
      <c r="S4080">
        <f>IMAGE("https://mitra.stanford.edu/kundaje/oak/projects/neuro-variants/variant_position/credible/roussos_2024/variant_figures/roussos_2024.adolescence.GLU/rs10817308_count_position.png",4,220,900)</f>
        <v/>
      </c>
      <c r="T4080">
        <f>IMAGE("https://mitra.stanford.edu/kundaje/oak/projects/neuro-variants/variant_position/credible/roussos_2024/variant_figures/roussos_2024.adolescence.GLU/rs10817308_profile_position.png",4,220,900)</f>
        <v/>
      </c>
    </row>
    <row r="4081">
      <c r="A4081" t="inlineStr">
        <is>
          <t>chr9</t>
        </is>
      </c>
      <c r="B4081" t="n">
        <v>112297115</v>
      </c>
      <c r="C4081" t="inlineStr">
        <is>
          <t>C</t>
        </is>
      </c>
      <c r="D4081" t="inlineStr">
        <is>
          <t>T</t>
        </is>
      </c>
      <c r="E4081" t="inlineStr">
        <is>
          <t>rs12376681</t>
        </is>
      </c>
      <c r="F4081" t="n">
        <v>-0.07426838500000001</v>
      </c>
      <c r="G4081" t="n">
        <v>0.0221732690966965</v>
      </c>
      <c r="H4081" t="n">
        <v>0.0232720585244347</v>
      </c>
      <c r="I4081" t="n">
        <v>0.0322175722672611</v>
      </c>
      <c r="J4081" t="n">
        <v>0.0301962549385229</v>
      </c>
      <c r="K4081" t="n">
        <v>0.7780397896982967</v>
      </c>
      <c r="L4081" t="b">
        <v>0</v>
      </c>
      <c r="M4081" t="b">
        <v>0</v>
      </c>
      <c r="N4081" t="inlineStr">
        <is>
          <t>ref</t>
        </is>
      </c>
      <c r="O4081" t="n">
        <v>90</v>
      </c>
      <c r="P4081" t="n">
        <v>0.00288</v>
      </c>
      <c r="Q4081" t="n">
        <v>45</v>
      </c>
      <c r="R4081" t="n">
        <v>0.1395</v>
      </c>
      <c r="S4081">
        <f>IMAGE("https://mitra.stanford.edu/kundaje/oak/projects/neuro-variants/variant_position/credible/roussos_2024/variant_figures/roussos_2024.adolescence.GLU/rs12376681_count_position.png",4,220,900)</f>
        <v/>
      </c>
      <c r="T4081">
        <f>IMAGE("https://mitra.stanford.edu/kundaje/oak/projects/neuro-variants/variant_position/credible/roussos_2024/variant_figures/roussos_2024.adolescence.GLU/rs12376681_profile_position.png",4,220,900)</f>
        <v/>
      </c>
    </row>
    <row r="4082">
      <c r="A4082" t="inlineStr">
        <is>
          <t>chr9</t>
        </is>
      </c>
      <c r="B4082" t="n">
        <v>112336799</v>
      </c>
      <c r="C4082" t="inlineStr">
        <is>
          <t>T</t>
        </is>
      </c>
      <c r="D4082" t="inlineStr">
        <is>
          <t>C</t>
        </is>
      </c>
      <c r="E4082" t="inlineStr">
        <is>
          <t>rs4978484</t>
        </is>
      </c>
      <c r="F4082" t="n">
        <v>0.058011961</v>
      </c>
      <c r="G4082" t="n">
        <v>0.0401431324021396</v>
      </c>
      <c r="H4082" t="n">
        <v>0.0104030519123545</v>
      </c>
      <c r="I4082" t="n">
        <v>0.4677078071824889</v>
      </c>
      <c r="J4082" t="n">
        <v>0.0261882818583849</v>
      </c>
      <c r="K4082" t="n">
        <v>0.790845769991036</v>
      </c>
      <c r="L4082" t="b">
        <v>0</v>
      </c>
      <c r="M4082" t="b">
        <v>0</v>
      </c>
      <c r="N4082" t="inlineStr">
        <is>
          <t>alt</t>
        </is>
      </c>
      <c r="O4082" t="n">
        <v>-55</v>
      </c>
      <c r="P4082" t="n">
        <v>0.01701</v>
      </c>
      <c r="Q4082" t="n">
        <v>35</v>
      </c>
      <c r="R4082" t="n">
        <v>0.00659</v>
      </c>
      <c r="S4082">
        <f>IMAGE("https://mitra.stanford.edu/kundaje/oak/projects/neuro-variants/variant_position/credible/roussos_2024/variant_figures/roussos_2024.adolescence.GLU/rs4978484_count_position.png",4,220,900)</f>
        <v/>
      </c>
      <c r="T4082">
        <f>IMAGE("https://mitra.stanford.edu/kundaje/oak/projects/neuro-variants/variant_position/credible/roussos_2024/variant_figures/roussos_2024.adolescence.GLU/rs4978484_profile_position.png",4,220,900)</f>
        <v/>
      </c>
    </row>
    <row r="4083">
      <c r="A4083" t="inlineStr">
        <is>
          <t>chr9</t>
        </is>
      </c>
      <c r="B4083" t="n">
        <v>112337341</v>
      </c>
      <c r="C4083" t="inlineStr">
        <is>
          <t>C</t>
        </is>
      </c>
      <c r="D4083" t="inlineStr">
        <is>
          <t>T</t>
        </is>
      </c>
      <c r="E4083" t="inlineStr">
        <is>
          <t>rs4979103</t>
        </is>
      </c>
      <c r="F4083" t="n">
        <v>0.0072589277399999</v>
      </c>
      <c r="G4083" t="n">
        <v>0.6219852748813991</v>
      </c>
      <c r="H4083" t="n">
        <v>0.022591888625009</v>
      </c>
      <c r="I4083" t="n">
        <v>0.0341499615874493</v>
      </c>
      <c r="J4083" t="n">
        <v>0.0217159268705659</v>
      </c>
      <c r="K4083" t="n">
        <v>0.8073844289886628</v>
      </c>
      <c r="L4083" t="b">
        <v>0</v>
      </c>
      <c r="M4083" t="b">
        <v>0</v>
      </c>
      <c r="N4083" t="inlineStr">
        <is>
          <t>alt</t>
        </is>
      </c>
      <c r="O4083" t="n">
        <v>100</v>
      </c>
      <c r="P4083" t="n">
        <v>0.01013</v>
      </c>
      <c r="Q4083" t="n">
        <v>45</v>
      </c>
      <c r="R4083" t="n">
        <v>0.02875</v>
      </c>
      <c r="S4083">
        <f>IMAGE("https://mitra.stanford.edu/kundaje/oak/projects/neuro-variants/variant_position/credible/roussos_2024/variant_figures/roussos_2024.adolescence.GLU/rs4979103_count_position.png",4,220,900)</f>
        <v/>
      </c>
      <c r="T4083">
        <f>IMAGE("https://mitra.stanford.edu/kundaje/oak/projects/neuro-variants/variant_position/credible/roussos_2024/variant_figures/roussos_2024.adolescence.GLU/rs4979103_profile_position.png",4,220,900)</f>
        <v/>
      </c>
    </row>
    <row r="4084">
      <c r="A4084" t="inlineStr">
        <is>
          <t>chr9</t>
        </is>
      </c>
      <c r="B4084" t="n">
        <v>112349429</v>
      </c>
      <c r="C4084" t="inlineStr">
        <is>
          <t>G</t>
        </is>
      </c>
      <c r="D4084" t="inlineStr">
        <is>
          <t>A</t>
        </is>
      </c>
      <c r="E4084" t="inlineStr">
        <is>
          <t>rs10817323</t>
        </is>
      </c>
      <c r="F4084" t="n">
        <v>-0.0362575137366</v>
      </c>
      <c r="G4084" t="n">
        <v>0.1461781849408545</v>
      </c>
      <c r="H4084" t="n">
        <v>0.0201149804929256</v>
      </c>
      <c r="I4084" t="n">
        <v>0.07364163722975769</v>
      </c>
      <c r="J4084" t="n">
        <v>0.2966157275435626</v>
      </c>
      <c r="K4084" t="n">
        <v>0.2747117056900599</v>
      </c>
      <c r="L4084" t="b">
        <v>0</v>
      </c>
      <c r="M4084" t="b">
        <v>0</v>
      </c>
      <c r="N4084" t="inlineStr">
        <is>
          <t>ref</t>
        </is>
      </c>
      <c r="O4084" t="n">
        <v>5</v>
      </c>
      <c r="P4084" t="n">
        <v>0.001116</v>
      </c>
      <c r="Q4084" t="n">
        <v>-75</v>
      </c>
      <c r="R4084" t="n">
        <v>0.1555</v>
      </c>
      <c r="S4084">
        <f>IMAGE("https://mitra.stanford.edu/kundaje/oak/projects/neuro-variants/variant_position/credible/roussos_2024/variant_figures/roussos_2024.adolescence.GLU/rs10817323_count_position.png",4,220,900)</f>
        <v/>
      </c>
      <c r="T4084">
        <f>IMAGE("https://mitra.stanford.edu/kundaje/oak/projects/neuro-variants/variant_position/credible/roussos_2024/variant_figures/roussos_2024.adolescence.GLU/rs10817323_profile_position.png",4,220,900)</f>
        <v/>
      </c>
    </row>
    <row r="4085">
      <c r="A4085" t="inlineStr">
        <is>
          <t>chr9</t>
        </is>
      </c>
      <c r="B4085" t="n">
        <v>126978004</v>
      </c>
      <c r="C4085" t="inlineStr">
        <is>
          <t>A</t>
        </is>
      </c>
      <c r="D4085" t="inlineStr">
        <is>
          <t>G</t>
        </is>
      </c>
      <c r="E4085" t="inlineStr">
        <is>
          <t>rs11790388</t>
        </is>
      </c>
      <c r="F4085" t="n">
        <v>0.0621518996</v>
      </c>
      <c r="G4085" t="n">
        <v>0.0369794092946609</v>
      </c>
      <c r="H4085" t="n">
        <v>0.0173844323698607</v>
      </c>
      <c r="I4085" t="n">
        <v>0.1042492833628823</v>
      </c>
      <c r="J4085" t="n">
        <v>0.2187295939873259</v>
      </c>
      <c r="K4085" t="n">
        <v>0.3719464149924391</v>
      </c>
      <c r="L4085" t="b">
        <v>0</v>
      </c>
      <c r="M4085" t="b">
        <v>0</v>
      </c>
      <c r="N4085" t="inlineStr">
        <is>
          <t>alt</t>
        </is>
      </c>
      <c r="O4085" t="n">
        <v>30</v>
      </c>
      <c r="P4085" t="n">
        <v>0.006165</v>
      </c>
      <c r="Q4085" t="n">
        <v>30</v>
      </c>
      <c r="R4085" t="n">
        <v>0.06934</v>
      </c>
      <c r="S4085">
        <f>IMAGE("https://mitra.stanford.edu/kundaje/oak/projects/neuro-variants/variant_position/credible/roussos_2024/variant_figures/roussos_2024.adolescence.GLU/rs11790388_count_position.png",4,220,900)</f>
        <v/>
      </c>
      <c r="T4085">
        <f>IMAGE("https://mitra.stanford.edu/kundaje/oak/projects/neuro-variants/variant_position/credible/roussos_2024/variant_figures/roussos_2024.adolescence.GLU/rs11790388_profile_position.png",4,220,900)</f>
        <v/>
      </c>
    </row>
    <row r="4086">
      <c r="A4086" t="inlineStr">
        <is>
          <t>chr9</t>
        </is>
      </c>
      <c r="B4086" t="n">
        <v>137932059</v>
      </c>
      <c r="C4086" t="inlineStr">
        <is>
          <t>C</t>
        </is>
      </c>
      <c r="D4086" t="inlineStr">
        <is>
          <t>A</t>
        </is>
      </c>
      <c r="E4086" t="inlineStr">
        <is>
          <t>rs7868607</t>
        </is>
      </c>
      <c r="F4086" t="n">
        <v>0.0180572924</v>
      </c>
      <c r="G4086" t="n">
        <v>0.3187915732231297</v>
      </c>
      <c r="H4086" t="n">
        <v>0.0214788385784145</v>
      </c>
      <c r="I4086" t="n">
        <v>0.0439478315403962</v>
      </c>
      <c r="J4086" t="n">
        <v>0.4681398289645712</v>
      </c>
      <c r="K4086" t="n">
        <v>0.1110691734718494</v>
      </c>
      <c r="L4086" t="b">
        <v>0</v>
      </c>
      <c r="M4086" t="b">
        <v>0</v>
      </c>
      <c r="N4086" t="inlineStr">
        <is>
          <t>alt</t>
        </is>
      </c>
      <c r="O4086" t="n">
        <v>-40</v>
      </c>
      <c r="P4086" t="n">
        <v>0.001892</v>
      </c>
      <c r="Q4086" t="n">
        <v>50</v>
      </c>
      <c r="R4086" t="n">
        <v>0.03192</v>
      </c>
      <c r="S4086">
        <f>IMAGE("https://mitra.stanford.edu/kundaje/oak/projects/neuro-variants/variant_position/credible/roussos_2024/variant_figures/roussos_2024.adolescence.GLU/rs7868607_count_position.png",4,220,900)</f>
        <v/>
      </c>
      <c r="T4086">
        <f>IMAGE("https://mitra.stanford.edu/kundaje/oak/projects/neuro-variants/variant_position/credible/roussos_2024/variant_figures/roussos_2024.adolescence.GLU/rs7868607_profile_position.png",4,220,900)</f>
        <v/>
      </c>
    </row>
    <row r="4087">
      <c r="A4087" t="inlineStr">
        <is>
          <t>chr9</t>
        </is>
      </c>
      <c r="B4087" t="n">
        <v>137950872</v>
      </c>
      <c r="C4087" t="inlineStr">
        <is>
          <t>C</t>
        </is>
      </c>
      <c r="D4087" t="inlineStr">
        <is>
          <t>T</t>
        </is>
      </c>
      <c r="E4087" t="inlineStr">
        <is>
          <t>rs56199530</t>
        </is>
      </c>
      <c r="F4087" t="n">
        <v>-0.254363444</v>
      </c>
      <c r="G4087" t="n">
        <v>0.0004783410890379</v>
      </c>
      <c r="H4087" t="n">
        <v>0.1069540538010031</v>
      </c>
      <c r="I4087" t="n">
        <v>0.000184492961476</v>
      </c>
      <c r="J4087" t="n">
        <v>0.5154782061998556</v>
      </c>
      <c r="K4087" t="n">
        <v>0.0790734659650969</v>
      </c>
      <c r="L4087" t="b">
        <v>1</v>
      </c>
      <c r="M4087" t="b">
        <v>1</v>
      </c>
      <c r="N4087" t="inlineStr">
        <is>
          <t>ref</t>
        </is>
      </c>
      <c r="O4087" t="n">
        <v>50</v>
      </c>
      <c r="P4087" t="n">
        <v>0.003235</v>
      </c>
      <c r="Q4087" t="n">
        <v>55</v>
      </c>
      <c r="R4087" t="n">
        <v>0.0387</v>
      </c>
      <c r="S4087">
        <f>IMAGE("https://mitra.stanford.edu/kundaje/oak/projects/neuro-variants/variant_position/credible/roussos_2024/variant_figures/roussos_2024.adolescence.GLU/rs56199530_count_position.png",4,220,900)</f>
        <v/>
      </c>
      <c r="T4087">
        <f>IMAGE("https://mitra.stanford.edu/kundaje/oak/projects/neuro-variants/variant_position/credible/roussos_2024/variant_figures/roussos_2024.adolescence.GLU/rs56199530_profile_position.png",4,220,900)</f>
        <v/>
      </c>
    </row>
    <row r="4088">
      <c r="A4088" t="inlineStr">
        <is>
          <t>chr9</t>
        </is>
      </c>
      <c r="B4088" t="n">
        <v>137953733</v>
      </c>
      <c r="C4088" t="inlineStr">
        <is>
          <t>T</t>
        </is>
      </c>
      <c r="D4088" t="inlineStr">
        <is>
          <t>G</t>
        </is>
      </c>
      <c r="E4088" t="inlineStr">
        <is>
          <t>rs10867090</t>
        </is>
      </c>
      <c r="F4088" t="n">
        <v>0.0173954026</v>
      </c>
      <c r="G4088" t="n">
        <v>0.3205078413189666</v>
      </c>
      <c r="H4088" t="n">
        <v>0.009253652505447</v>
      </c>
      <c r="I4088" t="n">
        <v>0.6143044504957822</v>
      </c>
      <c r="J4088" t="n">
        <v>0.5907195061834237</v>
      </c>
      <c r="K4088" t="n">
        <v>0.0418679838949656</v>
      </c>
      <c r="L4088" t="b">
        <v>0</v>
      </c>
      <c r="M4088" t="b">
        <v>0</v>
      </c>
      <c r="N4088" t="inlineStr">
        <is>
          <t>alt</t>
        </is>
      </c>
      <c r="O4088" t="n">
        <v>-100</v>
      </c>
      <c r="P4088" t="n">
        <v>0.004147</v>
      </c>
      <c r="Q4088" t="n">
        <v>-75</v>
      </c>
      <c r="R4088" t="n">
        <v>0.1475</v>
      </c>
      <c r="S4088">
        <f>IMAGE("https://mitra.stanford.edu/kundaje/oak/projects/neuro-variants/variant_position/credible/roussos_2024/variant_figures/roussos_2024.adolescence.GLU/rs10867090_count_position.png",4,220,900)</f>
        <v/>
      </c>
      <c r="T4088">
        <f>IMAGE("https://mitra.stanford.edu/kundaje/oak/projects/neuro-variants/variant_position/credible/roussos_2024/variant_figures/roussos_2024.adolescence.GLU/rs10867090_profile_position.png",4,220,900)</f>
        <v/>
      </c>
    </row>
    <row r="4089">
      <c r="A4089" t="inlineStr">
        <is>
          <t>chr9</t>
        </is>
      </c>
      <c r="B4089" t="n">
        <v>137990281</v>
      </c>
      <c r="C4089" t="inlineStr">
        <is>
          <t>C</t>
        </is>
      </c>
      <c r="D4089" t="inlineStr">
        <is>
          <t>T</t>
        </is>
      </c>
      <c r="E4089" t="inlineStr">
        <is>
          <t>rs7042228</t>
        </is>
      </c>
      <c r="F4089" t="n">
        <v>0.0015653916689999</v>
      </c>
      <c r="G4089" t="n">
        <v>0.6965264860416632</v>
      </c>
      <c r="H4089" t="n">
        <v>0.0109421293823692</v>
      </c>
      <c r="I4089" t="n">
        <v>0.4351603884433827</v>
      </c>
      <c r="J4089" t="n">
        <v>0.5688635503068492</v>
      </c>
      <c r="K4089" t="n">
        <v>0.0516681722956461</v>
      </c>
      <c r="L4089" t="b">
        <v>0</v>
      </c>
      <c r="M4089" t="b">
        <v>0</v>
      </c>
      <c r="N4089" t="inlineStr">
        <is>
          <t>alt</t>
        </is>
      </c>
      <c r="O4089" t="n">
        <v>20</v>
      </c>
      <c r="P4089" t="n">
        <v>0.002998</v>
      </c>
      <c r="Q4089" t="n">
        <v>-60</v>
      </c>
      <c r="R4089" t="n">
        <v>0.0864</v>
      </c>
      <c r="S4089">
        <f>IMAGE("https://mitra.stanford.edu/kundaje/oak/projects/neuro-variants/variant_position/credible/roussos_2024/variant_figures/roussos_2024.adolescence.GLU/rs7042228_count_position.png",4,220,900)</f>
        <v/>
      </c>
      <c r="T4089">
        <f>IMAGE("https://mitra.stanford.edu/kundaje/oak/projects/neuro-variants/variant_position/credible/roussos_2024/variant_figures/roussos_2024.adolescence.GLU/rs7042228_profile_position.png",4,220,900)</f>
        <v/>
      </c>
    </row>
    <row r="4090">
      <c r="A4090" t="inlineStr">
        <is>
          <t>chr9</t>
        </is>
      </c>
      <c r="B4090" t="n">
        <v>138034437</v>
      </c>
      <c r="C4090" t="inlineStr">
        <is>
          <t>A</t>
        </is>
      </c>
      <c r="D4090" t="inlineStr">
        <is>
          <t>G</t>
        </is>
      </c>
      <c r="E4090" t="inlineStr">
        <is>
          <t>rs7855572</t>
        </is>
      </c>
      <c r="F4090" t="n">
        <v>-0.0005426776459999</v>
      </c>
      <c r="G4090" t="n">
        <v>0.9018475014965236</v>
      </c>
      <c r="H4090" t="n">
        <v>0.0112320428524233</v>
      </c>
      <c r="I4090" t="n">
        <v>0.3862149735575223</v>
      </c>
      <c r="J4090" t="n">
        <v>0.2393967321802373</v>
      </c>
      <c r="K4090" t="n">
        <v>0.3474753615242436</v>
      </c>
      <c r="L4090" t="b">
        <v>0</v>
      </c>
      <c r="M4090" t="b">
        <v>0</v>
      </c>
      <c r="N4090" t="inlineStr">
        <is>
          <t>ref</t>
        </is>
      </c>
      <c r="O4090" t="n">
        <v>-100</v>
      </c>
      <c r="P4090" t="n">
        <v>0.01672</v>
      </c>
      <c r="Q4090" t="n">
        <v>-95</v>
      </c>
      <c r="R4090" t="n">
        <v>0.1058</v>
      </c>
      <c r="S4090">
        <f>IMAGE("https://mitra.stanford.edu/kundaje/oak/projects/neuro-variants/variant_position/credible/roussos_2024/variant_figures/roussos_2024.adolescence.GLU/rs7855572_count_position.png",4,220,900)</f>
        <v/>
      </c>
      <c r="T4090">
        <f>IMAGE("https://mitra.stanford.edu/kundaje/oak/projects/neuro-variants/variant_position/credible/roussos_2024/variant_figures/roussos_2024.adolescence.GLU/rs7855572_profile_position.png",4,220,900)</f>
        <v/>
      </c>
    </row>
    <row r="4091">
      <c r="A4091" t="inlineStr">
        <is>
          <t>chr9</t>
        </is>
      </c>
      <c r="B4091" t="n">
        <v>138061209</v>
      </c>
      <c r="C4091" t="inlineStr">
        <is>
          <t>C</t>
        </is>
      </c>
      <c r="D4091" t="inlineStr">
        <is>
          <t>T</t>
        </is>
      </c>
      <c r="E4091" t="inlineStr">
        <is>
          <t>rs62580940</t>
        </is>
      </c>
      <c r="F4091" t="n">
        <v>-0.0213626303999999</v>
      </c>
      <c r="G4091" t="n">
        <v>0.2858989746701814</v>
      </c>
      <c r="H4091" t="n">
        <v>0.0139061657984149</v>
      </c>
      <c r="I4091" t="n">
        <v>0.2074440143246666</v>
      </c>
      <c r="J4091" t="n">
        <v>0.5403947960648992</v>
      </c>
      <c r="K4091" t="n">
        <v>0.0647952021708486</v>
      </c>
      <c r="L4091" t="b">
        <v>0</v>
      </c>
      <c r="M4091" t="b">
        <v>0</v>
      </c>
      <c r="N4091" t="inlineStr">
        <is>
          <t>ref</t>
        </is>
      </c>
      <c r="O4091" t="n">
        <v>25</v>
      </c>
      <c r="P4091" t="n">
        <v>0.002708</v>
      </c>
      <c r="Q4091" t="n">
        <v>-90</v>
      </c>
      <c r="R4091" t="n">
        <v>0.1768</v>
      </c>
      <c r="S4091">
        <f>IMAGE("https://mitra.stanford.edu/kundaje/oak/projects/neuro-variants/variant_position/credible/roussos_2024/variant_figures/roussos_2024.adolescence.GLU/rs62580940_count_position.png",4,220,900)</f>
        <v/>
      </c>
      <c r="T4091">
        <f>IMAGE("https://mitra.stanford.edu/kundaje/oak/projects/neuro-variants/variant_position/credible/roussos_2024/variant_figures/roussos_2024.adolescence.GLU/rs62580940_profile_position.png",4,220,900)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2025-12-18T17:44:01Z</dcterms:created>
  <dcterms:modified xmlns:dcterms="http://purl.org/dc/terms/" xmlns:xsi="http://www.w3.org/2001/XMLSchema-instance" xsi:type="dcterms:W3CDTF">2025-12-18T17:44:01Z</dcterms:modified>
</cp:coreProperties>
</file>